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3-1-0212司法望京合生麒麟社\"/>
    </mc:Choice>
  </mc:AlternateContent>
  <xr:revisionPtr revIDLastSave="0" documentId="13_ncr:1_{FC1CC4F5-0838-49FD-A287-D339D6939CEF}" xr6:coauthVersionLast="45" xr6:coauthVersionMax="45" xr10:uidLastSave="{00000000-0000-0000-0000-000000000000}"/>
  <bookViews>
    <workbookView xWindow="0" yWindow="0" windowWidth="21600" windowHeight="12900" tabRatio="899" firstSheet="15"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公寓" sheetId="21" r:id="rId20"/>
    <sheet name="收益法 (元)" sheetId="67" r:id="rId21"/>
    <sheet name="假设开发法" sheetId="12" state="hidden" r:id="rId22"/>
    <sheet name="收益法" sheetId="15" state="hidden"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1" r:id="rId46"/>
    <sheet name="Sheet1" sheetId="80"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'比较法-公寓'!$A$1:$L$49</definedName>
    <definedName name="_xlnm._FilterDatabase" localSheetId="25" hidden="1">'比较法-商业'!$A$1:$L$49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'比较法-公寓'!$A$1:$K$54,'比较法-公寓'!$A$57:$M$131</definedName>
    <definedName name="_xlnm.Print_Area" localSheetId="25">'比较法-商业'!$A$1:$K$54,'比较法-商业'!$A$57:$M$131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'比较法-公寓'!$B$88:$M$88</definedName>
    <definedName name="住宅房型">'比较法-公寓'!$B$118:$M$118</definedName>
    <definedName name="住宅公共部分装修">'比较法-公寓'!$B$109:$M$109</definedName>
    <definedName name="住宅基础设施水平">'比较法-公寓'!$B$116:$M$116</definedName>
    <definedName name="住宅建筑结构">'比较法-公寓'!$B$105:$M$105</definedName>
    <definedName name="住宅建筑类型">'比较法-公寓'!$B$100:$M$100</definedName>
    <definedName name="住宅建筑品质">'比较法-公寓'!$B$107:$M$107</definedName>
    <definedName name="住宅交易情况">'比较法-公寓'!$A$61:$M$61</definedName>
    <definedName name="住宅楼层">'比较法-公寓'!$B$86:$M$86</definedName>
    <definedName name="住宅内部装修">'比较法-公寓'!$B$122:$M$122</definedName>
    <definedName name="住宅物业管理">'比较法-公寓'!$B$114:$M$114</definedName>
    <definedName name="住宅用途">'比较法-公寓'!$B$63:$M$63</definedName>
    <definedName name="住宅主力户型面积">'比较法-公寓'!$B$120:$M$120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43" i="67" l="1"/>
  <c r="K42" i="67"/>
  <c r="B14" i="74" l="1"/>
  <c r="C17" i="9"/>
  <c r="D14" i="9"/>
  <c r="D17" i="9" s="1"/>
  <c r="D3" i="4"/>
  <c r="D15" i="4" s="1"/>
  <c r="F6" i="1" s="1"/>
  <c r="I24" i="43" s="1"/>
  <c r="N19" i="1"/>
  <c r="C1" i="73"/>
  <c r="L1" i="73" s="1"/>
  <c r="B2" i="1"/>
  <c r="C42" i="1" s="1"/>
  <c r="J1" i="73"/>
  <c r="Y6" i="1"/>
  <c r="G23" i="43"/>
  <c r="C37" i="21"/>
  <c r="E37" i="21"/>
  <c r="D89" i="21"/>
  <c r="F26" i="21"/>
  <c r="AA26" i="21" s="1"/>
  <c r="C7" i="21"/>
  <c r="C58" i="21" s="1"/>
  <c r="G37" i="21"/>
  <c r="H26" i="21"/>
  <c r="AB26" i="21"/>
  <c r="I37" i="21"/>
  <c r="J26" i="21"/>
  <c r="AC26" i="21" s="1"/>
  <c r="C33" i="21"/>
  <c r="D33" i="43"/>
  <c r="Y17" i="80"/>
  <c r="Y18" i="80"/>
  <c r="Y19" i="80"/>
  <c r="Y16" i="80"/>
  <c r="P7" i="80"/>
  <c r="N7" i="80"/>
  <c r="G3" i="43"/>
  <c r="G26" i="43"/>
  <c r="V10" i="79"/>
  <c r="V14" i="79"/>
  <c r="A7" i="1"/>
  <c r="B7" i="1"/>
  <c r="E7" i="1" s="1"/>
  <c r="A8" i="1"/>
  <c r="B8" i="1" s="1"/>
  <c r="E8" i="1"/>
  <c r="A9" i="1"/>
  <c r="B9" i="1"/>
  <c r="E9" i="1" s="1"/>
  <c r="A10" i="1"/>
  <c r="B10" i="1" s="1"/>
  <c r="E10" i="1"/>
  <c r="A11" i="1"/>
  <c r="B11" i="1"/>
  <c r="E11" i="1" s="1"/>
  <c r="A12" i="1"/>
  <c r="B12" i="1" s="1"/>
  <c r="E12" i="1"/>
  <c r="A13" i="1"/>
  <c r="B13" i="1"/>
  <c r="E13" i="1" s="1"/>
  <c r="A6" i="1"/>
  <c r="M26" i="79"/>
  <c r="P26" i="79"/>
  <c r="M27" i="79"/>
  <c r="P27" i="79"/>
  <c r="M28" i="79"/>
  <c r="P28" i="79"/>
  <c r="L26" i="79"/>
  <c r="N26" i="79"/>
  <c r="L27" i="79"/>
  <c r="N27" i="79"/>
  <c r="L28" i="79"/>
  <c r="N28" i="79"/>
  <c r="I26" i="79"/>
  <c r="I27" i="79"/>
  <c r="I28" i="79"/>
  <c r="I6" i="79"/>
  <c r="I7" i="79"/>
  <c r="I8" i="79"/>
  <c r="K6" i="79"/>
  <c r="L6" i="79"/>
  <c r="L5" i="79"/>
  <c r="L7" i="79"/>
  <c r="L8" i="79"/>
  <c r="L9" i="79"/>
  <c r="S9" i="79" s="1"/>
  <c r="L10" i="79"/>
  <c r="L11" i="79"/>
  <c r="S11" i="79" s="1"/>
  <c r="L12" i="79"/>
  <c r="L13" i="79"/>
  <c r="S13" i="79" s="1"/>
  <c r="L14" i="79"/>
  <c r="L15" i="79"/>
  <c r="S15" i="79" s="1"/>
  <c r="M6" i="79"/>
  <c r="N6" i="79"/>
  <c r="N5" i="79"/>
  <c r="N7" i="79"/>
  <c r="N8" i="79"/>
  <c r="N9" i="79"/>
  <c r="U9" i="79" s="1"/>
  <c r="N10" i="79"/>
  <c r="N11" i="79"/>
  <c r="U11" i="79" s="1"/>
  <c r="N12" i="79"/>
  <c r="N13" i="79"/>
  <c r="U13" i="79" s="1"/>
  <c r="N14" i="79"/>
  <c r="N15" i="79"/>
  <c r="U15" i="79" s="1"/>
  <c r="O6" i="79"/>
  <c r="O5" i="79"/>
  <c r="O7" i="79"/>
  <c r="O8" i="79"/>
  <c r="O9" i="79"/>
  <c r="O10" i="79"/>
  <c r="O11" i="79"/>
  <c r="O12" i="79"/>
  <c r="O13" i="79"/>
  <c r="O14" i="79"/>
  <c r="O15" i="79"/>
  <c r="V15" i="79" s="1"/>
  <c r="K7" i="79"/>
  <c r="K5" i="79"/>
  <c r="K8" i="79"/>
  <c r="K9" i="79"/>
  <c r="K10" i="79"/>
  <c r="K11" i="79"/>
  <c r="K12" i="79"/>
  <c r="K13" i="79"/>
  <c r="K14" i="79"/>
  <c r="K15" i="79"/>
  <c r="R5" i="79"/>
  <c r="M7" i="79"/>
  <c r="P7" i="79"/>
  <c r="M8" i="79"/>
  <c r="P8" i="79"/>
  <c r="M5" i="79"/>
  <c r="M9" i="79"/>
  <c r="M10" i="79"/>
  <c r="M11" i="79"/>
  <c r="M12" i="79"/>
  <c r="M13" i="79"/>
  <c r="M14" i="79"/>
  <c r="M15" i="79"/>
  <c r="T15" i="79" s="1"/>
  <c r="W15" i="79" s="1"/>
  <c r="B10" i="74"/>
  <c r="B8" i="74"/>
  <c r="E111" i="9"/>
  <c r="H112" i="9" s="1"/>
  <c r="C8" i="74"/>
  <c r="B7" i="74"/>
  <c r="E109" i="9"/>
  <c r="H109" i="9" s="1"/>
  <c r="H110" i="9" s="1"/>
  <c r="C7" i="74" s="1"/>
  <c r="B3" i="78"/>
  <c r="AH5" i="71"/>
  <c r="AG5" i="71"/>
  <c r="AE5" i="71"/>
  <c r="AF5" i="71" s="1"/>
  <c r="AD5" i="71"/>
  <c r="AB5" i="71"/>
  <c r="AA5" i="71"/>
  <c r="Y5" i="71"/>
  <c r="Z5" i="71"/>
  <c r="X5" i="71"/>
  <c r="Q5" i="71"/>
  <c r="P5" i="71"/>
  <c r="O5" i="71"/>
  <c r="N5" i="71"/>
  <c r="AH6" i="71"/>
  <c r="AG6" i="71"/>
  <c r="AE6" i="71"/>
  <c r="AF6" i="71" s="1"/>
  <c r="AD6" i="71"/>
  <c r="AB6" i="71"/>
  <c r="AA6" i="71"/>
  <c r="Y6" i="71"/>
  <c r="Z6" i="71"/>
  <c r="X6" i="71"/>
  <c r="Q6" i="71"/>
  <c r="P6" i="71"/>
  <c r="O6" i="71"/>
  <c r="N6" i="71"/>
  <c r="AH7" i="71"/>
  <c r="AG7" i="71"/>
  <c r="AE7" i="71"/>
  <c r="AF7" i="71" s="1"/>
  <c r="AD7" i="71"/>
  <c r="AB7" i="71"/>
  <c r="AA7" i="71"/>
  <c r="Y7" i="71"/>
  <c r="Z7" i="71"/>
  <c r="X7" i="71"/>
  <c r="Q7" i="71"/>
  <c r="P7" i="71"/>
  <c r="O7" i="71"/>
  <c r="N7" i="71"/>
  <c r="C23" i="77"/>
  <c r="D9" i="77"/>
  <c r="D10" i="77"/>
  <c r="D12" i="77"/>
  <c r="D14" i="77"/>
  <c r="D15" i="77"/>
  <c r="D16" i="77"/>
  <c r="D17" i="77"/>
  <c r="C30" i="77"/>
  <c r="C29" i="77"/>
  <c r="D23" i="77"/>
  <c r="D38" i="77" s="1"/>
  <c r="D39" i="77" s="1"/>
  <c r="F13" i="1"/>
  <c r="D13" i="1"/>
  <c r="D12" i="1"/>
  <c r="D11" i="1"/>
  <c r="D10" i="1"/>
  <c r="D9" i="1"/>
  <c r="D8" i="1"/>
  <c r="D7" i="1"/>
  <c r="D6" i="1"/>
  <c r="I2" i="43"/>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C20" i="20"/>
  <c r="B101" i="43" s="1"/>
  <c r="C22" i="20"/>
  <c r="B100" i="43" s="1"/>
  <c r="C21" i="20"/>
  <c r="B99" i="43" s="1"/>
  <c r="C24" i="20"/>
  <c r="B97" i="43" s="1"/>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G2" i="43"/>
  <c r="I21" i="43" s="1"/>
  <c r="AB36" i="79"/>
  <c r="AA36" i="79"/>
  <c r="Z36" i="79"/>
  <c r="W36" i="79"/>
  <c r="N36" i="79"/>
  <c r="M36" i="79"/>
  <c r="P36" i="79"/>
  <c r="L36" i="79"/>
  <c r="I36" i="79"/>
  <c r="AD36" i="79" s="1"/>
  <c r="AB35" i="79"/>
  <c r="AA35" i="79"/>
  <c r="Z35" i="79"/>
  <c r="N35" i="79"/>
  <c r="U35" i="79"/>
  <c r="M35" i="79"/>
  <c r="T35" i="79"/>
  <c r="W35" i="79" s="1"/>
  <c r="L35" i="79"/>
  <c r="S35" i="79" s="1"/>
  <c r="I35" i="79"/>
  <c r="AD35" i="79" s="1"/>
  <c r="AB34" i="79"/>
  <c r="AA34" i="79"/>
  <c r="Z34" i="79"/>
  <c r="N34" i="79"/>
  <c r="U34" i="79"/>
  <c r="M34" i="79"/>
  <c r="T34" i="79"/>
  <c r="W34" i="79" s="1"/>
  <c r="L34" i="79"/>
  <c r="S34" i="79" s="1"/>
  <c r="I34" i="79"/>
  <c r="AB33" i="79"/>
  <c r="AA33" i="79"/>
  <c r="Z33" i="79"/>
  <c r="N33" i="79"/>
  <c r="U33" i="79"/>
  <c r="M33" i="79"/>
  <c r="T33" i="79"/>
  <c r="W33" i="79" s="1"/>
  <c r="L33" i="79"/>
  <c r="I33" i="79"/>
  <c r="AD33" i="79" s="1"/>
  <c r="AB32" i="79"/>
  <c r="AA32" i="79"/>
  <c r="Z32" i="79"/>
  <c r="N32" i="79"/>
  <c r="U32" i="79"/>
  <c r="M32" i="79"/>
  <c r="T32" i="79"/>
  <c r="W32" i="79" s="1"/>
  <c r="L32" i="79"/>
  <c r="S32" i="79" s="1"/>
  <c r="I32" i="79"/>
  <c r="AB31" i="79"/>
  <c r="AA31" i="79"/>
  <c r="Z31" i="79"/>
  <c r="N31" i="79"/>
  <c r="U31" i="79"/>
  <c r="M31" i="79"/>
  <c r="T31" i="79"/>
  <c r="W31" i="79" s="1"/>
  <c r="L31" i="79"/>
  <c r="I31" i="79"/>
  <c r="AD31" i="79" s="1"/>
  <c r="AB30" i="79"/>
  <c r="AA30" i="79"/>
  <c r="Z30" i="79"/>
  <c r="N30" i="79"/>
  <c r="U30" i="79"/>
  <c r="M30" i="79"/>
  <c r="L30" i="79"/>
  <c r="S30" i="79" s="1"/>
  <c r="I30" i="79"/>
  <c r="AD30" i="79" s="1"/>
  <c r="AB29" i="79"/>
  <c r="AB23" i="79" s="1"/>
  <c r="AA29" i="79"/>
  <c r="Z29" i="79"/>
  <c r="N29" i="79"/>
  <c r="U29" i="79"/>
  <c r="M29" i="79"/>
  <c r="L29" i="79"/>
  <c r="I29" i="79"/>
  <c r="AD29" i="79"/>
  <c r="AB25" i="79"/>
  <c r="AA25" i="79"/>
  <c r="Z25" i="79"/>
  <c r="N25" i="79"/>
  <c r="N23" i="79" s="1"/>
  <c r="M25" i="79"/>
  <c r="T25" i="79"/>
  <c r="W25" i="79" s="1"/>
  <c r="L25" i="79"/>
  <c r="I25" i="79"/>
  <c r="AD25" i="79"/>
  <c r="AA23" i="79"/>
  <c r="AD23" i="79" s="1"/>
  <c r="U23" i="79"/>
  <c r="T23" i="79"/>
  <c r="W23" i="79"/>
  <c r="M23" i="79"/>
  <c r="P23" i="79" s="1"/>
  <c r="L23" i="79"/>
  <c r="G23" i="79"/>
  <c r="F23" i="79"/>
  <c r="I23" i="79" s="1"/>
  <c r="E23" i="79"/>
  <c r="AC16" i="79"/>
  <c r="AB16" i="79"/>
  <c r="AA16" i="79"/>
  <c r="AD16" i="79"/>
  <c r="Z16" i="79"/>
  <c r="Y16" i="79"/>
  <c r="W16" i="79"/>
  <c r="M16" i="79"/>
  <c r="P16" i="79" s="1"/>
  <c r="O16" i="79"/>
  <c r="V3" i="79" s="1"/>
  <c r="N16" i="79"/>
  <c r="L16" i="79"/>
  <c r="S3" i="79" s="1"/>
  <c r="K16" i="79"/>
  <c r="I16" i="79"/>
  <c r="AC15" i="79"/>
  <c r="AB15" i="79"/>
  <c r="AA15" i="79"/>
  <c r="AD15" i="79"/>
  <c r="Z15" i="79"/>
  <c r="Y15" i="79"/>
  <c r="P15" i="79"/>
  <c r="R15" i="79"/>
  <c r="I15" i="79"/>
  <c r="AA14" i="79"/>
  <c r="AD14" i="79" s="1"/>
  <c r="AC14" i="79"/>
  <c r="AB14" i="79"/>
  <c r="Z14" i="79"/>
  <c r="Y14" i="79"/>
  <c r="R14" i="79"/>
  <c r="I14" i="79"/>
  <c r="AC13" i="79"/>
  <c r="AB13" i="79"/>
  <c r="AA13" i="79"/>
  <c r="AD13" i="79" s="1"/>
  <c r="Z13" i="79"/>
  <c r="Y13" i="79"/>
  <c r="P13" i="79"/>
  <c r="R13" i="79"/>
  <c r="I13" i="79"/>
  <c r="AA12" i="79"/>
  <c r="AD12" i="79"/>
  <c r="AC12" i="79"/>
  <c r="AB12" i="79"/>
  <c r="Z12" i="79"/>
  <c r="Y12" i="79"/>
  <c r="R12" i="79"/>
  <c r="I12" i="79"/>
  <c r="AC11" i="79"/>
  <c r="AB11" i="79"/>
  <c r="AA11" i="79"/>
  <c r="AD11" i="79"/>
  <c r="Z11" i="79"/>
  <c r="Y11" i="79"/>
  <c r="P11" i="79"/>
  <c r="R11" i="79"/>
  <c r="I11" i="79"/>
  <c r="AC10" i="79"/>
  <c r="AB10" i="79"/>
  <c r="AA10" i="79"/>
  <c r="AD10" i="79" s="1"/>
  <c r="Z10" i="79"/>
  <c r="Y10" i="79"/>
  <c r="R10" i="79"/>
  <c r="I10" i="79"/>
  <c r="AC9" i="79"/>
  <c r="AB9" i="79"/>
  <c r="AA9" i="79"/>
  <c r="AD9" i="79" s="1"/>
  <c r="Z9" i="79"/>
  <c r="Y9" i="79"/>
  <c r="P9" i="79"/>
  <c r="I9" i="79"/>
  <c r="AC5" i="79"/>
  <c r="AC3" i="79" s="1"/>
  <c r="AB5" i="79"/>
  <c r="AA5" i="79"/>
  <c r="AD5" i="79" s="1"/>
  <c r="Z5" i="79"/>
  <c r="Z3" i="79" s="1"/>
  <c r="Y5" i="79"/>
  <c r="P5" i="79"/>
  <c r="I5" i="79"/>
  <c r="AB3" i="79"/>
  <c r="Y3" i="79"/>
  <c r="U3" i="79"/>
  <c r="O3" i="79"/>
  <c r="N3" i="79"/>
  <c r="M3" i="79"/>
  <c r="P3" i="79" s="1"/>
  <c r="L3" i="79"/>
  <c r="K3" i="79"/>
  <c r="H3" i="79"/>
  <c r="G3" i="79"/>
  <c r="F3" i="79"/>
  <c r="I3" i="79" s="1"/>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c r="P10" i="79"/>
  <c r="C27" i="43"/>
  <c r="S6" i="43"/>
  <c r="S5" i="43"/>
  <c r="S4" i="43"/>
  <c r="S2" i="43"/>
  <c r="E93" i="43"/>
  <c r="B9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O21" i="43"/>
  <c r="D21" i="43"/>
  <c r="G18" i="43"/>
  <c r="P25" i="79"/>
  <c r="P30" i="79"/>
  <c r="P32" i="79"/>
  <c r="P34" i="79"/>
  <c r="P29" i="79"/>
  <c r="P31" i="79"/>
  <c r="P33" i="79"/>
  <c r="P35" i="79"/>
  <c r="E25" i="78"/>
  <c r="E24" i="78"/>
  <c r="F23" i="78"/>
  <c r="F24" i="78"/>
  <c r="F25" i="78" s="1"/>
  <c r="G25" i="78" s="1"/>
  <c r="E23" i="78"/>
  <c r="E22" i="78"/>
  <c r="G22" i="78"/>
  <c r="F12" i="78"/>
  <c r="F11" i="78"/>
  <c r="C15" i="78" s="1"/>
  <c r="C18" i="78"/>
  <c r="H100" i="43"/>
  <c r="H97" i="43"/>
  <c r="H95" i="43"/>
  <c r="H94" i="43"/>
  <c r="H98" i="43"/>
  <c r="H93" i="43"/>
  <c r="H101" i="43"/>
  <c r="H99" i="43"/>
  <c r="H96" i="43"/>
  <c r="G23" i="78"/>
  <c r="G24" i="78"/>
  <c r="B15" i="78"/>
  <c r="B18" i="78"/>
  <c r="G14" i="73"/>
  <c r="F14" i="73"/>
  <c r="E14" i="73"/>
  <c r="G15" i="73"/>
  <c r="F15" i="73"/>
  <c r="E15" i="73"/>
  <c r="G16" i="73"/>
  <c r="F16" i="73"/>
  <c r="E16" i="73"/>
  <c r="G13" i="73"/>
  <c r="F13" i="73"/>
  <c r="E13" i="73"/>
  <c r="AH8" i="71"/>
  <c r="AG8" i="71"/>
  <c r="AE8" i="71"/>
  <c r="AF8" i="71" s="1"/>
  <c r="AD8" i="71"/>
  <c r="Q8" i="71"/>
  <c r="P8" i="71"/>
  <c r="O8" i="71"/>
  <c r="N8" i="71"/>
  <c r="R43" i="77"/>
  <c r="R40" i="77"/>
  <c r="R41" i="77" s="1"/>
  <c r="F36" i="77"/>
  <c r="R34" i="77"/>
  <c r="R33" i="77"/>
  <c r="R27" i="77"/>
  <c r="M24" i="77"/>
  <c r="R23" i="77"/>
  <c r="R22" i="77"/>
  <c r="R21" i="77"/>
  <c r="N19" i="77"/>
  <c r="R18" i="77"/>
  <c r="D18" i="77"/>
  <c r="R17" i="77"/>
  <c r="R16" i="77"/>
  <c r="M14" i="77"/>
  <c r="N14" i="77"/>
  <c r="R13" i="77"/>
  <c r="R12" i="77"/>
  <c r="R11" i="77"/>
  <c r="R10" i="77"/>
  <c r="R9" i="77"/>
  <c r="R8" i="77"/>
  <c r="R7" i="77"/>
  <c r="R14" i="77" s="1"/>
  <c r="R4" i="77"/>
  <c r="R3" i="77"/>
  <c r="R24" i="77"/>
  <c r="D29" i="77"/>
  <c r="D26" i="77"/>
  <c r="D32" i="77"/>
  <c r="AH9" i="71"/>
  <c r="AG9" i="71"/>
  <c r="AE9" i="71"/>
  <c r="AF9" i="71"/>
  <c r="AD9" i="71"/>
  <c r="Q9" i="71"/>
  <c r="P9" i="71"/>
  <c r="O9" i="71"/>
  <c r="N9" i="71"/>
  <c r="R19" i="77"/>
  <c r="AH10" i="71"/>
  <c r="AG10" i="71"/>
  <c r="AE10" i="71"/>
  <c r="AF10" i="71" s="1"/>
  <c r="AD10" i="71"/>
  <c r="Q10" i="71"/>
  <c r="Q11" i="71"/>
  <c r="AB9" i="71" s="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Y9" i="71" s="1"/>
  <c r="Z9" i="71" s="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N10" i="71"/>
  <c r="N11" i="71"/>
  <c r="N12" i="71"/>
  <c r="N13" i="71"/>
  <c r="N14" i="71"/>
  <c r="N15" i="71"/>
  <c r="N16" i="71"/>
  <c r="N17" i="71"/>
  <c r="N18" i="71"/>
  <c r="N19" i="71"/>
  <c r="N20" i="71"/>
  <c r="N21" i="71"/>
  <c r="N22" i="71"/>
  <c r="N23" i="71"/>
  <c r="X9" i="71" s="1"/>
  <c r="N24" i="71"/>
  <c r="N25" i="71"/>
  <c r="N26" i="71"/>
  <c r="N27" i="71"/>
  <c r="N28" i="71"/>
  <c r="N29" i="71"/>
  <c r="N30" i="71"/>
  <c r="N31" i="71"/>
  <c r="N32" i="71"/>
  <c r="N33" i="71"/>
  <c r="N34" i="71"/>
  <c r="N35" i="71"/>
  <c r="N36" i="71"/>
  <c r="N37" i="71"/>
  <c r="N38" i="71"/>
  <c r="N39" i="71"/>
  <c r="E24" i="71"/>
  <c r="E23" i="71" s="1"/>
  <c r="E22" i="71" s="1"/>
  <c r="E21" i="71" s="1"/>
  <c r="E20" i="71" s="1"/>
  <c r="E19" i="71" s="1"/>
  <c r="E18" i="71" s="1"/>
  <c r="E17" i="71" s="1"/>
  <c r="E16" i="71" s="1"/>
  <c r="C24" i="71"/>
  <c r="C23" i="71" s="1"/>
  <c r="C22" i="71" s="1"/>
  <c r="C21" i="71" s="1"/>
  <c r="C20" i="71" s="1"/>
  <c r="C19" i="71" s="1"/>
  <c r="C18" i="71" s="1"/>
  <c r="C17" i="71" s="1"/>
  <c r="B24" i="71"/>
  <c r="B23" i="71" s="1"/>
  <c r="B22" i="71" s="1"/>
  <c r="B21" i="71" s="1"/>
  <c r="B20" i="71" s="1"/>
  <c r="B19" i="71" s="1"/>
  <c r="B18" i="71" s="1"/>
  <c r="B17" i="71" s="1"/>
  <c r="B16" i="71" s="1"/>
  <c r="E24" i="43"/>
  <c r="Q32" i="43" s="1"/>
  <c r="P32" i="43"/>
  <c r="N32" i="43"/>
  <c r="AH11" i="71"/>
  <c r="AG11" i="71"/>
  <c r="AE11" i="71"/>
  <c r="AF11" i="71" s="1"/>
  <c r="AD11" i="71"/>
  <c r="AB10" i="71"/>
  <c r="AA10" i="71"/>
  <c r="Y10" i="71"/>
  <c r="Z10" i="71"/>
  <c r="X10" i="71"/>
  <c r="AH12" i="71"/>
  <c r="AG12" i="71"/>
  <c r="AE12" i="71"/>
  <c r="AF12" i="71"/>
  <c r="AD12" i="71"/>
  <c r="AH13" i="71"/>
  <c r="AG13" i="71"/>
  <c r="AE13" i="71"/>
  <c r="AF13" i="71" s="1"/>
  <c r="AD13" i="71"/>
  <c r="AB12" i="71"/>
  <c r="AA12" i="71"/>
  <c r="Y12" i="71"/>
  <c r="Z12" i="71" s="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s="1"/>
  <c r="AD14" i="71"/>
  <c r="AB13" i="71"/>
  <c r="AA13" i="71"/>
  <c r="Y13" i="71"/>
  <c r="Z13" i="71"/>
  <c r="X13" i="71"/>
  <c r="AH15" i="71"/>
  <c r="AG15" i="71"/>
  <c r="AE15" i="71"/>
  <c r="AF15" i="71"/>
  <c r="AD15" i="71"/>
  <c r="AB14" i="71"/>
  <c r="AA14" i="71"/>
  <c r="Y14" i="71"/>
  <c r="Z14" i="71" s="1"/>
  <c r="X14" i="71"/>
  <c r="AB18" i="71"/>
  <c r="AB17" i="71"/>
  <c r="AA17" i="71"/>
  <c r="Y17" i="71"/>
  <c r="Z17" i="71" s="1"/>
  <c r="X17" i="71"/>
  <c r="AH16" i="71"/>
  <c r="AG16" i="71"/>
  <c r="AE16" i="71"/>
  <c r="AF16" i="71"/>
  <c r="AD16" i="71"/>
  <c r="AB15" i="71"/>
  <c r="AA15" i="71"/>
  <c r="X15" i="71"/>
  <c r="F24" i="71"/>
  <c r="F23" i="71"/>
  <c r="F22" i="71" s="1"/>
  <c r="F21" i="71" s="1"/>
  <c r="F20" i="71" s="1"/>
  <c r="F19" i="71" s="1"/>
  <c r="F18" i="71" s="1"/>
  <c r="F17" i="71" s="1"/>
  <c r="AH17" i="71"/>
  <c r="AG17" i="71"/>
  <c r="AE17" i="71"/>
  <c r="AF17" i="71" s="1"/>
  <c r="AD17" i="71"/>
  <c r="AH18" i="71"/>
  <c r="AG18" i="71"/>
  <c r="AE18" i="71"/>
  <c r="AF18" i="71"/>
  <c r="AD18" i="71"/>
  <c r="F24" i="12"/>
  <c r="F7" i="69"/>
  <c r="F7" i="68"/>
  <c r="AH19" i="71"/>
  <c r="AG19" i="71"/>
  <c r="AE19" i="71"/>
  <c r="AF19" i="71"/>
  <c r="AD19" i="71"/>
  <c r="AA18" i="71"/>
  <c r="Y18" i="71"/>
  <c r="X18" i="71"/>
  <c r="AD20" i="71"/>
  <c r="AH20" i="71"/>
  <c r="AG20" i="71"/>
  <c r="AE20" i="71"/>
  <c r="AF20" i="71" s="1"/>
  <c r="L3" i="71"/>
  <c r="AH3" i="71" s="1"/>
  <c r="K3" i="71"/>
  <c r="AG3" i="71" s="1"/>
  <c r="J3" i="71"/>
  <c r="AE3" i="71" s="1"/>
  <c r="I3" i="71"/>
  <c r="AH21" i="71"/>
  <c r="AG21" i="71"/>
  <c r="AE21" i="71"/>
  <c r="AF21" i="71"/>
  <c r="AD21" i="71"/>
  <c r="AA21" i="71"/>
  <c r="X21" i="71"/>
  <c r="AH22" i="71"/>
  <c r="AG22" i="71"/>
  <c r="AE22" i="71"/>
  <c r="AF22" i="71" s="1"/>
  <c r="AD22" i="71"/>
  <c r="AB21" i="71"/>
  <c r="AA22" i="71"/>
  <c r="Y21" i="71"/>
  <c r="Z21" i="71"/>
  <c r="D25" i="71"/>
  <c r="AH23" i="71"/>
  <c r="AG23" i="71"/>
  <c r="AE23" i="71"/>
  <c r="AF23" i="71" s="1"/>
  <c r="AD23" i="71"/>
  <c r="AD24" i="71"/>
  <c r="AG24" i="71"/>
  <c r="AH24" i="71"/>
  <c r="AE24" i="71"/>
  <c r="AF24" i="71" s="1"/>
  <c r="X22" i="71"/>
  <c r="AB23" i="71"/>
  <c r="AA23" i="71"/>
  <c r="Y22" i="71"/>
  <c r="Z22" i="71"/>
  <c r="Y23" i="71"/>
  <c r="Z23"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c r="A20" i="62"/>
  <c r="A22" i="51"/>
  <c r="A21" i="51"/>
  <c r="A20" i="51"/>
  <c r="A15" i="62"/>
  <c r="A14" i="62"/>
  <c r="A13" i="62"/>
  <c r="B59" i="72"/>
  <c r="A19" i="62"/>
  <c r="A12" i="62"/>
  <c r="B58" i="72" s="1"/>
  <c r="A120" i="9"/>
  <c r="H2" i="52"/>
  <c r="A1" i="52"/>
  <c r="A3" i="53"/>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C91" i="9"/>
  <c r="B8" i="72"/>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B74" i="72"/>
  <c r="K49" i="9"/>
  <c r="E107" i="9"/>
  <c r="A122" i="9"/>
  <c r="A8" i="52" s="1"/>
  <c r="B54" i="72" s="1"/>
  <c r="A126" i="9"/>
  <c r="A12" i="52"/>
  <c r="B56" i="72" s="1"/>
  <c r="A124" i="9"/>
  <c r="A10" i="52" s="1"/>
  <c r="B55" i="72" s="1"/>
  <c r="B44" i="72"/>
  <c r="B42" i="72"/>
  <c r="B69" i="72"/>
  <c r="B68" i="72"/>
  <c r="B63" i="72"/>
  <c r="B62" i="72"/>
  <c r="B16" i="72"/>
  <c r="B65" i="72"/>
  <c r="B60" i="72"/>
  <c r="B66" i="72"/>
  <c r="B10" i="72"/>
  <c r="C53" i="10"/>
  <c r="B51" i="10"/>
  <c r="B19" i="72"/>
  <c r="A18" i="51"/>
  <c r="B13" i="72"/>
  <c r="B49" i="48"/>
  <c r="B5" i="72"/>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O53" i="71"/>
  <c r="C54" i="71"/>
  <c r="Q53" i="71"/>
  <c r="F54" i="71"/>
  <c r="F55" i="71" s="1"/>
  <c r="F56" i="71"/>
  <c r="V56" i="71" s="1"/>
  <c r="P53" i="71"/>
  <c r="E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c r="F47" i="71" s="1"/>
  <c r="F48" i="7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c r="F43" i="71" s="1"/>
  <c r="F44" i="71"/>
  <c r="V44" i="71" s="1"/>
  <c r="P41" i="71"/>
  <c r="E42" i="71" s="1"/>
  <c r="E43" i="71"/>
  <c r="E44" i="71" s="1"/>
  <c r="U44" i="71" s="1"/>
  <c r="O41" i="71"/>
  <c r="C42" i="71"/>
  <c r="N41" i="71"/>
  <c r="B42" i="71"/>
  <c r="B43" i="71" s="1"/>
  <c r="B44" i="71"/>
  <c r="S44" i="71" s="1"/>
  <c r="D41" i="71"/>
  <c r="Q40" i="71"/>
  <c r="P40" i="71"/>
  <c r="O40" i="71"/>
  <c r="N40" i="71"/>
  <c r="AB39" i="71"/>
  <c r="AA39" i="71"/>
  <c r="Y39" i="71"/>
  <c r="Z39" i="71"/>
  <c r="X39" i="71"/>
  <c r="AB38" i="71"/>
  <c r="Y38" i="71"/>
  <c r="Z38" i="71"/>
  <c r="F38" i="71"/>
  <c r="F39" i="71"/>
  <c r="F40" i="71" s="1"/>
  <c r="V40" i="71"/>
  <c r="D37" i="71"/>
  <c r="AB36" i="71"/>
  <c r="Y36" i="71"/>
  <c r="Z36" i="71"/>
  <c r="AB35" i="71"/>
  <c r="Y35" i="71"/>
  <c r="Z35" i="71" s="1"/>
  <c r="AB34" i="71"/>
  <c r="Y34" i="71"/>
  <c r="Z34" i="71"/>
  <c r="F34" i="71"/>
  <c r="F35" i="71"/>
  <c r="F36" i="71" s="1"/>
  <c r="V36" i="71"/>
  <c r="D33" i="71"/>
  <c r="AB32" i="71"/>
  <c r="Y32" i="71"/>
  <c r="Z32" i="71"/>
  <c r="AB31" i="71"/>
  <c r="Y31" i="71"/>
  <c r="Z31" i="71" s="1"/>
  <c r="AB30" i="71"/>
  <c r="Y30" i="71"/>
  <c r="Z30" i="71"/>
  <c r="F30" i="71"/>
  <c r="F31" i="71"/>
  <c r="F32" i="71" s="1"/>
  <c r="V32" i="71"/>
  <c r="D29" i="71"/>
  <c r="B30" i="71"/>
  <c r="B31" i="71" s="1"/>
  <c r="B32" i="71" s="1"/>
  <c r="S32" i="71" s="1"/>
  <c r="X29" i="71"/>
  <c r="E30" i="71"/>
  <c r="E31" i="71"/>
  <c r="E32" i="71" s="1"/>
  <c r="U32" i="71" s="1"/>
  <c r="AA29" i="71"/>
  <c r="B34" i="71"/>
  <c r="B35" i="71" s="1"/>
  <c r="B36" i="71"/>
  <c r="S36" i="71" s="1"/>
  <c r="X33" i="71"/>
  <c r="B38" i="71"/>
  <c r="B39" i="71"/>
  <c r="B40" i="71" s="1"/>
  <c r="S40" i="71"/>
  <c r="X37" i="71"/>
  <c r="E38" i="71"/>
  <c r="E39" i="71" s="1"/>
  <c r="E40" i="71" s="1"/>
  <c r="U40" i="71" s="1"/>
  <c r="AA37" i="71"/>
  <c r="E34" i="71"/>
  <c r="E35" i="71"/>
  <c r="E36" i="71" s="1"/>
  <c r="U36" i="71" s="1"/>
  <c r="AA33" i="71"/>
  <c r="C30" i="71"/>
  <c r="D30" i="71" s="1"/>
  <c r="Y29" i="71"/>
  <c r="Z29" i="71"/>
  <c r="AB29" i="71"/>
  <c r="X30" i="71"/>
  <c r="AA30" i="71"/>
  <c r="X31" i="71"/>
  <c r="AA31" i="71"/>
  <c r="X32" i="71"/>
  <c r="AA32" i="71"/>
  <c r="C34" i="71"/>
  <c r="C35" i="71" s="1"/>
  <c r="Y33" i="71"/>
  <c r="Z33" i="71" s="1"/>
  <c r="AB33" i="71"/>
  <c r="X34" i="71"/>
  <c r="AA34" i="71"/>
  <c r="X35" i="71"/>
  <c r="AA35" i="71"/>
  <c r="X36" i="71"/>
  <c r="AA36" i="71"/>
  <c r="C38" i="71"/>
  <c r="Y37" i="71"/>
  <c r="Z37" i="71" s="1"/>
  <c r="AB37" i="71"/>
  <c r="X38" i="71"/>
  <c r="AA38" i="71"/>
  <c r="C28" i="71"/>
  <c r="C27" i="71" s="1"/>
  <c r="Y25" i="71"/>
  <c r="Z25" i="71"/>
  <c r="Y26" i="71"/>
  <c r="Z26" i="71"/>
  <c r="Y27" i="71"/>
  <c r="Z27" i="71"/>
  <c r="Y28" i="71"/>
  <c r="Z28" i="71"/>
  <c r="B28" i="71"/>
  <c r="B27" i="71"/>
  <c r="B26" i="71" s="1"/>
  <c r="X25" i="71"/>
  <c r="X26" i="71"/>
  <c r="X27" i="71"/>
  <c r="X28" i="71"/>
  <c r="C31" i="71"/>
  <c r="D31" i="71" s="1"/>
  <c r="D34" i="71"/>
  <c r="C39" i="71"/>
  <c r="D38" i="71"/>
  <c r="C43" i="71"/>
  <c r="D42" i="71"/>
  <c r="C47" i="71"/>
  <c r="D47" i="71"/>
  <c r="D46" i="71"/>
  <c r="C51" i="71"/>
  <c r="D51" i="71" s="1"/>
  <c r="D50" i="71"/>
  <c r="E55" i="71"/>
  <c r="E56" i="71" s="1"/>
  <c r="U56" i="71" s="1"/>
  <c r="E59" i="71"/>
  <c r="E60" i="71"/>
  <c r="U60" i="71" s="1"/>
  <c r="E63" i="71"/>
  <c r="E64" i="71" s="1"/>
  <c r="U64" i="71" s="1"/>
  <c r="Q65" i="71"/>
  <c r="U68" i="71"/>
  <c r="E67" i="71"/>
  <c r="C55" i="71"/>
  <c r="D55" i="71" s="1"/>
  <c r="D54" i="71"/>
  <c r="C59" i="71"/>
  <c r="D59" i="71" s="1"/>
  <c r="D58" i="71"/>
  <c r="C63" i="71"/>
  <c r="C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c r="F26" i="71" s="1"/>
  <c r="AB25" i="71"/>
  <c r="AB26" i="71"/>
  <c r="AB27" i="71"/>
  <c r="AB28" i="71"/>
  <c r="E28" i="71"/>
  <c r="E27" i="71" s="1"/>
  <c r="E26" i="71" s="1"/>
  <c r="AA3" i="71"/>
  <c r="AA25" i="71"/>
  <c r="AA26" i="71"/>
  <c r="AA27" i="71"/>
  <c r="AA28" i="71"/>
  <c r="D28" i="71"/>
  <c r="U28" i="71" s="1"/>
  <c r="C66" i="71"/>
  <c r="D66" i="71" s="1"/>
  <c r="D67" i="71"/>
  <c r="D63" i="71"/>
  <c r="C82" i="71"/>
  <c r="D82" i="71" s="1"/>
  <c r="D75" i="71"/>
  <c r="D87" i="71"/>
  <c r="C86" i="71"/>
  <c r="D86" i="71" s="1"/>
  <c r="D79" i="71"/>
  <c r="C70" i="71"/>
  <c r="D70" i="71" s="1"/>
  <c r="C60" i="71"/>
  <c r="T60" i="71" s="1"/>
  <c r="C56" i="71"/>
  <c r="T56" i="71" s="1"/>
  <c r="P67" i="71"/>
  <c r="E66" i="71"/>
  <c r="C52" i="71"/>
  <c r="T52" i="71" s="1"/>
  <c r="C44" i="71"/>
  <c r="T44" i="71" s="1"/>
  <c r="D43" i="71"/>
  <c r="C40" i="71"/>
  <c r="T40" i="71" s="1"/>
  <c r="D39" i="71"/>
  <c r="C32" i="71"/>
  <c r="T32" i="71" s="1"/>
  <c r="P65" i="71"/>
  <c r="P66" i="71"/>
  <c r="O66" i="71"/>
  <c r="O65" i="71"/>
  <c r="D32"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D81" i="21"/>
  <c r="H19" i="21"/>
  <c r="D83" i="21"/>
  <c r="F21" i="21"/>
  <c r="AA21" i="21" s="1"/>
  <c r="G20" i="20"/>
  <c r="B88" i="43" s="1"/>
  <c r="B77" i="43"/>
  <c r="B57" i="43"/>
  <c r="B68" i="43"/>
  <c r="C29" i="39"/>
  <c r="S25" i="40"/>
  <c r="S18" i="36"/>
  <c r="U18" i="36"/>
  <c r="S21" i="34"/>
  <c r="F94" i="40"/>
  <c r="H25" i="40"/>
  <c r="G94" i="40"/>
  <c r="J25" i="40"/>
  <c r="AC25" i="40" s="1"/>
  <c r="H29" i="39"/>
  <c r="AB29" i="39"/>
  <c r="J29" i="39"/>
  <c r="AC29" i="39"/>
  <c r="J18" i="36"/>
  <c r="AC18" i="36" s="1"/>
  <c r="F68" i="35"/>
  <c r="H18" i="35"/>
  <c r="AB18" i="35" s="1"/>
  <c r="G68" i="35"/>
  <c r="J18" i="35"/>
  <c r="F77" i="37"/>
  <c r="G77" i="37" s="1"/>
  <c r="H21" i="37"/>
  <c r="F21" i="37"/>
  <c r="AA21" i="37" s="1"/>
  <c r="H21" i="34"/>
  <c r="AB21" i="34" s="1"/>
  <c r="F83" i="33"/>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c r="F20" i="69"/>
  <c r="F39" i="69"/>
  <c r="E10" i="69"/>
  <c r="E9" i="69"/>
  <c r="W21" i="37"/>
  <c r="W21" i="34"/>
  <c r="W21" i="33"/>
  <c r="U21" i="21"/>
  <c r="J21" i="21"/>
  <c r="AC21" i="21" s="1"/>
  <c r="C40" i="69"/>
  <c r="F38" i="68"/>
  <c r="E37" i="68"/>
  <c r="F36" i="68"/>
  <c r="F35" i="68"/>
  <c r="F21" i="68"/>
  <c r="F40" i="68" s="1"/>
  <c r="C21" i="68"/>
  <c r="F20" i="68"/>
  <c r="F39" i="68"/>
  <c r="E10" i="68"/>
  <c r="E9" i="68"/>
  <c r="C7" i="68"/>
  <c r="W21" i="21"/>
  <c r="C40"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s="1"/>
  <c r="K77" i="43"/>
  <c r="J77" i="43" s="1"/>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Q72" i="15"/>
  <c r="Q58" i="15"/>
  <c r="Q51" i="15"/>
  <c r="Q59" i="15"/>
  <c r="AE13" i="1"/>
  <c r="M47" i="15"/>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E15" i="4"/>
  <c r="F8"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B487" i="3"/>
  <c r="BC487" i="3"/>
  <c r="BA487" i="3" s="1"/>
  <c r="AZ487" i="3" s="1"/>
  <c r="BD487" i="3"/>
  <c r="BE487" i="3"/>
  <c r="BF487" i="3"/>
  <c r="BG487" i="3"/>
  <c r="BH487" i="3"/>
  <c r="BI487" i="3"/>
  <c r="BJ487" i="3"/>
  <c r="BK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B481" i="3"/>
  <c r="BC481" i="3"/>
  <c r="BA481" i="3" s="1"/>
  <c r="AZ481" i="3" s="1"/>
  <c r="BD481" i="3"/>
  <c r="BE481" i="3"/>
  <c r="BF481" i="3"/>
  <c r="BG481" i="3"/>
  <c r="BH481" i="3"/>
  <c r="BI481" i="3"/>
  <c r="BJ481" i="3"/>
  <c r="BK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B477" i="3"/>
  <c r="BC477" i="3"/>
  <c r="BA477" i="3" s="1"/>
  <c r="AZ477" i="3" s="1"/>
  <c r="BD477" i="3"/>
  <c r="BE477" i="3"/>
  <c r="BF477" i="3"/>
  <c r="BG477" i="3"/>
  <c r="BH477" i="3"/>
  <c r="BI477" i="3"/>
  <c r="BJ477" i="3"/>
  <c r="BK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B469" i="3"/>
  <c r="BC469" i="3"/>
  <c r="BD469" i="3"/>
  <c r="BE469" i="3"/>
  <c r="BF469" i="3"/>
  <c r="BG469" i="3"/>
  <c r="BH469" i="3"/>
  <c r="BI469" i="3"/>
  <c r="BJ469" i="3"/>
  <c r="BK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B462" i="3"/>
  <c r="BC462" i="3"/>
  <c r="BD462" i="3"/>
  <c r="BE462" i="3"/>
  <c r="BF462" i="3"/>
  <c r="BG462" i="3"/>
  <c r="BH462" i="3"/>
  <c r="BI462" i="3"/>
  <c r="BJ462" i="3"/>
  <c r="BK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B459" i="3"/>
  <c r="BC459" i="3"/>
  <c r="BA459" i="3" s="1"/>
  <c r="AZ459" i="3" s="1"/>
  <c r="BD459" i="3"/>
  <c r="BE459" i="3"/>
  <c r="BF459" i="3"/>
  <c r="BG459" i="3"/>
  <c r="BH459" i="3"/>
  <c r="BI459" i="3"/>
  <c r="BJ459" i="3"/>
  <c r="BK459" i="3"/>
  <c r="AX459" i="3"/>
  <c r="AW459" i="3"/>
  <c r="AV459" i="3"/>
  <c r="AC459" i="3"/>
  <c r="H459" i="3"/>
  <c r="G459" i="3"/>
  <c r="BT458" i="3"/>
  <c r="BS458" i="3"/>
  <c r="BR458" i="3"/>
  <c r="BQ458" i="3"/>
  <c r="BP458" i="3"/>
  <c r="BO458" i="3"/>
  <c r="BN458" i="3"/>
  <c r="BM458" i="3"/>
  <c r="BL458" i="3" s="1"/>
  <c r="BB458" i="3"/>
  <c r="BC458" i="3"/>
  <c r="BD458" i="3"/>
  <c r="BE458" i="3"/>
  <c r="BF458" i="3"/>
  <c r="BG458" i="3"/>
  <c r="BH458" i="3"/>
  <c r="BI458" i="3"/>
  <c r="BJ458" i="3"/>
  <c r="BK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B454" i="3"/>
  <c r="BC454" i="3"/>
  <c r="BA454" i="3" s="1"/>
  <c r="AZ454" i="3" s="1"/>
  <c r="BD454" i="3"/>
  <c r="BE454" i="3"/>
  <c r="BF454" i="3"/>
  <c r="BG454" i="3"/>
  <c r="BH454" i="3"/>
  <c r="BI454" i="3"/>
  <c r="BJ454" i="3"/>
  <c r="BK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B451" i="3"/>
  <c r="BC451" i="3"/>
  <c r="BD451" i="3"/>
  <c r="BE451" i="3"/>
  <c r="BF451" i="3"/>
  <c r="BG451" i="3"/>
  <c r="BH451" i="3"/>
  <c r="BI451" i="3"/>
  <c r="BJ451" i="3"/>
  <c r="BK451" i="3"/>
  <c r="BA451" i="3"/>
  <c r="AX451" i="3"/>
  <c r="AW451" i="3"/>
  <c r="AV451" i="3"/>
  <c r="AC451" i="3"/>
  <c r="H451" i="3"/>
  <c r="G451" i="3" s="1"/>
  <c r="BT450" i="3"/>
  <c r="BS450" i="3"/>
  <c r="BR450" i="3"/>
  <c r="BQ450" i="3"/>
  <c r="BP450" i="3"/>
  <c r="BO450" i="3"/>
  <c r="BN450" i="3"/>
  <c r="BM450" i="3"/>
  <c r="BL450" i="3"/>
  <c r="BB450" i="3"/>
  <c r="BC450" i="3"/>
  <c r="BA450" i="3" s="1"/>
  <c r="AZ450" i="3" s="1"/>
  <c r="BD450" i="3"/>
  <c r="BE450" i="3"/>
  <c r="BF450" i="3"/>
  <c r="BG450" i="3"/>
  <c r="BH450" i="3"/>
  <c r="BI450" i="3"/>
  <c r="BJ450" i="3"/>
  <c r="BK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B446" i="3"/>
  <c r="BC446" i="3"/>
  <c r="BA446" i="3" s="1"/>
  <c r="AZ446" i="3" s="1"/>
  <c r="BD446" i="3"/>
  <c r="BE446" i="3"/>
  <c r="BF446" i="3"/>
  <c r="BG446" i="3"/>
  <c r="BH446" i="3"/>
  <c r="BI446" i="3"/>
  <c r="BJ446" i="3"/>
  <c r="BK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B443" i="3"/>
  <c r="BC443" i="3"/>
  <c r="BD443" i="3"/>
  <c r="BE443" i="3"/>
  <c r="BF443" i="3"/>
  <c r="BG443" i="3"/>
  <c r="BH443" i="3"/>
  <c r="BI443" i="3"/>
  <c r="BJ443" i="3"/>
  <c r="BK443" i="3"/>
  <c r="BA443" i="3"/>
  <c r="AZ443" i="3" s="1"/>
  <c r="AX443" i="3"/>
  <c r="AW443" i="3"/>
  <c r="AV443" i="3"/>
  <c r="AC443" i="3"/>
  <c r="H443" i="3"/>
  <c r="G443" i="3" s="1"/>
  <c r="BT442" i="3"/>
  <c r="BS442" i="3"/>
  <c r="BR442" i="3"/>
  <c r="BQ442" i="3"/>
  <c r="BP442" i="3"/>
  <c r="BO442" i="3"/>
  <c r="BN442" i="3"/>
  <c r="BM442" i="3"/>
  <c r="BL442" i="3"/>
  <c r="BB442" i="3"/>
  <c r="BC442" i="3"/>
  <c r="BA442" i="3" s="1"/>
  <c r="AZ442" i="3" s="1"/>
  <c r="BD442" i="3"/>
  <c r="BE442" i="3"/>
  <c r="BF442" i="3"/>
  <c r="BG442" i="3"/>
  <c r="BH442" i="3"/>
  <c r="BI442" i="3"/>
  <c r="BJ442" i="3"/>
  <c r="BK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B438" i="3"/>
  <c r="BC438" i="3"/>
  <c r="BD438" i="3"/>
  <c r="BE438" i="3"/>
  <c r="BF438" i="3"/>
  <c r="BG438" i="3"/>
  <c r="BH438" i="3"/>
  <c r="BI438" i="3"/>
  <c r="BJ438" i="3"/>
  <c r="BK438" i="3"/>
  <c r="BA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B435" i="3"/>
  <c r="BC435" i="3"/>
  <c r="BD435" i="3"/>
  <c r="BE435" i="3"/>
  <c r="BF435" i="3"/>
  <c r="BG435" i="3"/>
  <c r="BH435" i="3"/>
  <c r="BI435" i="3"/>
  <c r="BJ435" i="3"/>
  <c r="BK435" i="3"/>
  <c r="BA435" i="3"/>
  <c r="AZ435" i="3" s="1"/>
  <c r="AX435" i="3"/>
  <c r="AW435" i="3"/>
  <c r="AV435" i="3"/>
  <c r="AC435" i="3"/>
  <c r="H435" i="3"/>
  <c r="G435" i="3" s="1"/>
  <c r="BT434" i="3"/>
  <c r="BS434" i="3"/>
  <c r="BR434" i="3"/>
  <c r="BQ434" i="3"/>
  <c r="BP434" i="3"/>
  <c r="BO434" i="3"/>
  <c r="BN434" i="3"/>
  <c r="BM434" i="3"/>
  <c r="BL434" i="3"/>
  <c r="BB434" i="3"/>
  <c r="BC434" i="3"/>
  <c r="BA434" i="3" s="1"/>
  <c r="AZ434" i="3" s="1"/>
  <c r="BD434" i="3"/>
  <c r="BE434" i="3"/>
  <c r="BF434" i="3"/>
  <c r="BG434" i="3"/>
  <c r="BH434" i="3"/>
  <c r="BI434" i="3"/>
  <c r="BJ434" i="3"/>
  <c r="BK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B422" i="3"/>
  <c r="BC422" i="3"/>
  <c r="BA422" i="3" s="1"/>
  <c r="AZ422" i="3" s="1"/>
  <c r="BD422" i="3"/>
  <c r="BE422" i="3"/>
  <c r="BF422" i="3"/>
  <c r="BG422" i="3"/>
  <c r="BH422" i="3"/>
  <c r="BI422" i="3"/>
  <c r="BJ422" i="3"/>
  <c r="BK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B419" i="3"/>
  <c r="BC419" i="3"/>
  <c r="BD419" i="3"/>
  <c r="BE419" i="3"/>
  <c r="BF419" i="3"/>
  <c r="BG419" i="3"/>
  <c r="BH419" i="3"/>
  <c r="BI419" i="3"/>
  <c r="BJ419" i="3"/>
  <c r="BK419" i="3"/>
  <c r="BA419" i="3"/>
  <c r="AX419" i="3"/>
  <c r="AW419" i="3"/>
  <c r="AV419" i="3"/>
  <c r="AC419" i="3"/>
  <c r="H419" i="3"/>
  <c r="G419" i="3" s="1"/>
  <c r="BT418" i="3"/>
  <c r="BS418" i="3"/>
  <c r="BR418" i="3"/>
  <c r="BQ418" i="3"/>
  <c r="BP418" i="3"/>
  <c r="BO418" i="3"/>
  <c r="BN418" i="3"/>
  <c r="BM418" i="3"/>
  <c r="BL418" i="3"/>
  <c r="BB418" i="3"/>
  <c r="BC418" i="3"/>
  <c r="BA418" i="3" s="1"/>
  <c r="AZ418" i="3" s="1"/>
  <c r="BD418" i="3"/>
  <c r="BE418" i="3"/>
  <c r="BF418" i="3"/>
  <c r="BG418" i="3"/>
  <c r="BH418" i="3"/>
  <c r="BI418" i="3"/>
  <c r="BJ418" i="3"/>
  <c r="BK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B406" i="3"/>
  <c r="BC406" i="3"/>
  <c r="BD406" i="3"/>
  <c r="BE406" i="3"/>
  <c r="BF406" i="3"/>
  <c r="BG406" i="3"/>
  <c r="BH406" i="3"/>
  <c r="BI406" i="3"/>
  <c r="BJ406" i="3"/>
  <c r="BK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B403" i="3"/>
  <c r="BC403" i="3"/>
  <c r="BA403" i="3" s="1"/>
  <c r="AZ403" i="3" s="1"/>
  <c r="BD403" i="3"/>
  <c r="BE403" i="3"/>
  <c r="BF403" i="3"/>
  <c r="BG403" i="3"/>
  <c r="BH403" i="3"/>
  <c r="BI403" i="3"/>
  <c r="BJ403" i="3"/>
  <c r="BK403" i="3"/>
  <c r="AX403" i="3"/>
  <c r="AW403" i="3"/>
  <c r="AV403" i="3"/>
  <c r="AC403" i="3"/>
  <c r="H403" i="3"/>
  <c r="G403" i="3"/>
  <c r="BT402" i="3"/>
  <c r="BS402" i="3"/>
  <c r="BR402" i="3"/>
  <c r="BQ402" i="3"/>
  <c r="BP402" i="3"/>
  <c r="BO402" i="3"/>
  <c r="BN402" i="3"/>
  <c r="BM402" i="3"/>
  <c r="BL402" i="3" s="1"/>
  <c r="BB402" i="3"/>
  <c r="BC402" i="3"/>
  <c r="BD402" i="3"/>
  <c r="BE402" i="3"/>
  <c r="BF402" i="3"/>
  <c r="BG402" i="3"/>
  <c r="BH402" i="3"/>
  <c r="BI402" i="3"/>
  <c r="BJ402" i="3"/>
  <c r="BK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4" i="40"/>
  <c r="I54" i="40" s="1"/>
  <c r="C54" i="40" s="1"/>
  <c r="H53" i="40"/>
  <c r="I53" i="40"/>
  <c r="C53" i="40" s="1"/>
  <c r="H52" i="40"/>
  <c r="I52" i="40" s="1"/>
  <c r="C52" i="40" s="1"/>
  <c r="H64" i="39"/>
  <c r="I64" i="39"/>
  <c r="C64" i="39" s="1"/>
  <c r="H63" i="39"/>
  <c r="I63" i="39" s="1"/>
  <c r="C63" i="39" s="1"/>
  <c r="H59" i="39"/>
  <c r="I59" i="39"/>
  <c r="C59" i="39" s="1"/>
  <c r="H58" i="39"/>
  <c r="I58" i="39" s="1"/>
  <c r="C58" i="39" s="1"/>
  <c r="H57" i="39"/>
  <c r="I57" i="39"/>
  <c r="C57" i="39" s="1"/>
  <c r="H60" i="39"/>
  <c r="I60" i="39" s="1"/>
  <c r="C60" i="39" s="1"/>
  <c r="H62" i="39"/>
  <c r="I62" i="39"/>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c r="B13" i="53"/>
  <c r="B29" i="72"/>
  <c r="R35" i="4"/>
  <c r="Q35" i="4"/>
  <c r="P35" i="4"/>
  <c r="O35" i="4"/>
  <c r="N35" i="4"/>
  <c r="M35" i="4"/>
  <c r="L35" i="4"/>
  <c r="K34" i="4"/>
  <c r="T34" i="4" s="1"/>
  <c r="G13" i="1"/>
  <c r="H15" i="4"/>
  <c r="F9" i="1"/>
  <c r="G9" i="1" s="1"/>
  <c r="G15" i="4"/>
  <c r="F12" i="1"/>
  <c r="F15" i="4"/>
  <c r="F11" i="1"/>
  <c r="G11" i="1"/>
  <c r="F7" i="1"/>
  <c r="G7" i="1"/>
  <c r="C15" i="4"/>
  <c r="G6" i="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c r="M19" i="15"/>
  <c r="BR13" i="3"/>
  <c r="B22" i="1"/>
  <c r="G41" i="69"/>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19" i="6"/>
  <c r="E20" i="6"/>
  <c r="E21" i="6"/>
  <c r="K8" i="1"/>
  <c r="M8" i="1" s="1"/>
  <c r="F23" i="15"/>
  <c r="D24" i="15" s="1"/>
  <c r="E22" i="6"/>
  <c r="E23" i="6"/>
  <c r="K10" i="1"/>
  <c r="M10" i="1" s="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s="1"/>
  <c r="D89" i="9"/>
  <c r="C89" i="9" s="1"/>
  <c r="C87" i="9" s="1"/>
  <c r="C92"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H551" i="3"/>
  <c r="AC551" i="3"/>
  <c r="G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S42" i="34" s="1"/>
  <c r="J38" i="34"/>
  <c r="W38" i="34"/>
  <c r="D114" i="34"/>
  <c r="F38" i="34"/>
  <c r="D112" i="34"/>
  <c r="E112" i="34" s="1"/>
  <c r="F112" i="34"/>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J41" i="21"/>
  <c r="AC41" i="21" s="1"/>
  <c r="H41" i="21"/>
  <c r="D80" i="39"/>
  <c r="E80" i="39" s="1"/>
  <c r="F80" i="39"/>
  <c r="G80" i="39" s="1"/>
  <c r="H80" i="39" s="1"/>
  <c r="I80" i="39" s="1"/>
  <c r="J80" i="39"/>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F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F38" i="39"/>
  <c r="AA38" i="39" s="1"/>
  <c r="D123" i="39"/>
  <c r="E123" i="39" s="1"/>
  <c r="F123" i="39" s="1"/>
  <c r="G123" i="39" s="1"/>
  <c r="H123" i="39"/>
  <c r="I123" i="39" s="1"/>
  <c r="J123" i="39" s="1"/>
  <c r="K123" i="39" s="1"/>
  <c r="L123" i="39" s="1"/>
  <c r="M123" i="39" s="1"/>
  <c r="D119" i="39"/>
  <c r="E119" i="39" s="1"/>
  <c r="F119" i="39"/>
  <c r="G119" i="39" s="1"/>
  <c r="H119" i="39" s="1"/>
  <c r="I119" i="39" s="1"/>
  <c r="J119" i="39"/>
  <c r="K119" i="39" s="1"/>
  <c r="L119" i="39" s="1"/>
  <c r="M119" i="39" s="1"/>
  <c r="B113" i="39"/>
  <c r="D108" i="39"/>
  <c r="F34" i="39"/>
  <c r="AA34" i="39"/>
  <c r="D106" i="39"/>
  <c r="E106" i="39"/>
  <c r="D104" i="39"/>
  <c r="E104" i="39"/>
  <c r="F104" i="39" s="1"/>
  <c r="G104" i="39"/>
  <c r="H104" i="39" s="1"/>
  <c r="I104" i="39" s="1"/>
  <c r="J104" i="39" s="1"/>
  <c r="K104" i="39"/>
  <c r="L104" i="39" s="1"/>
  <c r="M104" i="39" s="1"/>
  <c r="D100" i="39"/>
  <c r="D98" i="39"/>
  <c r="E98" i="39" s="1"/>
  <c r="F98" i="39"/>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c r="I125" i="39" s="1"/>
  <c r="J125" i="39" s="1"/>
  <c r="K125" i="39" s="1"/>
  <c r="L125" i="39" s="1"/>
  <c r="M125" i="39" s="1"/>
  <c r="D121" i="39"/>
  <c r="E121" i="39" s="1"/>
  <c r="F121" i="39"/>
  <c r="G121" i="39" s="1"/>
  <c r="H121" i="39" s="1"/>
  <c r="I121" i="39" s="1"/>
  <c r="J121" i="39"/>
  <c r="K121" i="39" s="1"/>
  <c r="L121" i="39" s="1"/>
  <c r="M121" i="39" s="1"/>
  <c r="H35" i="39"/>
  <c r="AB35" i="39" s="1"/>
  <c r="B103" i="39"/>
  <c r="D96" i="39"/>
  <c r="J23" i="39"/>
  <c r="AC23" i="39" s="1"/>
  <c r="D94" i="39"/>
  <c r="E94" i="39" s="1"/>
  <c r="F94" i="39" s="1"/>
  <c r="D92" i="39"/>
  <c r="E92" i="39"/>
  <c r="F92" i="39" s="1"/>
  <c r="G92" i="39"/>
  <c r="D90" i="39"/>
  <c r="E90" i="39"/>
  <c r="F90" i="39" s="1"/>
  <c r="G90" i="39" s="1"/>
  <c r="D88" i="39"/>
  <c r="E88" i="39"/>
  <c r="F88" i="39" s="1"/>
  <c r="G88" i="39"/>
  <c r="B85" i="39"/>
  <c r="B83" i="39"/>
  <c r="B81" i="39"/>
  <c r="J12" i="39"/>
  <c r="W12" i="39" s="1"/>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D103" i="37"/>
  <c r="E103" i="37" s="1"/>
  <c r="J35" i="37"/>
  <c r="W35" i="37"/>
  <c r="F97" i="37"/>
  <c r="E97" i="37"/>
  <c r="D97" i="37"/>
  <c r="C97" i="37"/>
  <c r="D96" i="37"/>
  <c r="E96" i="37"/>
  <c r="F96" i="37" s="1"/>
  <c r="G96" i="37" s="1"/>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E71" i="37" s="1"/>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c r="B57" i="35"/>
  <c r="B61" i="35"/>
  <c r="B59" i="35"/>
  <c r="B131" i="34"/>
  <c r="B129" i="34"/>
  <c r="B127" i="34"/>
  <c r="B99" i="34"/>
  <c r="B97" i="34"/>
  <c r="B95" i="34"/>
  <c r="B93" i="34"/>
  <c r="J29" i="34" s="1"/>
  <c r="AC29" i="34" s="1"/>
  <c r="B75" i="34"/>
  <c r="B73" i="34"/>
  <c r="B71" i="34"/>
  <c r="B130" i="33"/>
  <c r="B128" i="33"/>
  <c r="B126" i="33"/>
  <c r="B98" i="33"/>
  <c r="B96" i="33"/>
  <c r="J30" i="33" s="1"/>
  <c r="W30" i="33" s="1"/>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C53" i="35"/>
  <c r="P39" i="35"/>
  <c r="P38" i="35"/>
  <c r="V37" i="35"/>
  <c r="T37" i="35"/>
  <c r="R37" i="35"/>
  <c r="P37" i="35"/>
  <c r="Q36" i="35"/>
  <c r="Z36" i="35" s="1"/>
  <c r="J36" i="35"/>
  <c r="Q35" i="35"/>
  <c r="Z35" i="35" s="1"/>
  <c r="Q34" i="35"/>
  <c r="Z34" i="35" s="1"/>
  <c r="J34" i="35"/>
  <c r="AC34" i="35" s="1"/>
  <c r="H34" i="35"/>
  <c r="AB34" i="35" s="1"/>
  <c r="F34" i="35"/>
  <c r="Q33" i="35"/>
  <c r="Z33" i="35" s="1"/>
  <c r="Q32" i="35"/>
  <c r="Z32" i="35" s="1"/>
  <c r="H32" i="35"/>
  <c r="AB32" i="35" s="1"/>
  <c r="F32" i="35"/>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F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H9" i="34"/>
  <c r="AB9" i="34" s="1"/>
  <c r="F9" i="34"/>
  <c r="AA9" i="34"/>
  <c r="J8" i="34"/>
  <c r="AC8" i="34"/>
  <c r="H8" i="34"/>
  <c r="U8" i="34"/>
  <c r="F8" i="34"/>
  <c r="D121" i="33"/>
  <c r="E121" i="33" s="1"/>
  <c r="F109" i="33"/>
  <c r="E109" i="33"/>
  <c r="D109" i="33"/>
  <c r="C109" i="33"/>
  <c r="D91" i="33"/>
  <c r="E91" i="33" s="1"/>
  <c r="B88" i="33"/>
  <c r="C23" i="33"/>
  <c r="C19" i="33"/>
  <c r="C17" i="33"/>
  <c r="C15" i="33"/>
  <c r="C15" i="21"/>
  <c r="D125" i="33"/>
  <c r="D123" i="33"/>
  <c r="E123" i="33" s="1"/>
  <c r="F123" i="33" s="1"/>
  <c r="D117" i="33"/>
  <c r="E117" i="33"/>
  <c r="F117" i="33" s="1"/>
  <c r="G117" i="33"/>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F79" i="33" s="1"/>
  <c r="G79" i="33" s="1"/>
  <c r="D77" i="33"/>
  <c r="E77" i="33"/>
  <c r="F77" i="33" s="1"/>
  <c r="G77" i="33" s="1"/>
  <c r="D69" i="33"/>
  <c r="E69" i="33"/>
  <c r="F69" i="33" s="1"/>
  <c r="G69" i="33"/>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H9" i="33"/>
  <c r="AB9" i="33" s="1"/>
  <c r="F9" i="33"/>
  <c r="J8" i="33"/>
  <c r="AC8" i="33" s="1"/>
  <c r="H8" i="33"/>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c r="B75" i="43"/>
  <c r="B76" i="43"/>
  <c r="B79" i="43"/>
  <c r="B73" i="43"/>
  <c r="C17" i="20"/>
  <c r="B61" i="43" s="1"/>
  <c r="C16" i="20"/>
  <c r="C17" i="39"/>
  <c r="C15" i="20"/>
  <c r="B72"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c r="H115" i="21" s="1"/>
  <c r="I115" i="21" s="1"/>
  <c r="J115" i="21" s="1"/>
  <c r="K115" i="21" s="1"/>
  <c r="L115" i="21" s="1"/>
  <c r="M115" i="21" s="1"/>
  <c r="D113" i="21"/>
  <c r="E113" i="21"/>
  <c r="F113" i="21" s="1"/>
  <c r="J37"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E89" i="21"/>
  <c r="F89" i="2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111" i="21"/>
  <c r="E111" i="21"/>
  <c r="F111" i="21"/>
  <c r="C111" i="21"/>
  <c r="D79" i="21"/>
  <c r="E79" i="21"/>
  <c r="F79" i="21" s="1"/>
  <c r="G79" i="21"/>
  <c r="D85" i="21"/>
  <c r="F19" i="21"/>
  <c r="E81" i="21"/>
  <c r="F81" i="21" s="1"/>
  <c r="G81" i="21"/>
  <c r="D77" i="21"/>
  <c r="E77" i="21"/>
  <c r="B130" i="21"/>
  <c r="B128" i="21"/>
  <c r="B126" i="21"/>
  <c r="B98" i="21"/>
  <c r="B96" i="21"/>
  <c r="B94" i="21"/>
  <c r="J29" i="21"/>
  <c r="AC29" i="21" s="1"/>
  <c r="B92" i="21"/>
  <c r="B90" i="21"/>
  <c r="J27" i="21"/>
  <c r="W27" i="21" s="1"/>
  <c r="B74" i="21"/>
  <c r="B72" i="21"/>
  <c r="H13" i="21"/>
  <c r="AB13" i="21" s="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H38" i="21"/>
  <c r="H43" i="21"/>
  <c r="AB43" i="21" s="1"/>
  <c r="F38" i="21"/>
  <c r="F36" i="21"/>
  <c r="S36" i="21" s="1"/>
  <c r="F39" i="21"/>
  <c r="AA39" i="21" s="1"/>
  <c r="J40" i="21"/>
  <c r="H35" i="21"/>
  <c r="J8" i="21"/>
  <c r="AC8" i="21" s="1"/>
  <c r="H8" i="21"/>
  <c r="U8" i="21" s="1"/>
  <c r="H10" i="21"/>
  <c r="AB10" i="21" s="1"/>
  <c r="H39" i="21"/>
  <c r="U39" i="21" s="1"/>
  <c r="J34" i="21"/>
  <c r="H36" i="21"/>
  <c r="F35" i="21"/>
  <c r="AA35" i="21" s="1"/>
  <c r="J10" i="21"/>
  <c r="AC10" i="21" s="1"/>
  <c r="AB19" i="21"/>
  <c r="J19" i="21"/>
  <c r="W19" i="21"/>
  <c r="J12" i="21"/>
  <c r="AC12" i="21"/>
  <c r="H12" i="21"/>
  <c r="AB12" i="21"/>
  <c r="W26" i="21"/>
  <c r="S26" i="21"/>
  <c r="S41" i="21"/>
  <c r="AA41" i="21"/>
  <c r="F45" i="39"/>
  <c r="S45" i="39" s="1"/>
  <c r="J45" i="39"/>
  <c r="W45" i="39" s="1"/>
  <c r="J44" i="39"/>
  <c r="F36" i="39"/>
  <c r="S36" i="39" s="1"/>
  <c r="H36" i="39"/>
  <c r="AB36" i="39" s="1"/>
  <c r="J35" i="39"/>
  <c r="F35" i="39"/>
  <c r="J36" i="39"/>
  <c r="AC36" i="39" s="1"/>
  <c r="U9" i="39"/>
  <c r="W40" i="39"/>
  <c r="W25" i="37"/>
  <c r="U30" i="37"/>
  <c r="W31" i="37"/>
  <c r="F103" i="37"/>
  <c r="G103" i="37" s="1"/>
  <c r="H103" i="37" s="1"/>
  <c r="I103" i="37" s="1"/>
  <c r="J103" i="37" s="1"/>
  <c r="K103" i="37" s="1"/>
  <c r="L103" i="37" s="1"/>
  <c r="M103" i="37" s="1"/>
  <c r="F39" i="37"/>
  <c r="S39" i="37" s="1"/>
  <c r="U14" i="37"/>
  <c r="F29" i="36"/>
  <c r="AA29" i="36"/>
  <c r="F16" i="36"/>
  <c r="AA16" i="36"/>
  <c r="U9" i="36"/>
  <c r="W28" i="36"/>
  <c r="U31" i="36"/>
  <c r="J33" i="36"/>
  <c r="AC33" i="36" s="1"/>
  <c r="H22" i="35"/>
  <c r="AC27" i="35"/>
  <c r="W28" i="35"/>
  <c r="U31" i="35"/>
  <c r="W34" i="35"/>
  <c r="W22" i="35"/>
  <c r="S31" i="35"/>
  <c r="U34" i="35"/>
  <c r="F36" i="34"/>
  <c r="J35" i="34"/>
  <c r="AC35" i="34" s="1"/>
  <c r="U34" i="34"/>
  <c r="H39" i="33"/>
  <c r="AB39" i="33"/>
  <c r="U35" i="33"/>
  <c r="W33" i="33"/>
  <c r="H39" i="37"/>
  <c r="S27" i="35"/>
  <c r="F11" i="40"/>
  <c r="AA11" i="40"/>
  <c r="H11" i="40"/>
  <c r="AB11" i="40"/>
  <c r="AB39" i="40"/>
  <c r="AC40" i="40"/>
  <c r="AA9" i="40"/>
  <c r="AC9" i="40"/>
  <c r="U9" i="40"/>
  <c r="S34" i="40"/>
  <c r="U38" i="40"/>
  <c r="S40" i="40"/>
  <c r="W31" i="40"/>
  <c r="S38" i="40"/>
  <c r="F42" i="39"/>
  <c r="AA42" i="39" s="1"/>
  <c r="F41" i="39"/>
  <c r="H40" i="39"/>
  <c r="H39" i="39"/>
  <c r="S38" i="39"/>
  <c r="S34" i="39"/>
  <c r="H34" i="39"/>
  <c r="U34" i="39" s="1"/>
  <c r="E108" i="39"/>
  <c r="H31" i="39"/>
  <c r="AB31" i="39"/>
  <c r="F31" i="39"/>
  <c r="AA31" i="39"/>
  <c r="E100" i="39"/>
  <c r="H19" i="39"/>
  <c r="F19" i="39"/>
  <c r="H17" i="39"/>
  <c r="AB17" i="39" s="1"/>
  <c r="F17" i="39"/>
  <c r="AA17" i="39" s="1"/>
  <c r="J23" i="40"/>
  <c r="F21" i="40"/>
  <c r="AA21" i="40" s="1"/>
  <c r="J21" i="40"/>
  <c r="W21" i="40" s="1"/>
  <c r="H42" i="39"/>
  <c r="J34" i="39"/>
  <c r="AC34" i="39" s="1"/>
  <c r="F108" i="39"/>
  <c r="G108" i="39" s="1"/>
  <c r="H108" i="39"/>
  <c r="I108" i="39" s="1"/>
  <c r="J108" i="39" s="1"/>
  <c r="K108" i="39" s="1"/>
  <c r="L108" i="39" s="1"/>
  <c r="M108" i="39" s="1"/>
  <c r="J31" i="39"/>
  <c r="W31" i="39" s="1"/>
  <c r="F100" i="39"/>
  <c r="H27" i="39"/>
  <c r="J19" i="39"/>
  <c r="AC19" i="39" s="1"/>
  <c r="J17" i="39"/>
  <c r="W17" i="39" s="1"/>
  <c r="J27" i="39"/>
  <c r="AC27" i="39"/>
  <c r="F27" i="39"/>
  <c r="F11" i="21"/>
  <c r="S11" i="21" s="1"/>
  <c r="S40" i="21"/>
  <c r="S34" i="21"/>
  <c r="C25" i="39"/>
  <c r="C27" i="39"/>
  <c r="C21" i="39"/>
  <c r="H11" i="39"/>
  <c r="AB11" i="39" s="1"/>
  <c r="C15" i="39"/>
  <c r="H32" i="33"/>
  <c r="AB32" i="33"/>
  <c r="H11" i="21"/>
  <c r="U11" i="21"/>
  <c r="J11" i="21"/>
  <c r="W11" i="21"/>
  <c r="H37" i="40"/>
  <c r="U37" i="40"/>
  <c r="H36" i="40"/>
  <c r="AB36" i="40"/>
  <c r="F35" i="40"/>
  <c r="AA35" i="40"/>
  <c r="H23" i="40"/>
  <c r="AB23" i="40"/>
  <c r="H17" i="40"/>
  <c r="U17" i="40"/>
  <c r="J15" i="40"/>
  <c r="W15" i="40"/>
  <c r="J11" i="40"/>
  <c r="W11" i="40"/>
  <c r="AC12" i="34"/>
  <c r="AA12" i="34"/>
  <c r="AB12" i="35"/>
  <c r="S44" i="39"/>
  <c r="J34" i="36"/>
  <c r="W34" i="36"/>
  <c r="U30" i="36"/>
  <c r="J30" i="35"/>
  <c r="W30" i="35" s="1"/>
  <c r="H30" i="35"/>
  <c r="AB30" i="35" s="1"/>
  <c r="F22" i="35"/>
  <c r="AA22" i="35" s="1"/>
  <c r="H10" i="35"/>
  <c r="AC16" i="36"/>
  <c r="F33" i="36"/>
  <c r="AA33" i="36"/>
  <c r="W30" i="36"/>
  <c r="H16" i="36"/>
  <c r="AB16" i="36" s="1"/>
  <c r="E85" i="36"/>
  <c r="F85" i="36" s="1"/>
  <c r="G85" i="36"/>
  <c r="H85" i="36" s="1"/>
  <c r="I85" i="36" s="1"/>
  <c r="J85" i="36" s="1"/>
  <c r="K85" i="36" s="1"/>
  <c r="L85" i="36" s="1"/>
  <c r="M85" i="36" s="1"/>
  <c r="J29" i="36"/>
  <c r="AC29" i="36"/>
  <c r="F12" i="36"/>
  <c r="F24" i="36"/>
  <c r="AA24" i="36" s="1"/>
  <c r="F34" i="36"/>
  <c r="S34" i="36" s="1"/>
  <c r="F14" i="35"/>
  <c r="F23" i="35"/>
  <c r="J32" i="35"/>
  <c r="AC32" i="35" s="1"/>
  <c r="J16" i="35"/>
  <c r="AC16" i="35" s="1"/>
  <c r="H16" i="35"/>
  <c r="U16" i="35" s="1"/>
  <c r="F16" i="35"/>
  <c r="S16" i="35" s="1"/>
  <c r="H14" i="35"/>
  <c r="J29" i="35"/>
  <c r="AC29" i="35" s="1"/>
  <c r="H33" i="35"/>
  <c r="AB33" i="35"/>
  <c r="J20" i="35"/>
  <c r="W20" i="35"/>
  <c r="F35" i="37"/>
  <c r="S35" i="37"/>
  <c r="E101" i="37"/>
  <c r="F101" i="37"/>
  <c r="G101" i="37" s="1"/>
  <c r="H101" i="37" s="1"/>
  <c r="I101" i="37" s="1"/>
  <c r="J101" i="37" s="1"/>
  <c r="K101" i="37" s="1"/>
  <c r="L101" i="37" s="1"/>
  <c r="M101" i="37" s="1"/>
  <c r="J34" i="37"/>
  <c r="W34" i="37" s="1"/>
  <c r="AA39" i="37"/>
  <c r="AB34" i="37"/>
  <c r="J33" i="37"/>
  <c r="U42" i="34"/>
  <c r="H40" i="34"/>
  <c r="U40" i="34"/>
  <c r="E114" i="34"/>
  <c r="H36" i="34"/>
  <c r="F37" i="34"/>
  <c r="S35" i="34"/>
  <c r="F28" i="34"/>
  <c r="AA28" i="34"/>
  <c r="F25" i="34"/>
  <c r="S25" i="34"/>
  <c r="H23" i="34"/>
  <c r="U23" i="34"/>
  <c r="J23" i="34"/>
  <c r="F19" i="34"/>
  <c r="AA19" i="34" s="1"/>
  <c r="H17" i="34"/>
  <c r="U17" i="34"/>
  <c r="F15" i="34"/>
  <c r="J15" i="34"/>
  <c r="AC15" i="34" s="1"/>
  <c r="H15" i="34"/>
  <c r="AB15" i="34"/>
  <c r="W8" i="34"/>
  <c r="J28" i="34"/>
  <c r="F41" i="33"/>
  <c r="AA41" i="33" s="1"/>
  <c r="S38" i="33"/>
  <c r="F32" i="33"/>
  <c r="J19" i="33"/>
  <c r="J15" i="33"/>
  <c r="F11"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42" i="34"/>
  <c r="AC38" i="34"/>
  <c r="J37" i="34"/>
  <c r="AC37" i="34" s="1"/>
  <c r="J11" i="33"/>
  <c r="S28" i="34"/>
  <c r="U23" i="40"/>
  <c r="G123" i="21"/>
  <c r="H123" i="21" s="1"/>
  <c r="I123" i="21" s="1"/>
  <c r="J123" i="21" s="1"/>
  <c r="K123" i="21" s="1"/>
  <c r="L123" i="21" s="1"/>
  <c r="M123" i="21" s="1"/>
  <c r="J42" i="21"/>
  <c r="AC42" i="21"/>
  <c r="H42" i="21"/>
  <c r="U42" i="21"/>
  <c r="J44" i="34"/>
  <c r="F44" i="34"/>
  <c r="AA44" i="34" s="1"/>
  <c r="J10" i="35"/>
  <c r="AC10" i="35" s="1"/>
  <c r="BL587" i="3"/>
  <c r="J44" i="21"/>
  <c r="AC44" i="21"/>
  <c r="H44" i="21"/>
  <c r="U44" i="21"/>
  <c r="F44" i="21"/>
  <c r="AA44" i="21"/>
  <c r="H46" i="21"/>
  <c r="U46" i="21"/>
  <c r="J46" i="21"/>
  <c r="W46" i="21"/>
  <c r="F46" i="21"/>
  <c r="AA46" i="21"/>
  <c r="F119" i="21"/>
  <c r="G119" i="21" s="1"/>
  <c r="H119" i="21" s="1"/>
  <c r="I119" i="21" s="1"/>
  <c r="J119" i="21" s="1"/>
  <c r="K119" i="21" s="1"/>
  <c r="L119" i="21" s="1"/>
  <c r="M119" i="21" s="1"/>
  <c r="H26" i="33"/>
  <c r="U26" i="33" s="1"/>
  <c r="H28" i="33"/>
  <c r="F28" i="33"/>
  <c r="AA28" i="33" s="1"/>
  <c r="J28" i="33"/>
  <c r="F33" i="35"/>
  <c r="J33" i="35"/>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13" i="33"/>
  <c r="H13" i="33"/>
  <c r="U13" i="33" s="1"/>
  <c r="F13" i="33"/>
  <c r="J29" i="33"/>
  <c r="AC29" i="33" s="1"/>
  <c r="H29" i="33"/>
  <c r="F29" i="33"/>
  <c r="S29" i="33" s="1"/>
  <c r="J31" i="33"/>
  <c r="W31" i="33" s="1"/>
  <c r="H31" i="33"/>
  <c r="U31" i="33" s="1"/>
  <c r="F31" i="33"/>
  <c r="H45" i="33"/>
  <c r="J45" i="33"/>
  <c r="F45" i="33"/>
  <c r="AA45" i="33" s="1"/>
  <c r="J14" i="34"/>
  <c r="F14" i="34"/>
  <c r="H14" i="34"/>
  <c r="U14" i="34" s="1"/>
  <c r="H30" i="34"/>
  <c r="F30" i="34"/>
  <c r="J30" i="34"/>
  <c r="W30" i="34" s="1"/>
  <c r="H32" i="34"/>
  <c r="U32" i="34" s="1"/>
  <c r="F32" i="34"/>
  <c r="J32" i="34"/>
  <c r="W32" i="34" s="1"/>
  <c r="H46" i="34"/>
  <c r="F46" i="34"/>
  <c r="S46" i="34" s="1"/>
  <c r="J46" i="34"/>
  <c r="H11" i="35"/>
  <c r="J11" i="35"/>
  <c r="W11" i="35" s="1"/>
  <c r="AC11" i="35"/>
  <c r="F11" i="35"/>
  <c r="S11" i="35"/>
  <c r="J26" i="36"/>
  <c r="W26" i="36"/>
  <c r="H28" i="36"/>
  <c r="U28" i="36"/>
  <c r="H32" i="36"/>
  <c r="AB32" i="36"/>
  <c r="J32" i="36"/>
  <c r="W32"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30" i="33"/>
  <c r="F30" i="33"/>
  <c r="AA30" i="33" s="1"/>
  <c r="H44" i="33"/>
  <c r="AB44" i="33" s="1"/>
  <c r="F29" i="34"/>
  <c r="S29" i="34" s="1"/>
  <c r="H29" i="34"/>
  <c r="J31" i="34"/>
  <c r="H31" i="34"/>
  <c r="AB31" i="34" s="1"/>
  <c r="F31" i="34"/>
  <c r="S31" i="34" s="1"/>
  <c r="H45" i="34"/>
  <c r="U45" i="34" s="1"/>
  <c r="J45" i="34"/>
  <c r="F45" i="34"/>
  <c r="S45" i="34" s="1"/>
  <c r="H47" i="34"/>
  <c r="F47" i="34"/>
  <c r="J47" i="34"/>
  <c r="AC47" i="34" s="1"/>
  <c r="F13" i="35"/>
  <c r="J13" i="35"/>
  <c r="AC13" i="35" s="1"/>
  <c r="H13" i="35"/>
  <c r="J25" i="35"/>
  <c r="W25" i="35" s="1"/>
  <c r="F25" i="35"/>
  <c r="S25" i="35" s="1"/>
  <c r="H25" i="35"/>
  <c r="J35" i="35"/>
  <c r="F35" i="35"/>
  <c r="AA35" i="35" s="1"/>
  <c r="H35" i="35"/>
  <c r="J25" i="36"/>
  <c r="W25" i="36" s="1"/>
  <c r="F25" i="36"/>
  <c r="H25" i="36"/>
  <c r="AB25" i="36" s="1"/>
  <c r="H13" i="37"/>
  <c r="AB13" i="37" s="1"/>
  <c r="F13" i="37"/>
  <c r="J13" i="37"/>
  <c r="W13" i="37" s="1"/>
  <c r="F28" i="37"/>
  <c r="AA28" i="37" s="1"/>
  <c r="J28" i="37"/>
  <c r="AC28" i="37" s="1"/>
  <c r="H28" i="37"/>
  <c r="H38" i="37"/>
  <c r="AB38" i="37" s="1"/>
  <c r="J38" i="37"/>
  <c r="F38" i="37"/>
  <c r="F43" i="39"/>
  <c r="AA43" i="39" s="1"/>
  <c r="H43" i="39"/>
  <c r="U43" i="39" s="1"/>
  <c r="J14" i="39"/>
  <c r="AC14" i="39"/>
  <c r="F14" i="39"/>
  <c r="H14" i="39"/>
  <c r="AB14" i="39" s="1"/>
  <c r="F12" i="40"/>
  <c r="S12" i="40" s="1"/>
  <c r="H12" i="40"/>
  <c r="H30" i="40"/>
  <c r="AB30" i="40" s="1"/>
  <c r="F33" i="40"/>
  <c r="AA33" i="40" s="1"/>
  <c r="H33" i="40"/>
  <c r="J35" i="40"/>
  <c r="AC35" i="40" s="1"/>
  <c r="J37" i="40"/>
  <c r="H13" i="40"/>
  <c r="U13" i="40" s="1"/>
  <c r="J13" i="40"/>
  <c r="W13" i="40" s="1"/>
  <c r="F13" i="40"/>
  <c r="F14" i="37"/>
  <c r="S14" i="37" s="1"/>
  <c r="F27" i="37"/>
  <c r="F13" i="39"/>
  <c r="AA13" i="39" s="1"/>
  <c r="H14" i="40"/>
  <c r="AB14" i="40" s="1"/>
  <c r="J14" i="40"/>
  <c r="W14" i="40" s="1"/>
  <c r="F14" i="40"/>
  <c r="J14" i="37"/>
  <c r="AC14" i="37" s="1"/>
  <c r="J27" i="37"/>
  <c r="U31" i="34"/>
  <c r="J36" i="37"/>
  <c r="AC36" i="37"/>
  <c r="G105" i="37"/>
  <c r="J10" i="36"/>
  <c r="AC10" i="36" s="1"/>
  <c r="AB26" i="33"/>
  <c r="AC13" i="36"/>
  <c r="W13" i="36"/>
  <c r="AC30" i="34"/>
  <c r="S45" i="33"/>
  <c r="AB31" i="33"/>
  <c r="W29" i="33"/>
  <c r="S44" i="34"/>
  <c r="F15" i="21"/>
  <c r="J41" i="39"/>
  <c r="W41" i="39" s="1"/>
  <c r="AC45" i="39"/>
  <c r="W36" i="39"/>
  <c r="U36" i="39"/>
  <c r="G544" i="3"/>
  <c r="G540" i="3"/>
  <c r="G536" i="3"/>
  <c r="G535" i="3"/>
  <c r="G532" i="3"/>
  <c r="G531" i="3"/>
  <c r="G528" i="3"/>
  <c r="G527" i="3"/>
  <c r="G523" i="3"/>
  <c r="G518" i="3"/>
  <c r="G514" i="3"/>
  <c r="G510" i="3"/>
  <c r="G508" i="3"/>
  <c r="G504" i="3"/>
  <c r="G500" i="3"/>
  <c r="G496" i="3"/>
  <c r="G584" i="3"/>
  <c r="G576" i="3"/>
  <c r="G572" i="3"/>
  <c r="G568" i="3"/>
  <c r="G560" i="3"/>
  <c r="G554" i="3"/>
  <c r="G550" i="3"/>
  <c r="BL584" i="3"/>
  <c r="BL580" i="3"/>
  <c r="BL572" i="3"/>
  <c r="AZ572" i="3" s="1"/>
  <c r="BL568" i="3"/>
  <c r="BL564" i="3"/>
  <c r="BL554" i="3"/>
  <c r="BL546" i="3"/>
  <c r="BL542" i="3"/>
  <c r="BL538" i="3"/>
  <c r="BL534" i="3"/>
  <c r="BL530" i="3"/>
  <c r="BL526" i="3"/>
  <c r="BL516" i="3"/>
  <c r="BL512" i="3"/>
  <c r="BL506" i="3"/>
  <c r="AZ506" i="3" s="1"/>
  <c r="BL502" i="3"/>
  <c r="BL498" i="3"/>
  <c r="BL494" i="3"/>
  <c r="BL582" i="3"/>
  <c r="AZ582" i="3" s="1"/>
  <c r="BL574" i="3"/>
  <c r="BL570" i="3"/>
  <c r="BL566" i="3"/>
  <c r="BL556" i="3"/>
  <c r="AZ556" i="3" s="1"/>
  <c r="BL552" i="3"/>
  <c r="BL544" i="3"/>
  <c r="BL540" i="3"/>
  <c r="BL536" i="3"/>
  <c r="G533" i="3"/>
  <c r="BL532" i="3"/>
  <c r="G529" i="3"/>
  <c r="BL528" i="3"/>
  <c r="BL524" i="3"/>
  <c r="BL518" i="3"/>
  <c r="BL514" i="3"/>
  <c r="BL510" i="3"/>
  <c r="BL504" i="3"/>
  <c r="BL500" i="3"/>
  <c r="BL496" i="3"/>
  <c r="G493" i="3"/>
  <c r="BA584" i="3"/>
  <c r="AZ584" i="3" s="1"/>
  <c r="BA582" i="3"/>
  <c r="BA572" i="3"/>
  <c r="BA570" i="3"/>
  <c r="AZ570" i="3"/>
  <c r="BA568" i="3"/>
  <c r="AZ568" i="3"/>
  <c r="BA566" i="3"/>
  <c r="AZ566" i="3"/>
  <c r="BA558" i="3"/>
  <c r="BA556" i="3"/>
  <c r="BA554" i="3"/>
  <c r="AZ554" i="3"/>
  <c r="BA552" i="3"/>
  <c r="AZ552" i="3"/>
  <c r="BA546" i="3"/>
  <c r="BA544" i="3"/>
  <c r="BA542" i="3"/>
  <c r="AZ542" i="3" s="1"/>
  <c r="BA540" i="3"/>
  <c r="AZ540" i="3" s="1"/>
  <c r="BA538" i="3"/>
  <c r="AZ538" i="3" s="1"/>
  <c r="BA536" i="3"/>
  <c r="BA534" i="3"/>
  <c r="AZ534" i="3" s="1"/>
  <c r="BA532" i="3"/>
  <c r="BA530" i="3"/>
  <c r="BA528" i="3"/>
  <c r="AZ528" i="3"/>
  <c r="BA526" i="3"/>
  <c r="AZ526" i="3"/>
  <c r="BA520" i="3"/>
  <c r="AZ520" i="3" s="1"/>
  <c r="BA518" i="3"/>
  <c r="AZ518" i="3"/>
  <c r="BA516" i="3"/>
  <c r="AZ516" i="3"/>
  <c r="BA514" i="3"/>
  <c r="BA512" i="3"/>
  <c r="AZ512" i="3" s="1"/>
  <c r="BA510" i="3"/>
  <c r="AZ510" i="3" s="1"/>
  <c r="BA508" i="3"/>
  <c r="BA506" i="3"/>
  <c r="BA504" i="3"/>
  <c r="AZ504" i="3" s="1"/>
  <c r="BA502" i="3"/>
  <c r="AZ502" i="3" s="1"/>
  <c r="BA500" i="3"/>
  <c r="BA498" i="3"/>
  <c r="BA496" i="3"/>
  <c r="BA494" i="3"/>
  <c r="BA587" i="3"/>
  <c r="AZ587" i="3" s="1"/>
  <c r="BA583" i="3"/>
  <c r="BQ581" i="3"/>
  <c r="BA577" i="3"/>
  <c r="BA573" i="3"/>
  <c r="BA571" i="3"/>
  <c r="BA569" i="3"/>
  <c r="BA567" i="3"/>
  <c r="BA565" i="3"/>
  <c r="BA561" i="3"/>
  <c r="BA555" i="3"/>
  <c r="BA553" i="3"/>
  <c r="BA549" i="3"/>
  <c r="BA547" i="3"/>
  <c r="BA545" i="3"/>
  <c r="BA543" i="3"/>
  <c r="BA541" i="3"/>
  <c r="BA539" i="3"/>
  <c r="BA537" i="3"/>
  <c r="BA535" i="3"/>
  <c r="BA533" i="3"/>
  <c r="BA531" i="3"/>
  <c r="BA529" i="3"/>
  <c r="BA527" i="3"/>
  <c r="BA525" i="3"/>
  <c r="BA519" i="3"/>
  <c r="BA517" i="3"/>
  <c r="BA515" i="3"/>
  <c r="BA513" i="3"/>
  <c r="BA511" i="3"/>
  <c r="BA507" i="3"/>
  <c r="BA505" i="3"/>
  <c r="AZ505" i="3" s="1"/>
  <c r="BA503" i="3"/>
  <c r="BA501" i="3"/>
  <c r="AZ501" i="3" s="1"/>
  <c r="BA499" i="3"/>
  <c r="BA497" i="3"/>
  <c r="BA495" i="3"/>
  <c r="BA493" i="3"/>
  <c r="G583" i="3"/>
  <c r="G579" i="3"/>
  <c r="G575" i="3"/>
  <c r="G573" i="3"/>
  <c r="G571" i="3"/>
  <c r="G569" i="3"/>
  <c r="G567" i="3"/>
  <c r="G563" i="3"/>
  <c r="BA557" i="3"/>
  <c r="BQ557" i="3"/>
  <c r="BL557" i="3"/>
  <c r="AC557" i="3"/>
  <c r="G557" i="3" s="1"/>
  <c r="BQ583" i="3"/>
  <c r="BL583" i="3" s="1"/>
  <c r="AZ583" i="3"/>
  <c r="BQ579" i="3"/>
  <c r="BL579" i="3"/>
  <c r="BQ577" i="3"/>
  <c r="BQ575" i="3"/>
  <c r="BL575" i="3"/>
  <c r="BQ573" i="3"/>
  <c r="BL573" i="3" s="1"/>
  <c r="AZ573" i="3"/>
  <c r="BQ571" i="3"/>
  <c r="BL571" i="3"/>
  <c r="AZ571" i="3" s="1"/>
  <c r="BQ569" i="3"/>
  <c r="BL569" i="3" s="1"/>
  <c r="AZ569" i="3"/>
  <c r="BQ567" i="3"/>
  <c r="BL567" i="3"/>
  <c r="AZ567" i="3" s="1"/>
  <c r="BQ565" i="3"/>
  <c r="BQ563" i="3"/>
  <c r="BL563" i="3"/>
  <c r="BQ561" i="3"/>
  <c r="BL561" i="3"/>
  <c r="BQ559" i="3"/>
  <c r="G555" i="3"/>
  <c r="G553" i="3"/>
  <c r="G549" i="3"/>
  <c r="G547" i="3"/>
  <c r="G545" i="3"/>
  <c r="G543" i="3"/>
  <c r="G541" i="3"/>
  <c r="G539" i="3"/>
  <c r="G537" i="3"/>
  <c r="BQ555" i="3"/>
  <c r="BL555" i="3"/>
  <c r="BQ553" i="3"/>
  <c r="BL553" i="3" s="1"/>
  <c r="AZ553" i="3" s="1"/>
  <c r="BQ551" i="3"/>
  <c r="BL551" i="3"/>
  <c r="BQ549" i="3"/>
  <c r="BQ547" i="3"/>
  <c r="BL547" i="3" s="1"/>
  <c r="AZ547" i="3"/>
  <c r="BQ545" i="3"/>
  <c r="BL545" i="3"/>
  <c r="BQ543" i="3"/>
  <c r="BL543" i="3" s="1"/>
  <c r="AZ543" i="3"/>
  <c r="BQ541" i="3"/>
  <c r="BL541" i="3"/>
  <c r="BQ539" i="3"/>
  <c r="BL539" i="3" s="1"/>
  <c r="AZ539" i="3"/>
  <c r="BQ537" i="3"/>
  <c r="BL537" i="3"/>
  <c r="BQ535" i="3"/>
  <c r="BL535" i="3" s="1"/>
  <c r="AZ535" i="3"/>
  <c r="BQ533" i="3"/>
  <c r="BL533" i="3"/>
  <c r="BQ531" i="3"/>
  <c r="BL531" i="3" s="1"/>
  <c r="AZ531" i="3"/>
  <c r="BQ529" i="3"/>
  <c r="BL529" i="3"/>
  <c r="BQ527" i="3"/>
  <c r="BL527" i="3" s="1"/>
  <c r="AZ527" i="3"/>
  <c r="BQ525" i="3"/>
  <c r="BL525" i="3"/>
  <c r="BQ523" i="3"/>
  <c r="BA521" i="3"/>
  <c r="BQ521" i="3"/>
  <c r="BL521" i="3" s="1"/>
  <c r="AZ521" i="3" s="1"/>
  <c r="AC521" i="3"/>
  <c r="G521" i="3"/>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AC5" i="3" s="1"/>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U32" i="33"/>
  <c r="AA36" i="39"/>
  <c r="F39" i="33"/>
  <c r="AA39" i="33"/>
  <c r="F42" i="33"/>
  <c r="H28" i="34"/>
  <c r="AB28" i="34" s="1"/>
  <c r="F14" i="36"/>
  <c r="F22" i="36"/>
  <c r="S22" i="36" s="1"/>
  <c r="F26" i="36"/>
  <c r="H27" i="34"/>
  <c r="H35" i="34"/>
  <c r="U35" i="34" s="1"/>
  <c r="F41" i="34"/>
  <c r="S41" i="34" s="1"/>
  <c r="H41" i="34"/>
  <c r="J41" i="34"/>
  <c r="AC41" i="34" s="1"/>
  <c r="F10" i="35"/>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A12" i="35"/>
  <c r="W23" i="35"/>
  <c r="W14" i="37"/>
  <c r="U33" i="37"/>
  <c r="W26" i="37"/>
  <c r="U26" i="37"/>
  <c r="W47" i="34"/>
  <c r="AC36" i="34"/>
  <c r="AC31" i="33"/>
  <c r="U11" i="33"/>
  <c r="U19" i="21"/>
  <c r="W44" i="21"/>
  <c r="U26" i="21"/>
  <c r="AC46" i="21"/>
  <c r="U12" i="21"/>
  <c r="F43" i="33"/>
  <c r="W15" i="34"/>
  <c r="W16" i="35"/>
  <c r="W40" i="37"/>
  <c r="G107" i="37"/>
  <c r="H107" i="37" s="1"/>
  <c r="I107" i="37" s="1"/>
  <c r="J107" i="37" s="1"/>
  <c r="K107" i="37" s="1"/>
  <c r="L107" i="37" s="1"/>
  <c r="M107" i="37" s="1"/>
  <c r="S42" i="21"/>
  <c r="H19" i="34"/>
  <c r="AB19" i="34"/>
  <c r="F36" i="35"/>
  <c r="S36" i="35"/>
  <c r="J9" i="37"/>
  <c r="W9" i="37"/>
  <c r="H9" i="37"/>
  <c r="U9" i="37"/>
  <c r="F9" i="37"/>
  <c r="S9" i="37"/>
  <c r="J12" i="37"/>
  <c r="W12" i="37"/>
  <c r="H12" i="37"/>
  <c r="AB12" i="37"/>
  <c r="F12" i="37"/>
  <c r="S12" i="37"/>
  <c r="F15" i="37"/>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AT6" i="3"/>
  <c r="AA25" i="21"/>
  <c r="H19" i="40"/>
  <c r="U19" i="40"/>
  <c r="G88" i="40"/>
  <c r="F19" i="40"/>
  <c r="S19" i="40"/>
  <c r="AC13" i="40"/>
  <c r="W23" i="39"/>
  <c r="AC43" i="39"/>
  <c r="W43" i="39"/>
  <c r="U45" i="39"/>
  <c r="AB45" i="39"/>
  <c r="U44" i="39"/>
  <c r="G100" i="39"/>
  <c r="H37" i="39"/>
  <c r="H25" i="39"/>
  <c r="AB25" i="39" s="1"/>
  <c r="J25" i="39"/>
  <c r="W25" i="39" s="1"/>
  <c r="F25" i="39"/>
  <c r="AA25" i="39"/>
  <c r="F15" i="39"/>
  <c r="AA15" i="39"/>
  <c r="H15" i="39"/>
  <c r="U15" i="39"/>
  <c r="J15" i="39"/>
  <c r="W15" i="39"/>
  <c r="H41" i="39"/>
  <c r="AB41" i="39"/>
  <c r="W27" i="39"/>
  <c r="AB34" i="39"/>
  <c r="S42" i="39"/>
  <c r="W9" i="39"/>
  <c r="W8" i="39"/>
  <c r="J19" i="40"/>
  <c r="AC19" i="40" s="1"/>
  <c r="J50" i="40"/>
  <c r="H103" i="9"/>
  <c r="D8" i="53"/>
  <c r="B16" i="53"/>
  <c r="B33" i="72"/>
  <c r="C7" i="37"/>
  <c r="C7" i="34"/>
  <c r="C7" i="36"/>
  <c r="W35" i="40"/>
  <c r="A118" i="9"/>
  <c r="A4" i="52"/>
  <c r="B41" i="72" s="1"/>
  <c r="J11" i="39"/>
  <c r="F11" i="39"/>
  <c r="AA11" i="39" s="1"/>
  <c r="G4" i="4"/>
  <c r="I4" i="4"/>
  <c r="A2" i="9"/>
  <c r="F61" i="43"/>
  <c r="AZ20" i="3"/>
  <c r="AZ24" i="3"/>
  <c r="AZ28" i="3"/>
  <c r="AZ32" i="3"/>
  <c r="AZ497" i="3"/>
  <c r="AZ494" i="3"/>
  <c r="AZ514" i="3"/>
  <c r="AZ530" i="3"/>
  <c r="AZ546"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BL362" i="3"/>
  <c r="AZ362" i="3"/>
  <c r="G370" i="3"/>
  <c r="BL371" i="3"/>
  <c r="G372" i="3"/>
  <c r="BL373" i="3"/>
  <c r="BA375" i="3"/>
  <c r="AZ375" i="3"/>
  <c r="BA376" i="3"/>
  <c r="BL376" i="3"/>
  <c r="AZ376" i="3" s="1"/>
  <c r="G377" i="3"/>
  <c r="BA378" i="3"/>
  <c r="BL378" i="3"/>
  <c r="AZ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s="1"/>
  <c r="G314" i="3"/>
  <c r="G317" i="3"/>
  <c r="BL318" i="3"/>
  <c r="BA320" i="3"/>
  <c r="AZ320" i="3"/>
  <c r="BA321" i="3"/>
  <c r="BL321" i="3"/>
  <c r="AZ321" i="3" s="1"/>
  <c r="G322" i="3"/>
  <c r="G325" i="3"/>
  <c r="BL326" i="3"/>
  <c r="BA328" i="3"/>
  <c r="AZ328" i="3"/>
  <c r="BA329" i="3"/>
  <c r="BL329" i="3"/>
  <c r="AZ329" i="3" s="1"/>
  <c r="G330" i="3"/>
  <c r="G333" i="3"/>
  <c r="BL334" i="3"/>
  <c r="BA336" i="3"/>
  <c r="AZ336" i="3"/>
  <c r="BA337" i="3"/>
  <c r="BL337" i="3"/>
  <c r="AZ337" i="3" s="1"/>
  <c r="G338" i="3"/>
  <c r="G341" i="3"/>
  <c r="BA342" i="3"/>
  <c r="BL342" i="3"/>
  <c r="AZ342" i="3"/>
  <c r="BA344" i="3"/>
  <c r="BL344" i="3"/>
  <c r="AZ344" i="3" s="1"/>
  <c r="BA346" i="3"/>
  <c r="AZ346" i="3" s="1"/>
  <c r="BA347" i="3"/>
  <c r="BL347" i="3"/>
  <c r="AZ347" i="3"/>
  <c r="G350" i="3"/>
  <c r="BA351" i="3"/>
  <c r="BL351" i="3"/>
  <c r="AZ351" i="3"/>
  <c r="G352" i="3"/>
  <c r="G354" i="3"/>
  <c r="BA355" i="3"/>
  <c r="AZ355" i="3"/>
  <c r="BA356" i="3"/>
  <c r="BL356" i="3"/>
  <c r="AZ356" i="3" s="1"/>
  <c r="G357" i="3"/>
  <c r="G360" i="3"/>
  <c r="BL361" i="3"/>
  <c r="BA363" i="3"/>
  <c r="AZ363" i="3" s="1"/>
  <c r="BA364" i="3"/>
  <c r="AZ364" i="3" s="1"/>
  <c r="BL364" i="3"/>
  <c r="G365" i="3"/>
  <c r="G368" i="3"/>
  <c r="BL369" i="3"/>
  <c r="BA371" i="3"/>
  <c r="AZ371" i="3"/>
  <c r="BA372" i="3"/>
  <c r="BL372" i="3"/>
  <c r="AZ372" i="3" s="1"/>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AZ327" i="3" s="1"/>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AZ496" i="3"/>
  <c r="G548" i="3"/>
  <c r="G538" i="3"/>
  <c r="G520" i="3"/>
  <c r="G502" i="3"/>
  <c r="BP5" i="3"/>
  <c r="AZ343" i="3"/>
  <c r="BI5" i="3"/>
  <c r="BE5" i="3"/>
  <c r="G17" i="3"/>
  <c r="BA17" i="3"/>
  <c r="BT5" i="3"/>
  <c r="AZ350" i="3"/>
  <c r="AZ352" i="3"/>
  <c r="AZ360" i="3"/>
  <c r="AZ368" i="3"/>
  <c r="BA15" i="3"/>
  <c r="AZ15" i="3"/>
  <c r="AZ380" i="3"/>
  <c r="AZ388" i="3"/>
  <c r="AZ396" i="3"/>
  <c r="AZ499" i="3"/>
  <c r="G509" i="3"/>
  <c r="AZ491" i="3"/>
  <c r="AZ390" i="3"/>
  <c r="AZ493" i="3"/>
  <c r="U36" i="40"/>
  <c r="F83" i="43"/>
  <c r="F50" i="43"/>
  <c r="F72" i="43"/>
  <c r="U17" i="39"/>
  <c r="U43" i="21"/>
  <c r="AC35" i="21"/>
  <c r="G8" i="1"/>
  <c r="G10" i="1"/>
  <c r="W37" i="37"/>
  <c r="W44" i="34"/>
  <c r="AC44" i="34"/>
  <c r="U13" i="37"/>
  <c r="AA12" i="40"/>
  <c r="J37" i="33"/>
  <c r="W37" i="33"/>
  <c r="AC17" i="34"/>
  <c r="F106" i="33"/>
  <c r="G106" i="33" s="1"/>
  <c r="H106" i="33" s="1"/>
  <c r="I106" i="33" s="1"/>
  <c r="J106" i="33" s="1"/>
  <c r="K106" i="33" s="1"/>
  <c r="L106" i="33" s="1"/>
  <c r="M106" i="33" s="1"/>
  <c r="J34" i="33"/>
  <c r="F33" i="34"/>
  <c r="S33" i="34" s="1"/>
  <c r="H20" i="36"/>
  <c r="J20" i="36"/>
  <c r="J27" i="36"/>
  <c r="W27" i="36"/>
  <c r="AC33" i="40"/>
  <c r="G111" i="40"/>
  <c r="H111" i="40" s="1"/>
  <c r="I111" i="40" s="1"/>
  <c r="J111" i="40" s="1"/>
  <c r="K111" i="40" s="1"/>
  <c r="L111" i="40" s="1"/>
  <c r="M111" i="40" s="1"/>
  <c r="H35" i="40"/>
  <c r="AB35" i="40"/>
  <c r="W29" i="35"/>
  <c r="H35" i="37"/>
  <c r="U35" i="37"/>
  <c r="H20" i="35"/>
  <c r="F20" i="35"/>
  <c r="AA20" i="35" s="1"/>
  <c r="AB23" i="35"/>
  <c r="AB29" i="36"/>
  <c r="U29" i="36"/>
  <c r="H32" i="37"/>
  <c r="AB32" i="37"/>
  <c r="H27" i="40"/>
  <c r="U27" i="40" s="1"/>
  <c r="J27" i="40"/>
  <c r="F27" i="40"/>
  <c r="S27" i="40" s="1"/>
  <c r="J30" i="40"/>
  <c r="AC30" i="40" s="1"/>
  <c r="F30" i="40"/>
  <c r="AC21" i="40"/>
  <c r="S31" i="39"/>
  <c r="S11" i="40"/>
  <c r="E98" i="40"/>
  <c r="F98" i="40"/>
  <c r="G98" i="40" s="1"/>
  <c r="H98" i="40"/>
  <c r="I98" i="40" s="1"/>
  <c r="J98" i="40" s="1"/>
  <c r="K98" i="40" s="1"/>
  <c r="L98" i="40" s="1"/>
  <c r="M98" i="40" s="1"/>
  <c r="F10" i="33"/>
  <c r="F34" i="33"/>
  <c r="S34" i="33" s="1"/>
  <c r="H34" i="33"/>
  <c r="F35" i="33"/>
  <c r="F39" i="34"/>
  <c r="J39" i="34"/>
  <c r="F40" i="34"/>
  <c r="S40" i="34" s="1"/>
  <c r="F43" i="34"/>
  <c r="AA43" i="34" s="1"/>
  <c r="H44" i="34"/>
  <c r="AC38" i="39"/>
  <c r="F39" i="39"/>
  <c r="S39" i="39"/>
  <c r="J39" i="39"/>
  <c r="AC39" i="39"/>
  <c r="E96" i="39"/>
  <c r="F96" i="39"/>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H96" i="37"/>
  <c r="I96" i="37" s="1"/>
  <c r="J96" i="37" s="1"/>
  <c r="K96" i="37" s="1"/>
  <c r="L96" i="37" s="1"/>
  <c r="M96" i="37" s="1"/>
  <c r="F20" i="36"/>
  <c r="J33" i="34"/>
  <c r="AC33" i="34" s="1"/>
  <c r="H23" i="39"/>
  <c r="U23" i="39" s="1"/>
  <c r="D48" i="9"/>
  <c r="M52" i="9" s="1"/>
  <c r="K9" i="1"/>
  <c r="M9" i="1" s="1"/>
  <c r="D93" i="9"/>
  <c r="K6" i="1"/>
  <c r="AP6" i="1"/>
  <c r="C36" i="69" s="1"/>
  <c r="AB34" i="36"/>
  <c r="U34" i="36"/>
  <c r="AB33" i="36"/>
  <c r="U33" i="36"/>
  <c r="AC12" i="39"/>
  <c r="AC39" i="40"/>
  <c r="W39" i="40"/>
  <c r="AZ401" i="3"/>
  <c r="AZ412" i="3"/>
  <c r="AZ417" i="3"/>
  <c r="AZ428" i="3"/>
  <c r="AZ433" i="3"/>
  <c r="AZ465" i="3"/>
  <c r="AC12" i="33"/>
  <c r="AA32" i="36"/>
  <c r="S32" i="36"/>
  <c r="AZ408" i="3"/>
  <c r="AZ437" i="3"/>
  <c r="AZ441" i="3"/>
  <c r="AZ457" i="3"/>
  <c r="AZ473" i="3"/>
  <c r="AZ490" i="3"/>
  <c r="BL14" i="3"/>
  <c r="AZ266" i="3"/>
  <c r="W28" i="37"/>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AZ80" i="3"/>
  <c r="AZ84" i="3"/>
  <c r="AZ88" i="3"/>
  <c r="AZ107" i="3"/>
  <c r="AZ111" i="3"/>
  <c r="K12" i="1"/>
  <c r="M12" i="1" s="1"/>
  <c r="S13" i="1"/>
  <c r="AR13" i="1" s="1"/>
  <c r="R13" i="1"/>
  <c r="AA34" i="33"/>
  <c r="B41" i="1"/>
  <c r="F48" i="9"/>
  <c r="O52" i="9" s="1"/>
  <c r="AB37" i="40"/>
  <c r="S35" i="40"/>
  <c r="U35" i="40"/>
  <c r="W38" i="40"/>
  <c r="S17" i="40"/>
  <c r="S23" i="40"/>
  <c r="AC17" i="40"/>
  <c r="AC15" i="40"/>
  <c r="AB27" i="40"/>
  <c r="AA19" i="40"/>
  <c r="S28" i="40"/>
  <c r="AA27" i="40"/>
  <c r="U21" i="40"/>
  <c r="AB19" i="40"/>
  <c r="S43" i="39"/>
  <c r="U35" i="39"/>
  <c r="F32" i="39"/>
  <c r="F106" i="39"/>
  <c r="G106" i="39" s="1"/>
  <c r="H106" i="39"/>
  <c r="I106" i="39" s="1"/>
  <c r="J106" i="39" s="1"/>
  <c r="K106" i="39" s="1"/>
  <c r="L106" i="39" s="1"/>
  <c r="M106" i="39" s="1"/>
  <c r="U25" i="39"/>
  <c r="U31" i="39"/>
  <c r="J21" i="39"/>
  <c r="W21" i="39"/>
  <c r="F21" i="39"/>
  <c r="G94" i="39"/>
  <c r="H21" i="39"/>
  <c r="W19" i="39"/>
  <c r="S17" i="39"/>
  <c r="S15" i="39"/>
  <c r="AA12" i="39"/>
  <c r="U14" i="39"/>
  <c r="U12" i="39"/>
  <c r="S23" i="36"/>
  <c r="U13" i="36"/>
  <c r="U26" i="36"/>
  <c r="S33" i="36"/>
  <c r="AA34" i="36"/>
  <c r="AC26" i="36"/>
  <c r="AA22" i="36"/>
  <c r="W14" i="36"/>
  <c r="AB14" i="36"/>
  <c r="U22" i="36"/>
  <c r="S16" i="36"/>
  <c r="S24" i="36"/>
  <c r="U23" i="36"/>
  <c r="U16" i="36"/>
  <c r="AA25" i="35"/>
  <c r="W24" i="35"/>
  <c r="U29" i="35"/>
  <c r="U28" i="35"/>
  <c r="AB27" i="35"/>
  <c r="U36" i="35"/>
  <c r="U32" i="35"/>
  <c r="AC30" i="35"/>
  <c r="AA36" i="35"/>
  <c r="S28" i="35"/>
  <c r="AB16" i="35"/>
  <c r="S20" i="35"/>
  <c r="AC20" i="35"/>
  <c r="S22" i="35"/>
  <c r="AA11" i="35"/>
  <c r="AC12" i="35"/>
  <c r="W13" i="35"/>
  <c r="AB40" i="37"/>
  <c r="S26" i="37"/>
  <c r="AC29" i="37"/>
  <c r="U29" i="37"/>
  <c r="S32" i="37"/>
  <c r="AB31" i="37"/>
  <c r="S36" i="37"/>
  <c r="U32" i="37"/>
  <c r="AC35" i="37"/>
  <c r="W39" i="37"/>
  <c r="S30" i="37"/>
  <c r="AC15" i="37"/>
  <c r="J17" i="37"/>
  <c r="W17" i="37"/>
  <c r="G73" i="37"/>
  <c r="F17" i="37"/>
  <c r="AB17" i="37"/>
  <c r="F75" i="37"/>
  <c r="F19" i="37"/>
  <c r="AA19" i="37" s="1"/>
  <c r="F79" i="37"/>
  <c r="F23" i="37"/>
  <c r="S23" i="37" s="1"/>
  <c r="U23" i="37"/>
  <c r="U15" i="37"/>
  <c r="AC13" i="37"/>
  <c r="H10" i="37"/>
  <c r="F63" i="37"/>
  <c r="G63" i="37" s="1"/>
  <c r="F11" i="37"/>
  <c r="S11" i="37"/>
  <c r="W25" i="34"/>
  <c r="AB8" i="34"/>
  <c r="AA33" i="34"/>
  <c r="U43" i="34"/>
  <c r="W41" i="34"/>
  <c r="AC42" i="34"/>
  <c r="AB35" i="34"/>
  <c r="S43" i="34"/>
  <c r="AA45" i="34"/>
  <c r="AA25" i="34"/>
  <c r="U28" i="34"/>
  <c r="S17" i="34"/>
  <c r="AA29" i="34"/>
  <c r="S23" i="34"/>
  <c r="U15" i="34"/>
  <c r="H10" i="34"/>
  <c r="AB10" i="34"/>
  <c r="F11" i="34"/>
  <c r="S11" i="34"/>
  <c r="W42" i="33"/>
  <c r="AA29" i="33"/>
  <c r="W38" i="33"/>
  <c r="H41" i="33"/>
  <c r="F121" i="33"/>
  <c r="G121" i="33" s="1"/>
  <c r="H121" i="33" s="1"/>
  <c r="I121" i="33" s="1"/>
  <c r="J121" i="33" s="1"/>
  <c r="K121" i="33" s="1"/>
  <c r="L121" i="33" s="1"/>
  <c r="M121" i="33" s="1"/>
  <c r="U42" i="33"/>
  <c r="F36" i="33"/>
  <c r="G111" i="33"/>
  <c r="H111" i="33" s="1"/>
  <c r="H108" i="33"/>
  <c r="I108" i="33" s="1"/>
  <c r="J108" i="33"/>
  <c r="K108" i="33" s="1"/>
  <c r="L108" i="33" s="1"/>
  <c r="M108" i="33" s="1"/>
  <c r="J35" i="33"/>
  <c r="W35" i="33" s="1"/>
  <c r="S37" i="33"/>
  <c r="AA37" i="33"/>
  <c r="S39" i="33"/>
  <c r="F101" i="33"/>
  <c r="G101" i="33" s="1"/>
  <c r="H101" i="33" s="1"/>
  <c r="I101" i="33" s="1"/>
  <c r="J101" i="33" s="1"/>
  <c r="K101" i="33" s="1"/>
  <c r="L101" i="33" s="1"/>
  <c r="M101" i="33" s="1"/>
  <c r="J32" i="33"/>
  <c r="W32" i="33" s="1"/>
  <c r="W43" i="33"/>
  <c r="F91" i="33"/>
  <c r="F87" i="33"/>
  <c r="H25" i="33"/>
  <c r="F25" i="33"/>
  <c r="AA25" i="33" s="1"/>
  <c r="J23" i="33"/>
  <c r="F85" i="33"/>
  <c r="G85" i="33" s="1"/>
  <c r="H23" i="33"/>
  <c r="F81" i="33"/>
  <c r="F19" i="33"/>
  <c r="S19" i="33"/>
  <c r="J17" i="33"/>
  <c r="AC17" i="33" s="1"/>
  <c r="S15" i="33"/>
  <c r="U9" i="33"/>
  <c r="J10" i="33"/>
  <c r="W10" i="33"/>
  <c r="H10" i="33"/>
  <c r="U10" i="33"/>
  <c r="W36" i="21"/>
  <c r="W41" i="21"/>
  <c r="AB39" i="21"/>
  <c r="S39" i="21"/>
  <c r="AA36" i="21"/>
  <c r="J15" i="21"/>
  <c r="F77" i="21"/>
  <c r="G77" i="21" s="1"/>
  <c r="E85" i="21"/>
  <c r="D120" i="9"/>
  <c r="D121" i="9"/>
  <c r="D7" i="52" s="1"/>
  <c r="F34" i="67"/>
  <c r="F62" i="67" s="1"/>
  <c r="M20" i="67"/>
  <c r="F34" i="15"/>
  <c r="F62" i="15"/>
  <c r="G13" i="3"/>
  <c r="BA13" i="3"/>
  <c r="BL17" i="3"/>
  <c r="AZ17" i="3"/>
  <c r="BL13" i="3"/>
  <c r="J56" i="9"/>
  <c r="J57" i="9"/>
  <c r="J59" i="9" s="1"/>
  <c r="J61" i="9"/>
  <c r="A24" i="51"/>
  <c r="B18" i="72"/>
  <c r="E5" i="6"/>
  <c r="D9" i="69" s="1"/>
  <c r="E32" i="6"/>
  <c r="G1" i="68"/>
  <c r="K1" i="12"/>
  <c r="E19" i="69"/>
  <c r="E19" i="68"/>
  <c r="E19" i="11"/>
  <c r="E1" i="73"/>
  <c r="G22" i="69"/>
  <c r="G22" i="68"/>
  <c r="G26" i="12"/>
  <c r="G22" i="11"/>
  <c r="C6" i="43"/>
  <c r="B19" i="53"/>
  <c r="B37" i="72"/>
  <c r="C7" i="39"/>
  <c r="C67" i="39"/>
  <c r="C7" i="35"/>
  <c r="C7" i="33"/>
  <c r="C58" i="33" s="1"/>
  <c r="C7" i="40"/>
  <c r="C63" i="40"/>
  <c r="M47" i="9"/>
  <c r="C46" i="36"/>
  <c r="D46" i="36" s="1"/>
  <c r="E46" i="36" s="1"/>
  <c r="F46" i="36" s="1"/>
  <c r="G46" i="36" s="1"/>
  <c r="H46" i="36" s="1"/>
  <c r="I46" i="36" s="1"/>
  <c r="C52" i="37"/>
  <c r="D52" i="37"/>
  <c r="A4" i="51"/>
  <c r="B6" i="72"/>
  <c r="C48" i="35"/>
  <c r="D48" i="35"/>
  <c r="L20" i="6"/>
  <c r="K11" i="1"/>
  <c r="M11" i="1"/>
  <c r="O11" i="1"/>
  <c r="K7" i="1"/>
  <c r="M7" i="1" s="1"/>
  <c r="O7" i="1"/>
  <c r="P7" i="1"/>
  <c r="G1" i="15"/>
  <c r="G1" i="69"/>
  <c r="G1" i="67"/>
  <c r="U32" i="40"/>
  <c r="S37" i="40"/>
  <c r="AB28" i="40"/>
  <c r="W28" i="40"/>
  <c r="W34" i="40"/>
  <c r="W19" i="40"/>
  <c r="S36" i="40"/>
  <c r="AC14" i="40"/>
  <c r="S33" i="40"/>
  <c r="AA15" i="40"/>
  <c r="U11" i="40"/>
  <c r="AB13" i="40"/>
  <c r="U15" i="40"/>
  <c r="AB17" i="40"/>
  <c r="U8" i="40"/>
  <c r="S8" i="40"/>
  <c r="AA39" i="39"/>
  <c r="AC41" i="39"/>
  <c r="U41" i="39"/>
  <c r="AC25" i="39"/>
  <c r="S13" i="39"/>
  <c r="S14" i="39"/>
  <c r="AA14" i="39"/>
  <c r="AB43" i="39"/>
  <c r="U11" i="39"/>
  <c r="AA27" i="39"/>
  <c r="S27" i="39"/>
  <c r="AC17" i="39"/>
  <c r="AC31" i="39"/>
  <c r="S23" i="39"/>
  <c r="AA45" i="39"/>
  <c r="W34" i="39"/>
  <c r="S8" i="39"/>
  <c r="AC25" i="36"/>
  <c r="U32" i="36"/>
  <c r="W29" i="36"/>
  <c r="U25" i="36"/>
  <c r="AB28" i="36"/>
  <c r="AA13" i="36"/>
  <c r="W9" i="36"/>
  <c r="W22" i="36"/>
  <c r="W23" i="36"/>
  <c r="S9" i="36"/>
  <c r="AC25" i="35"/>
  <c r="S24" i="35"/>
  <c r="S35" i="35"/>
  <c r="AA16" i="35"/>
  <c r="AA35" i="37"/>
  <c r="W36" i="37"/>
  <c r="S28" i="37"/>
  <c r="U36" i="37"/>
  <c r="S40" i="37"/>
  <c r="U38" i="37"/>
  <c r="AB37" i="37"/>
  <c r="AC34" i="37"/>
  <c r="AB35" i="37"/>
  <c r="AA31" i="37"/>
  <c r="U19" i="37"/>
  <c r="AA29" i="37"/>
  <c r="AA40" i="34"/>
  <c r="AB40" i="34"/>
  <c r="U19" i="34"/>
  <c r="W19" i="34"/>
  <c r="AB33" i="34"/>
  <c r="AA31" i="34"/>
  <c r="AB45" i="34"/>
  <c r="U25" i="34"/>
  <c r="W33" i="34"/>
  <c r="AC32" i="34"/>
  <c r="W29" i="34"/>
  <c r="W46" i="34"/>
  <c r="AC46" i="34"/>
  <c r="S32" i="34"/>
  <c r="AA32" i="34"/>
  <c r="U30" i="34"/>
  <c r="AB30" i="34"/>
  <c r="U38" i="34"/>
  <c r="AC40" i="34"/>
  <c r="W40" i="34"/>
  <c r="S19" i="34"/>
  <c r="AA36" i="34"/>
  <c r="S36" i="34"/>
  <c r="AA8" i="34"/>
  <c r="S8" i="34"/>
  <c r="U9" i="34"/>
  <c r="AA46" i="34"/>
  <c r="AB32" i="34"/>
  <c r="AB14" i="34"/>
  <c r="AC43" i="34"/>
  <c r="W43" i="34"/>
  <c r="W23" i="34"/>
  <c r="AC23" i="34"/>
  <c r="W35" i="34"/>
  <c r="U12" i="34"/>
  <c r="AB12" i="34"/>
  <c r="AC37" i="33"/>
  <c r="U39" i="33"/>
  <c r="S33" i="33"/>
  <c r="U44" i="33"/>
  <c r="S30" i="33"/>
  <c r="AC30" i="33"/>
  <c r="S31" i="33"/>
  <c r="AA31" i="33"/>
  <c r="W13" i="33"/>
  <c r="AC13" i="33"/>
  <c r="U15" i="33"/>
  <c r="U37" i="33"/>
  <c r="S28" i="33"/>
  <c r="W8" i="33"/>
  <c r="S44" i="21"/>
  <c r="AB42" i="21"/>
  <c r="F33" i="21"/>
  <c r="AA33" i="21" s="1"/>
  <c r="J33" i="21"/>
  <c r="AC33" i="21" s="1"/>
  <c r="H33" i="21"/>
  <c r="AB46" i="21"/>
  <c r="U40" i="21"/>
  <c r="U13" i="21"/>
  <c r="S35" i="21"/>
  <c r="H15" i="21"/>
  <c r="AC19" i="21"/>
  <c r="W39" i="21"/>
  <c r="S46" i="21"/>
  <c r="F29" i="21"/>
  <c r="S29" i="21"/>
  <c r="F13" i="21"/>
  <c r="AA13" i="21"/>
  <c r="AC38" i="21"/>
  <c r="H32" i="21"/>
  <c r="AB32" i="21" s="1"/>
  <c r="H9" i="21"/>
  <c r="J9" i="21"/>
  <c r="W9" i="21" s="1"/>
  <c r="J32" i="21"/>
  <c r="W32" i="21"/>
  <c r="F32" i="21"/>
  <c r="W29" i="21"/>
  <c r="S9" i="21"/>
  <c r="K141" i="21"/>
  <c r="K144" i="21"/>
  <c r="K143" i="21"/>
  <c r="U27" i="21"/>
  <c r="AB25" i="21"/>
  <c r="AB44" i="21"/>
  <c r="W13" i="21"/>
  <c r="W42" i="21"/>
  <c r="F10" i="21"/>
  <c r="K145" i="21"/>
  <c r="W25" i="21"/>
  <c r="AA29" i="21"/>
  <c r="S27" i="21"/>
  <c r="AC27" i="21"/>
  <c r="AB29" i="21"/>
  <c r="W12" i="21"/>
  <c r="W30" i="40"/>
  <c r="C19" i="39"/>
  <c r="C15" i="40"/>
  <c r="C17" i="40"/>
  <c r="C23" i="40"/>
  <c r="C21" i="40"/>
  <c r="U30" i="40"/>
  <c r="B56" i="43"/>
  <c r="B67" i="43"/>
  <c r="B51" i="43"/>
  <c r="B54" i="43"/>
  <c r="B58" i="43"/>
  <c r="B62" i="43"/>
  <c r="B65" i="43"/>
  <c r="B69" i="43"/>
  <c r="D23" i="15"/>
  <c r="D22" i="15"/>
  <c r="E4" i="4"/>
  <c r="B5" i="62"/>
  <c r="B73" i="72" s="1"/>
  <c r="C4" i="4"/>
  <c r="F30" i="68"/>
  <c r="F48" i="68"/>
  <c r="F30" i="11"/>
  <c r="C48" i="11"/>
  <c r="F28" i="67"/>
  <c r="C28" i="67" s="1"/>
  <c r="F31" i="12"/>
  <c r="F52" i="9"/>
  <c r="M18" i="67"/>
  <c r="F32" i="67"/>
  <c r="F60" i="67"/>
  <c r="F30" i="69"/>
  <c r="F48" i="69"/>
  <c r="F32" i="15"/>
  <c r="F60" i="15"/>
  <c r="M18" i="15"/>
  <c r="F28" i="15"/>
  <c r="AA39" i="40"/>
  <c r="S39" i="40"/>
  <c r="AA12" i="33"/>
  <c r="D68" i="9"/>
  <c r="F54" i="9"/>
  <c r="J32" i="39"/>
  <c r="H32" i="39"/>
  <c r="AA32" i="39"/>
  <c r="S32" i="39"/>
  <c r="AB21" i="39"/>
  <c r="U21" i="39"/>
  <c r="AA21" i="39"/>
  <c r="S21" i="39"/>
  <c r="AC17" i="37"/>
  <c r="J19" i="37"/>
  <c r="AC19" i="37" s="1"/>
  <c r="G75" i="37"/>
  <c r="S19" i="37"/>
  <c r="AA23" i="37"/>
  <c r="J23" i="37"/>
  <c r="G79" i="37"/>
  <c r="J10" i="37"/>
  <c r="W10" i="37"/>
  <c r="H11" i="37"/>
  <c r="G70" i="34"/>
  <c r="H11" i="34"/>
  <c r="U11" i="34"/>
  <c r="J10" i="34"/>
  <c r="AC10" i="34"/>
  <c r="AB41" i="33"/>
  <c r="U41" i="33"/>
  <c r="AC35" i="33"/>
  <c r="I111" i="33"/>
  <c r="J111" i="33" s="1"/>
  <c r="K111" i="33"/>
  <c r="L111" i="33" s="1"/>
  <c r="M111" i="33" s="1"/>
  <c r="J36" i="33"/>
  <c r="W36" i="33"/>
  <c r="H36" i="33"/>
  <c r="U36" i="33"/>
  <c r="AC32" i="33"/>
  <c r="G91" i="33"/>
  <c r="H91" i="33" s="1"/>
  <c r="I91" i="33" s="1"/>
  <c r="J91" i="33" s="1"/>
  <c r="K91" i="33" s="1"/>
  <c r="L91" i="33" s="1"/>
  <c r="M91" i="33" s="1"/>
  <c r="U25" i="33"/>
  <c r="AB25" i="33"/>
  <c r="S25" i="33"/>
  <c r="G87" i="33"/>
  <c r="H87" i="33" s="1"/>
  <c r="I87" i="33"/>
  <c r="J87" i="33" s="1"/>
  <c r="K87" i="33" s="1"/>
  <c r="L87" i="33" s="1"/>
  <c r="M87" i="33" s="1"/>
  <c r="J25" i="33"/>
  <c r="AB23" i="33"/>
  <c r="U23" i="33"/>
  <c r="F23" i="33"/>
  <c r="AA23" i="33" s="1"/>
  <c r="AC23" i="33"/>
  <c r="W23" i="33"/>
  <c r="AA19" i="33"/>
  <c r="H19" i="33"/>
  <c r="G81" i="33"/>
  <c r="H17" i="33"/>
  <c r="U17" i="33" s="1"/>
  <c r="F17" i="33"/>
  <c r="W17" i="33"/>
  <c r="F85" i="21"/>
  <c r="G85" i="21" s="1"/>
  <c r="S13" i="21"/>
  <c r="D6" i="52"/>
  <c r="AP7" i="1"/>
  <c r="AB9" i="21"/>
  <c r="U9" i="21"/>
  <c r="AA32" i="21"/>
  <c r="S32" i="21"/>
  <c r="AC9" i="21"/>
  <c r="U32" i="21"/>
  <c r="A18" i="62"/>
  <c r="B64" i="72"/>
  <c r="AC32" i="39"/>
  <c r="W32" i="39"/>
  <c r="W23" i="37"/>
  <c r="AC23" i="37"/>
  <c r="H63" i="37"/>
  <c r="I63" i="37" s="1"/>
  <c r="J63" i="37" s="1"/>
  <c r="K63" i="37" s="1"/>
  <c r="L63" i="37" s="1"/>
  <c r="M63" i="37" s="1"/>
  <c r="J11" i="37"/>
  <c r="AC11" i="37" s="1"/>
  <c r="H70" i="34"/>
  <c r="I70" i="34" s="1"/>
  <c r="J70" i="34" s="1"/>
  <c r="K70" i="34" s="1"/>
  <c r="L70" i="34" s="1"/>
  <c r="M70" i="34" s="1"/>
  <c r="J11" i="34"/>
  <c r="W11" i="34" s="1"/>
  <c r="AB36" i="33"/>
  <c r="W25" i="33"/>
  <c r="AC25" i="33"/>
  <c r="S23" i="33"/>
  <c r="AB19" i="33"/>
  <c r="U19" i="33"/>
  <c r="AA17" i="33"/>
  <c r="S17" i="33"/>
  <c r="M49" i="9"/>
  <c r="D16" i="53"/>
  <c r="B34" i="72" s="1"/>
  <c r="D21" i="53"/>
  <c r="B39" i="72" s="1"/>
  <c r="H111" i="9"/>
  <c r="D126" i="9" s="1"/>
  <c r="AD3" i="71"/>
  <c r="H50" i="43"/>
  <c r="C24" i="12"/>
  <c r="D22" i="71"/>
  <c r="D23" i="71"/>
  <c r="D24" i="71"/>
  <c r="U24" i="71" s="1"/>
  <c r="S24" i="71"/>
  <c r="T24" i="71"/>
  <c r="AB22" i="71"/>
  <c r="X20" i="71"/>
  <c r="X19" i="71"/>
  <c r="AA20" i="71"/>
  <c r="AA19" i="71"/>
  <c r="X23" i="71"/>
  <c r="Z18" i="71"/>
  <c r="Y19" i="71"/>
  <c r="Z19" i="71"/>
  <c r="AB20" i="71"/>
  <c r="AB19" i="71"/>
  <c r="S20" i="71"/>
  <c r="Y20" i="71"/>
  <c r="Z20" i="71" s="1"/>
  <c r="X3" i="71"/>
  <c r="V20" i="71"/>
  <c r="D21" i="71"/>
  <c r="D18" i="71"/>
  <c r="T20" i="71"/>
  <c r="D19" i="71"/>
  <c r="D20" i="71"/>
  <c r="U20" i="71" s="1"/>
  <c r="D9" i="68"/>
  <c r="C9" i="68" s="1"/>
  <c r="C30" i="68"/>
  <c r="C36" i="68"/>
  <c r="C48" i="68"/>
  <c r="C19" i="69"/>
  <c r="R7" i="1"/>
  <c r="C28" i="15"/>
  <c r="AE7" i="1"/>
  <c r="AB8" i="21"/>
  <c r="AC32" i="21"/>
  <c r="S22" i="31"/>
  <c r="R22" i="31" s="1"/>
  <c r="D74" i="43"/>
  <c r="E50" i="43"/>
  <c r="B48" i="43"/>
  <c r="C28" i="43" s="1"/>
  <c r="AC32" i="36"/>
  <c r="W33" i="36"/>
  <c r="AC34" i="36"/>
  <c r="AA31" i="36"/>
  <c r="S28" i="36"/>
  <c r="S30" i="36"/>
  <c r="S29" i="36"/>
  <c r="W8" i="36"/>
  <c r="AB8" i="36"/>
  <c r="S8" i="36"/>
  <c r="U30" i="35"/>
  <c r="W32" i="35"/>
  <c r="S8" i="35"/>
  <c r="S33" i="21"/>
  <c r="AC36" i="33"/>
  <c r="S33" i="37"/>
  <c r="AC9" i="37"/>
  <c r="W11" i="37"/>
  <c r="AA8" i="37"/>
  <c r="AA9" i="37"/>
  <c r="AA12" i="37"/>
  <c r="AB9" i="37"/>
  <c r="U12" i="37"/>
  <c r="AC8" i="37"/>
  <c r="AB37" i="34"/>
  <c r="S9" i="34"/>
  <c r="AC11" i="34"/>
  <c r="AB13" i="33"/>
  <c r="S8" i="33"/>
  <c r="W8" i="21"/>
  <c r="S8" i="21"/>
  <c r="AA11" i="21"/>
  <c r="AC11" i="21"/>
  <c r="AB11" i="21"/>
  <c r="F53" i="9"/>
  <c r="C5" i="11"/>
  <c r="C4" i="12"/>
  <c r="I4" i="6"/>
  <c r="L19" i="6"/>
  <c r="L27" i="6" s="1"/>
  <c r="M6" i="1"/>
  <c r="O6" i="1"/>
  <c r="T13" i="1"/>
  <c r="C59" i="34"/>
  <c r="D59" i="34" s="1"/>
  <c r="E59" i="34"/>
  <c r="F59" i="34" s="1"/>
  <c r="G59" i="34" s="1"/>
  <c r="H59" i="34" s="1"/>
  <c r="I59" i="34" s="1"/>
  <c r="J59" i="34" s="1"/>
  <c r="F31" i="15"/>
  <c r="F31" i="67"/>
  <c r="W10" i="36"/>
  <c r="U10" i="36"/>
  <c r="S10" i="36"/>
  <c r="W10" i="35"/>
  <c r="S10" i="37"/>
  <c r="AC10" i="37"/>
  <c r="W10" i="34"/>
  <c r="U10" i="34"/>
  <c r="S10" i="34"/>
  <c r="AC10" i="33"/>
  <c r="AB10" i="33"/>
  <c r="U10" i="21"/>
  <c r="W10" i="21"/>
  <c r="AB27" i="36"/>
  <c r="S27" i="36"/>
  <c r="AC27" i="36"/>
  <c r="AC8" i="35"/>
  <c r="U8" i="35"/>
  <c r="AA11" i="37"/>
  <c r="W37" i="34"/>
  <c r="AB11" i="34"/>
  <c r="AA11" i="34"/>
  <c r="W33" i="21"/>
  <c r="P74" i="67"/>
  <c r="H62" i="43"/>
  <c r="H51" i="43"/>
  <c r="H65" i="43"/>
  <c r="D72" i="43"/>
  <c r="D76" i="43"/>
  <c r="D80" i="43"/>
  <c r="D61" i="43"/>
  <c r="P61" i="15"/>
  <c r="C94" i="9"/>
  <c r="C31" i="12"/>
  <c r="C77" i="9"/>
  <c r="C74" i="9"/>
  <c r="C30" i="11"/>
  <c r="C21" i="69"/>
  <c r="J84" i="43"/>
  <c r="J85" i="43"/>
  <c r="J86" i="43"/>
  <c r="J87" i="43"/>
  <c r="J88" i="43"/>
  <c r="J89" i="43"/>
  <c r="J90" i="43"/>
  <c r="D83" i="43"/>
  <c r="E83" i="43" s="1"/>
  <c r="B81" i="43" s="1"/>
  <c r="D66" i="43"/>
  <c r="D64" i="43"/>
  <c r="D62" i="43"/>
  <c r="D67" i="43"/>
  <c r="D65" i="43"/>
  <c r="D63" i="43"/>
  <c r="D69" i="43"/>
  <c r="D73" i="43"/>
  <c r="D75" i="43"/>
  <c r="D79" i="43"/>
  <c r="D22" i="67"/>
  <c r="AQ13" i="1"/>
  <c r="H16" i="1"/>
  <c r="P6" i="1"/>
  <c r="C13" i="12"/>
  <c r="P11" i="1"/>
  <c r="D9" i="11"/>
  <c r="C9" i="11" s="1"/>
  <c r="D19" i="12"/>
  <c r="C19" i="12" s="1"/>
  <c r="AZ13" i="3"/>
  <c r="O9" i="1"/>
  <c r="P9" i="1"/>
  <c r="O12" i="1"/>
  <c r="P12" i="1"/>
  <c r="O8" i="1"/>
  <c r="P8" i="1"/>
  <c r="H73" i="43"/>
  <c r="H90" i="43"/>
  <c r="O23" i="43"/>
  <c r="I18" i="43"/>
  <c r="E17" i="43"/>
  <c r="C17" i="43"/>
  <c r="H26" i="43"/>
  <c r="J26" i="43"/>
  <c r="A1" i="79"/>
  <c r="H55" i="43"/>
  <c r="H86" i="43"/>
  <c r="H87" i="43"/>
  <c r="N370" i="46"/>
  <c r="N94" i="46"/>
  <c r="H89" i="43"/>
  <c r="H88" i="43"/>
  <c r="H84" i="43"/>
  <c r="C69" i="39"/>
  <c r="D67" i="39"/>
  <c r="D69" i="39" s="1"/>
  <c r="T35" i="4"/>
  <c r="A19" i="51" s="1"/>
  <c r="B14" i="72" s="1"/>
  <c r="D18" i="53"/>
  <c r="B35" i="72"/>
  <c r="H52" i="43"/>
  <c r="K5" i="4"/>
  <c r="B47" i="48" s="1"/>
  <c r="Y8" i="71"/>
  <c r="Z8" i="71" s="1"/>
  <c r="X8" i="71"/>
  <c r="AB8" i="71"/>
  <c r="AA8" i="71"/>
  <c r="L68" i="9"/>
  <c r="M68" i="9"/>
  <c r="L65" i="9"/>
  <c r="M65" i="9"/>
  <c r="L66" i="9"/>
  <c r="M66" i="9"/>
  <c r="L64" i="9"/>
  <c r="M64" i="9"/>
  <c r="L63" i="9"/>
  <c r="M63" i="9"/>
  <c r="M69" i="9" s="1"/>
  <c r="N69" i="9" s="1"/>
  <c r="L67" i="9"/>
  <c r="M67" i="9"/>
  <c r="D127" i="9"/>
  <c r="D13" i="52"/>
  <c r="D12" i="52"/>
  <c r="H76" i="43"/>
  <c r="H72" i="43"/>
  <c r="H63" i="43"/>
  <c r="H61" i="43"/>
  <c r="H53" i="43"/>
  <c r="H79" i="43"/>
  <c r="D17" i="53"/>
  <c r="B36" i="72" s="1"/>
  <c r="D124" i="9"/>
  <c r="D10" i="52" s="1"/>
  <c r="H74" i="43"/>
  <c r="H57" i="43"/>
  <c r="H66" i="43"/>
  <c r="H68" i="43"/>
  <c r="H80" i="43"/>
  <c r="H77" i="43"/>
  <c r="E44" i="43"/>
  <c r="C44" i="43"/>
  <c r="AC21" i="39"/>
  <c r="AB23" i="39"/>
  <c r="AB15" i="39"/>
  <c r="AC15" i="39"/>
  <c r="S25" i="39"/>
  <c r="W39" i="39"/>
  <c r="W42" i="39"/>
  <c r="W14" i="39"/>
  <c r="S29" i="39"/>
  <c r="E11" i="43"/>
  <c r="E9" i="43"/>
  <c r="E10" i="43"/>
  <c r="E8" i="43"/>
  <c r="G16" i="1"/>
  <c r="F10" i="39" s="1"/>
  <c r="D23" i="67"/>
  <c r="G25" i="12"/>
  <c r="G41" i="11"/>
  <c r="G27" i="12"/>
  <c r="G41" i="68"/>
  <c r="K59" i="34"/>
  <c r="L59" i="34"/>
  <c r="M59" i="34" s="1"/>
  <c r="J46" i="36"/>
  <c r="K46" i="36" s="1"/>
  <c r="E52" i="37"/>
  <c r="F52" i="37"/>
  <c r="G52" i="37" s="1"/>
  <c r="E48" i="35"/>
  <c r="D63" i="40"/>
  <c r="D65" i="40" s="1"/>
  <c r="C65" i="40"/>
  <c r="D58" i="33"/>
  <c r="E58" i="33" s="1"/>
  <c r="K4" i="4"/>
  <c r="B46" i="48" s="1"/>
  <c r="B4" i="72" s="1"/>
  <c r="B4" i="62"/>
  <c r="B71" i="72"/>
  <c r="D9" i="53"/>
  <c r="B25" i="72"/>
  <c r="B24" i="72"/>
  <c r="K120" i="9"/>
  <c r="Y16" i="71"/>
  <c r="Z16" i="71" s="1"/>
  <c r="Y15" i="71"/>
  <c r="Z15" i="71" s="1"/>
  <c r="AA16" i="71"/>
  <c r="AB3" i="71"/>
  <c r="X16" i="71"/>
  <c r="AB16" i="71"/>
  <c r="Y3" i="71"/>
  <c r="Z3" i="71"/>
  <c r="F16" i="71"/>
  <c r="F15" i="71"/>
  <c r="F14" i="71" s="1"/>
  <c r="F13" i="71" s="1"/>
  <c r="F12" i="71" s="1"/>
  <c r="F11" i="71" s="1"/>
  <c r="F10" i="71" s="1"/>
  <c r="F9" i="71" s="1"/>
  <c r="F8" i="71" s="1"/>
  <c r="F7" i="71" s="1"/>
  <c r="F6" i="71" s="1"/>
  <c r="F5" i="71" s="1"/>
  <c r="AF3" i="71"/>
  <c r="P26" i="43"/>
  <c r="K1" i="73"/>
  <c r="E61" i="43"/>
  <c r="B59" i="43" s="1"/>
  <c r="B116" i="43"/>
  <c r="I121" i="43" s="1"/>
  <c r="J121" i="43" s="1"/>
  <c r="K121" i="43" s="1"/>
  <c r="L121" i="43" s="1"/>
  <c r="M121" i="43" s="1"/>
  <c r="Z7" i="43"/>
  <c r="E67" i="39"/>
  <c r="E69" i="39" s="1"/>
  <c r="E72" i="43"/>
  <c r="B70" i="43"/>
  <c r="J10" i="40"/>
  <c r="AC10" i="40" s="1"/>
  <c r="H10" i="39"/>
  <c r="U10" i="39" s="1"/>
  <c r="F10" i="40"/>
  <c r="S10" i="40" s="1"/>
  <c r="J10" i="39"/>
  <c r="W10" i="39" s="1"/>
  <c r="H10" i="40"/>
  <c r="AB10" i="40" s="1"/>
  <c r="C7" i="43"/>
  <c r="D125" i="9"/>
  <c r="D11" i="52" s="1"/>
  <c r="F67" i="39"/>
  <c r="G67" i="39" s="1"/>
  <c r="F59" i="67"/>
  <c r="E63" i="40"/>
  <c r="F63" i="40" s="1"/>
  <c r="F48" i="35"/>
  <c r="M17" i="67"/>
  <c r="M17" i="15"/>
  <c r="F59" i="15"/>
  <c r="P28" i="43"/>
  <c r="B66" i="40"/>
  <c r="P25" i="43"/>
  <c r="P29" i="43"/>
  <c r="P27" i="43"/>
  <c r="B70" i="39"/>
  <c r="AE11" i="1"/>
  <c r="AE9" i="1"/>
  <c r="AE8" i="1"/>
  <c r="AE12" i="1"/>
  <c r="AE10" i="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C118" i="43" s="1"/>
  <c r="B122" i="43"/>
  <c r="C122" i="43" s="1"/>
  <c r="AG11" i="1"/>
  <c r="AG9" i="1"/>
  <c r="AG10" i="1"/>
  <c r="AG8" i="1"/>
  <c r="AG12" i="1"/>
  <c r="AG7" i="1"/>
  <c r="AG6" i="1"/>
  <c r="S8" i="1"/>
  <c r="T8" i="1" s="1"/>
  <c r="E8" i="70"/>
  <c r="O14" i="1"/>
  <c r="O16" i="1" s="1"/>
  <c r="D3" i="21"/>
  <c r="B1" i="74"/>
  <c r="AA10" i="40"/>
  <c r="W10" i="40"/>
  <c r="F69" i="39"/>
  <c r="E65" i="40"/>
  <c r="G48" i="35"/>
  <c r="S11" i="1"/>
  <c r="AR11" i="1" s="1"/>
  <c r="E11" i="70"/>
  <c r="S9" i="1"/>
  <c r="AQ8" i="1"/>
  <c r="AR8" i="1"/>
  <c r="S7" i="1"/>
  <c r="AR7" i="1" s="1"/>
  <c r="E7" i="70"/>
  <c r="S10" i="1"/>
  <c r="T10" i="1" s="1"/>
  <c r="E10" i="70"/>
  <c r="S12" i="1"/>
  <c r="B2" i="74"/>
  <c r="D7" i="74" s="1"/>
  <c r="P14" i="1"/>
  <c r="P16" i="1" s="1"/>
  <c r="C11" i="12" s="1"/>
  <c r="H48" i="35"/>
  <c r="E12" i="70"/>
  <c r="F34" i="11"/>
  <c r="F11" i="12"/>
  <c r="C23" i="12" s="1"/>
  <c r="E9" i="70"/>
  <c r="AR9" i="1"/>
  <c r="AQ9" i="1"/>
  <c r="T9" i="1"/>
  <c r="AQ11" i="1"/>
  <c r="T11" i="1"/>
  <c r="AR12" i="1"/>
  <c r="T12" i="1"/>
  <c r="AQ12" i="1"/>
  <c r="AQ7" i="1"/>
  <c r="R11" i="1"/>
  <c r="R9" i="1"/>
  <c r="R10" i="1"/>
  <c r="D8" i="74"/>
  <c r="R8" i="1"/>
  <c r="R12" i="1"/>
  <c r="I48" i="35"/>
  <c r="J48" i="35" s="1"/>
  <c r="C36" i="11"/>
  <c r="B2" i="33"/>
  <c r="B2" i="36"/>
  <c r="B3" i="36" s="1"/>
  <c r="B2" i="35"/>
  <c r="B3" i="35" s="1"/>
  <c r="B2" i="37"/>
  <c r="B2" i="34"/>
  <c r="B6" i="74"/>
  <c r="D6" i="74" s="1"/>
  <c r="S6" i="79"/>
  <c r="T6" i="79"/>
  <c r="U6" i="79"/>
  <c r="V6" i="79"/>
  <c r="W6" i="79"/>
  <c r="S7" i="79"/>
  <c r="T7" i="79"/>
  <c r="W7" i="79" s="1"/>
  <c r="U7" i="79"/>
  <c r="V7" i="79"/>
  <c r="S8" i="79"/>
  <c r="T8" i="79"/>
  <c r="U8" i="79"/>
  <c r="V8" i="79"/>
  <c r="W8" i="79"/>
  <c r="R8" i="79"/>
  <c r="R7" i="79"/>
  <c r="R6" i="79"/>
  <c r="U28" i="79"/>
  <c r="S28" i="79"/>
  <c r="U27" i="79"/>
  <c r="S27" i="79"/>
  <c r="U26" i="79"/>
  <c r="S26" i="79"/>
  <c r="T28" i="79"/>
  <c r="W28" i="79"/>
  <c r="T27" i="79"/>
  <c r="W27" i="79"/>
  <c r="T26" i="79"/>
  <c r="W26" i="79"/>
  <c r="E7" i="76"/>
  <c r="M23" i="15"/>
  <c r="E10" i="76"/>
  <c r="M28" i="67"/>
  <c r="B11" i="76"/>
  <c r="F43" i="15"/>
  <c r="F36" i="15"/>
  <c r="F3" i="73"/>
  <c r="F42" i="15"/>
  <c r="M6" i="15"/>
  <c r="D2" i="34"/>
  <c r="E11" i="76"/>
  <c r="L47" i="67"/>
  <c r="M29" i="15"/>
  <c r="F6" i="67"/>
  <c r="L47" i="15"/>
  <c r="M24" i="15"/>
  <c r="F6" i="15"/>
  <c r="M26" i="67"/>
  <c r="M6" i="67"/>
  <c r="B8" i="76"/>
  <c r="F37" i="15"/>
  <c r="D34" i="9"/>
  <c r="M22" i="15"/>
  <c r="F7" i="67"/>
  <c r="F9" i="67"/>
  <c r="F26" i="15"/>
  <c r="F20" i="31"/>
  <c r="F38" i="15"/>
  <c r="AO7" i="1"/>
  <c r="AO13" i="1"/>
  <c r="M8" i="15"/>
  <c r="M22" i="67"/>
  <c r="F7" i="73"/>
  <c r="B7" i="76"/>
  <c r="M27" i="67"/>
  <c r="M27" i="15"/>
  <c r="L48" i="15"/>
  <c r="F8" i="67"/>
  <c r="D5" i="73"/>
  <c r="F16" i="15"/>
  <c r="F9" i="15"/>
  <c r="B12" i="76"/>
  <c r="F35" i="15"/>
  <c r="F26" i="67"/>
  <c r="M29" i="67"/>
  <c r="C76" i="15"/>
  <c r="J15" i="67"/>
  <c r="D2" i="33"/>
  <c r="F36" i="67"/>
  <c r="M8" i="67"/>
  <c r="F41" i="15"/>
  <c r="E2" i="69"/>
  <c r="M24" i="67"/>
  <c r="F13" i="67"/>
  <c r="E9" i="76"/>
  <c r="E8" i="76"/>
  <c r="M9" i="67"/>
  <c r="B13" i="76"/>
  <c r="D4" i="73"/>
  <c r="AO10" i="1"/>
  <c r="F37" i="67"/>
  <c r="F13" i="15"/>
  <c r="C76" i="67"/>
  <c r="F7" i="15"/>
  <c r="M26" i="15"/>
  <c r="F6" i="73"/>
  <c r="D2" i="36"/>
  <c r="AO11" i="1"/>
  <c r="M9" i="15"/>
  <c r="D2" i="37"/>
  <c r="F40" i="15"/>
  <c r="M21" i="15"/>
  <c r="AO9" i="1"/>
  <c r="F42" i="67"/>
  <c r="E13" i="76"/>
  <c r="E2" i="68"/>
  <c r="F43" i="67"/>
  <c r="D2" i="21"/>
  <c r="L48" i="67"/>
  <c r="F8" i="15"/>
  <c r="M23" i="67"/>
  <c r="D6" i="73"/>
  <c r="D2" i="35"/>
  <c r="AO8" i="1"/>
  <c r="F5" i="73"/>
  <c r="B10" i="76"/>
  <c r="M28" i="15"/>
  <c r="B9" i="76"/>
  <c r="F40" i="67"/>
  <c r="F4" i="73"/>
  <c r="AO12" i="1"/>
  <c r="J15" i="15"/>
  <c r="F16" i="67"/>
  <c r="E12" i="76"/>
  <c r="F38" i="67"/>
  <c r="D3" i="73"/>
  <c r="D35" i="9"/>
  <c r="D7" i="73"/>
  <c r="W43" i="21" l="1"/>
  <c r="F65" i="40"/>
  <c r="G63" i="40"/>
  <c r="H67" i="39"/>
  <c r="G69" i="39"/>
  <c r="F58" i="33"/>
  <c r="G58" i="33" s="1"/>
  <c r="H58" i="33" s="1"/>
  <c r="I58" i="33" s="1"/>
  <c r="J58" i="33" s="1"/>
  <c r="K58" i="33" s="1"/>
  <c r="L58" i="33" s="1"/>
  <c r="M58" i="33" s="1"/>
  <c r="N58" i="33" s="1"/>
  <c r="O58" i="33" s="1"/>
  <c r="J7" i="33"/>
  <c r="H52" i="37"/>
  <c r="I52" i="37" s="1"/>
  <c r="J52" i="37" s="1"/>
  <c r="K52" i="37" s="1"/>
  <c r="L52" i="37" s="1"/>
  <c r="M52" i="37" s="1"/>
  <c r="N52" i="37" s="1"/>
  <c r="O52" i="37" s="1"/>
  <c r="J7" i="37"/>
  <c r="F7" i="37"/>
  <c r="L46" i="36"/>
  <c r="M46" i="36" s="1"/>
  <c r="N46" i="36" s="1"/>
  <c r="O46" i="36" s="1"/>
  <c r="H7" i="36"/>
  <c r="F7" i="36"/>
  <c r="S10" i="39"/>
  <c r="AA10" i="39"/>
  <c r="K48" i="35"/>
  <c r="L48" i="35" s="1"/>
  <c r="M48" i="35" s="1"/>
  <c r="N48" i="35" s="1"/>
  <c r="O48" i="35" s="1"/>
  <c r="H7" i="35"/>
  <c r="N59" i="34"/>
  <c r="O59" i="34" s="1"/>
  <c r="H7" i="34"/>
  <c r="AR10" i="1"/>
  <c r="AQ10" i="1"/>
  <c r="J7" i="35"/>
  <c r="T7" i="1"/>
  <c r="AC10" i="39"/>
  <c r="U10" i="40"/>
  <c r="AB10" i="39"/>
  <c r="D118" i="43"/>
  <c r="E118" i="43" s="1"/>
  <c r="F118" i="43" s="1"/>
  <c r="G118" i="43" s="1"/>
  <c r="H118" i="43" s="1"/>
  <c r="D121" i="43"/>
  <c r="E121" i="43" s="1"/>
  <c r="F121" i="43" s="1"/>
  <c r="I119" i="43"/>
  <c r="J119" i="43" s="1"/>
  <c r="K119" i="43" s="1"/>
  <c r="L119" i="43" s="1"/>
  <c r="M119" i="43" s="1"/>
  <c r="B120" i="43"/>
  <c r="C120" i="43" s="1"/>
  <c r="I120" i="43"/>
  <c r="J120" i="43" s="1"/>
  <c r="K120" i="43" s="1"/>
  <c r="L120" i="43" s="1"/>
  <c r="M120" i="43" s="1"/>
  <c r="G121" i="43"/>
  <c r="H121" i="43" s="1"/>
  <c r="B119" i="43"/>
  <c r="C119" i="43" s="1"/>
  <c r="F7" i="33"/>
  <c r="H7" i="33"/>
  <c r="H7" i="37"/>
  <c r="F7" i="34"/>
  <c r="J7" i="34"/>
  <c r="J7" i="36"/>
  <c r="AB11" i="37"/>
  <c r="U11" i="37"/>
  <c r="AB32" i="39"/>
  <c r="U32" i="39"/>
  <c r="U15" i="21"/>
  <c r="AB15" i="21"/>
  <c r="W15" i="21"/>
  <c r="AC15" i="21"/>
  <c r="AA17" i="37"/>
  <c r="S17" i="37"/>
  <c r="AA20" i="36"/>
  <c r="S20" i="36"/>
  <c r="AB44" i="34"/>
  <c r="U44" i="34"/>
  <c r="S39" i="34"/>
  <c r="AA39" i="34"/>
  <c r="U34" i="33"/>
  <c r="AB34" i="33"/>
  <c r="S10" i="33"/>
  <c r="AA10" i="33"/>
  <c r="AC27" i="40"/>
  <c r="W27" i="40"/>
  <c r="U20" i="35"/>
  <c r="AB20" i="35"/>
  <c r="W20" i="36"/>
  <c r="AC20" i="36"/>
  <c r="W34" i="33"/>
  <c r="AC34" i="33"/>
  <c r="H54" i="43"/>
  <c r="H58" i="43"/>
  <c r="H56" i="43"/>
  <c r="AB37" i="39"/>
  <c r="U37" i="39"/>
  <c r="AA43" i="33"/>
  <c r="S43" i="33"/>
  <c r="W36" i="40"/>
  <c r="AC36" i="40"/>
  <c r="S32" i="40"/>
  <c r="AA32" i="40"/>
  <c r="AA31" i="40"/>
  <c r="S31" i="40"/>
  <c r="AB27" i="34"/>
  <c r="U27" i="34"/>
  <c r="AZ557" i="3"/>
  <c r="AZ525" i="3"/>
  <c r="AZ529" i="3"/>
  <c r="AZ533" i="3"/>
  <c r="AZ537" i="3"/>
  <c r="AZ541" i="3"/>
  <c r="AZ545" i="3"/>
  <c r="AZ555" i="3"/>
  <c r="AZ498" i="3"/>
  <c r="AZ532" i="3"/>
  <c r="AZ536" i="3"/>
  <c r="AZ544" i="3"/>
  <c r="AA14" i="37"/>
  <c r="AA27" i="37"/>
  <c r="S27" i="37"/>
  <c r="AA13" i="40"/>
  <c r="S13" i="40"/>
  <c r="AB12" i="40"/>
  <c r="U12" i="40"/>
  <c r="S38" i="37"/>
  <c r="AA38" i="37"/>
  <c r="S25" i="36"/>
  <c r="AA25" i="36"/>
  <c r="AB35" i="35"/>
  <c r="U35" i="35"/>
  <c r="AC35" i="35"/>
  <c r="W35" i="35"/>
  <c r="U13" i="35"/>
  <c r="AB13" i="35"/>
  <c r="S13" i="35"/>
  <c r="AA13" i="35"/>
  <c r="S47" i="34"/>
  <c r="AA47" i="34"/>
  <c r="AB29" i="34"/>
  <c r="U29" i="34"/>
  <c r="AB30" i="33"/>
  <c r="U30" i="33"/>
  <c r="U46" i="34"/>
  <c r="AB46" i="34"/>
  <c r="S14" i="34"/>
  <c r="AA14" i="34"/>
  <c r="U45" i="33"/>
  <c r="AB45" i="33"/>
  <c r="AC33" i="35"/>
  <c r="W33" i="35"/>
  <c r="W28" i="33"/>
  <c r="AC28" i="33"/>
  <c r="U28" i="33"/>
  <c r="AB28" i="33"/>
  <c r="S29" i="35"/>
  <c r="AA29" i="35"/>
  <c r="AC15" i="33"/>
  <c r="W15" i="33"/>
  <c r="AA32" i="33"/>
  <c r="S32" i="33"/>
  <c r="U36" i="34"/>
  <c r="AB36" i="34"/>
  <c r="AA23" i="35"/>
  <c r="S23" i="35"/>
  <c r="U27" i="39"/>
  <c r="AB27" i="39"/>
  <c r="AB42" i="39"/>
  <c r="U42" i="39"/>
  <c r="AA19" i="39"/>
  <c r="S19" i="39"/>
  <c r="AB40" i="39"/>
  <c r="U40" i="39"/>
  <c r="AB39" i="37"/>
  <c r="U39" i="37"/>
  <c r="AB22" i="35"/>
  <c r="U22" i="35"/>
  <c r="AC35" i="39"/>
  <c r="W35" i="39"/>
  <c r="W34" i="21"/>
  <c r="AC34" i="21"/>
  <c r="W40" i="21"/>
  <c r="AC40" i="21"/>
  <c r="S43" i="21"/>
  <c r="AA43" i="21"/>
  <c r="BL586" i="3"/>
  <c r="BA586" i="3"/>
  <c r="AZ586" i="3" s="1"/>
  <c r="S12" i="21"/>
  <c r="AA12" i="21"/>
  <c r="J14" i="21"/>
  <c r="F14" i="21"/>
  <c r="H14" i="21"/>
  <c r="H30" i="21"/>
  <c r="F30" i="21"/>
  <c r="J30" i="21"/>
  <c r="J45" i="21"/>
  <c r="F45" i="21"/>
  <c r="H45" i="21"/>
  <c r="AA19" i="21"/>
  <c r="S19" i="21"/>
  <c r="AB38" i="33"/>
  <c r="U38" i="33"/>
  <c r="F27" i="33"/>
  <c r="H27" i="33"/>
  <c r="J27" i="33"/>
  <c r="J26" i="33"/>
  <c r="F26" i="33"/>
  <c r="AA32" i="35"/>
  <c r="S32" i="35"/>
  <c r="AA34" i="35"/>
  <c r="S34" i="35"/>
  <c r="W14" i="35"/>
  <c r="AC14" i="35"/>
  <c r="H14" i="33"/>
  <c r="F14" i="33"/>
  <c r="J14" i="33"/>
  <c r="J44" i="33"/>
  <c r="F44" i="33"/>
  <c r="J46" i="33"/>
  <c r="F46" i="33"/>
  <c r="H46" i="33"/>
  <c r="H13" i="34"/>
  <c r="J13" i="34"/>
  <c r="F13" i="34"/>
  <c r="AC30" i="37"/>
  <c r="W30" i="37"/>
  <c r="AA40" i="33"/>
  <c r="S40" i="33"/>
  <c r="S38" i="34"/>
  <c r="AA38" i="34"/>
  <c r="C79" i="35"/>
  <c r="F26" i="35" s="1"/>
  <c r="BL581" i="3"/>
  <c r="BA581" i="3"/>
  <c r="AZ581" i="3" s="1"/>
  <c r="BA580" i="3"/>
  <c r="AZ580" i="3" s="1"/>
  <c r="BA579" i="3"/>
  <c r="AZ579" i="3" s="1"/>
  <c r="BL578" i="3"/>
  <c r="BA578" i="3"/>
  <c r="AZ578" i="3" s="1"/>
  <c r="BL577" i="3"/>
  <c r="AZ577" i="3" s="1"/>
  <c r="BL576" i="3"/>
  <c r="BA576" i="3"/>
  <c r="AZ576" i="3" s="1"/>
  <c r="BA575" i="3"/>
  <c r="AZ575" i="3" s="1"/>
  <c r="BA574" i="3"/>
  <c r="AZ574" i="3" s="1"/>
  <c r="BL565" i="3"/>
  <c r="AZ565" i="3" s="1"/>
  <c r="BA564" i="3"/>
  <c r="AZ564" i="3" s="1"/>
  <c r="BA563" i="3"/>
  <c r="AZ563" i="3" s="1"/>
  <c r="BL562" i="3"/>
  <c r="BA562" i="3"/>
  <c r="AZ562" i="3" s="1"/>
  <c r="BL560" i="3"/>
  <c r="BA560" i="3"/>
  <c r="AZ560" i="3" s="1"/>
  <c r="BL559" i="3"/>
  <c r="BA559" i="3"/>
  <c r="AZ559" i="3" s="1"/>
  <c r="BL558" i="3"/>
  <c r="AZ558" i="3" s="1"/>
  <c r="BL550" i="3"/>
  <c r="AZ550" i="3" s="1"/>
  <c r="BL549" i="3"/>
  <c r="AZ549" i="3" s="1"/>
  <c r="BM5" i="3"/>
  <c r="F29" i="6" s="1"/>
  <c r="BJ5" i="3"/>
  <c r="BF5" i="3"/>
  <c r="BA524" i="3"/>
  <c r="AZ524" i="3" s="1"/>
  <c r="BB5" i="3"/>
  <c r="H5" i="3"/>
  <c r="G524" i="3"/>
  <c r="BS5" i="3"/>
  <c r="F28" i="6" s="1"/>
  <c r="BL523" i="3"/>
  <c r="BA523" i="3"/>
  <c r="AZ523" i="3" s="1"/>
  <c r="BR5" i="3"/>
  <c r="G28" i="6" s="1"/>
  <c r="BL522" i="3"/>
  <c r="BL5" i="3" s="1"/>
  <c r="BN5" i="3"/>
  <c r="G29" i="6" s="1"/>
  <c r="BK5" i="3"/>
  <c r="BG5" i="3"/>
  <c r="BA522" i="3"/>
  <c r="BC5" i="3"/>
  <c r="D19" i="53"/>
  <c r="AB17" i="33"/>
  <c r="W19" i="37"/>
  <c r="AA10" i="21"/>
  <c r="S10" i="21"/>
  <c r="AB33" i="21"/>
  <c r="U33" i="21"/>
  <c r="AA36" i="33"/>
  <c r="S36" i="33"/>
  <c r="AB10" i="37"/>
  <c r="U10" i="37"/>
  <c r="W39" i="34"/>
  <c r="AC39" i="34"/>
  <c r="S35" i="33"/>
  <c r="AA35" i="33"/>
  <c r="AA30" i="40"/>
  <c r="S30" i="40"/>
  <c r="U20" i="36"/>
  <c r="AB20" i="36"/>
  <c r="H75" i="43"/>
  <c r="H78" i="43"/>
  <c r="H85" i="43"/>
  <c r="H83" i="43"/>
  <c r="H64" i="43"/>
  <c r="H67" i="43"/>
  <c r="H69" i="43"/>
  <c r="S11" i="39"/>
  <c r="W11" i="39"/>
  <c r="AC11" i="39"/>
  <c r="AA15" i="37"/>
  <c r="S15" i="37"/>
  <c r="U31" i="40"/>
  <c r="AB31" i="40"/>
  <c r="AA37" i="37"/>
  <c r="S37" i="37"/>
  <c r="AC32" i="37"/>
  <c r="W32" i="37"/>
  <c r="AB24" i="35"/>
  <c r="U24" i="35"/>
  <c r="S10" i="35"/>
  <c r="AA10" i="35"/>
  <c r="U41" i="34"/>
  <c r="AB41" i="34"/>
  <c r="S26" i="36"/>
  <c r="AA26" i="36"/>
  <c r="AA14" i="36"/>
  <c r="S14" i="36"/>
  <c r="AA42" i="33"/>
  <c r="S42" i="33"/>
  <c r="AZ561" i="3"/>
  <c r="S15" i="21"/>
  <c r="AA15" i="21"/>
  <c r="AC27" i="37"/>
  <c r="W27" i="37"/>
  <c r="AA14" i="40"/>
  <c r="S14" i="40"/>
  <c r="AC37" i="40"/>
  <c r="W37" i="40"/>
  <c r="U33" i="40"/>
  <c r="AB33" i="40"/>
  <c r="AC38" i="37"/>
  <c r="W38" i="37"/>
  <c r="U28" i="37"/>
  <c r="AB28" i="37"/>
  <c r="S13" i="37"/>
  <c r="AA13" i="37"/>
  <c r="AB25" i="35"/>
  <c r="U25" i="35"/>
  <c r="U47" i="34"/>
  <c r="AB47" i="34"/>
  <c r="W45" i="34"/>
  <c r="AC45" i="34"/>
  <c r="AC31" i="34"/>
  <c r="W31" i="34"/>
  <c r="AB11" i="35"/>
  <c r="U11" i="35"/>
  <c r="S30" i="34"/>
  <c r="AA30" i="34"/>
  <c r="W14" i="34"/>
  <c r="AC14" i="34"/>
  <c r="W45" i="33"/>
  <c r="AC45" i="33"/>
  <c r="U29" i="33"/>
  <c r="AB29" i="33"/>
  <c r="S13" i="33"/>
  <c r="AA13" i="33"/>
  <c r="S30" i="35"/>
  <c r="AA30" i="35"/>
  <c r="S33" i="35"/>
  <c r="AA33" i="35"/>
  <c r="W11" i="33"/>
  <c r="AC11" i="33"/>
  <c r="AA11" i="33"/>
  <c r="S11" i="33"/>
  <c r="AC19" i="33"/>
  <c r="W19" i="33"/>
  <c r="W28" i="34"/>
  <c r="AC28" i="34"/>
  <c r="AA37" i="34"/>
  <c r="S37" i="34"/>
  <c r="AC33" i="37"/>
  <c r="W33" i="37"/>
  <c r="AB14" i="35"/>
  <c r="U14" i="35"/>
  <c r="AA14" i="35"/>
  <c r="S14" i="35"/>
  <c r="U10" i="35"/>
  <c r="AB10" i="35"/>
  <c r="AC23" i="40"/>
  <c r="W23" i="40"/>
  <c r="AB19" i="39"/>
  <c r="U19" i="39"/>
  <c r="U39" i="39"/>
  <c r="AB39" i="39"/>
  <c r="S41" i="39"/>
  <c r="AA41" i="39"/>
  <c r="AA35" i="39"/>
  <c r="S35" i="39"/>
  <c r="AC44" i="39"/>
  <c r="W44" i="39"/>
  <c r="U36" i="21"/>
  <c r="AB36" i="21"/>
  <c r="AB35" i="21"/>
  <c r="U35" i="21"/>
  <c r="S38" i="21"/>
  <c r="AA38" i="21"/>
  <c r="U38" i="21"/>
  <c r="AB38" i="21"/>
  <c r="AB34" i="21"/>
  <c r="U34" i="21"/>
  <c r="BA585" i="3"/>
  <c r="AZ585" i="3" s="1"/>
  <c r="H28" i="21"/>
  <c r="F28" i="21"/>
  <c r="J28" i="21"/>
  <c r="H31" i="21"/>
  <c r="J31" i="21"/>
  <c r="F31" i="21"/>
  <c r="AC37" i="21"/>
  <c r="W37" i="21"/>
  <c r="AB8" i="33"/>
  <c r="U8" i="33"/>
  <c r="AA9" i="33"/>
  <c r="S9" i="33"/>
  <c r="AC9" i="33"/>
  <c r="W9" i="33"/>
  <c r="H12" i="33"/>
  <c r="AB33" i="33"/>
  <c r="U33" i="33"/>
  <c r="AC39" i="33"/>
  <c r="W39" i="33"/>
  <c r="AC9" i="34"/>
  <c r="W9" i="34"/>
  <c r="AA34" i="34"/>
  <c r="S34" i="34"/>
  <c r="AC34" i="34"/>
  <c r="W34" i="34"/>
  <c r="AB39" i="34"/>
  <c r="U39" i="34"/>
  <c r="J27" i="34"/>
  <c r="F27" i="34"/>
  <c r="AC36" i="35"/>
  <c r="W36" i="35"/>
  <c r="J9" i="35"/>
  <c r="F9" i="35"/>
  <c r="H9" i="35"/>
  <c r="J11" i="36"/>
  <c r="H11" i="36"/>
  <c r="F11" i="36"/>
  <c r="AC31" i="36"/>
  <c r="W31" i="36"/>
  <c r="AB8" i="37"/>
  <c r="U8" i="37"/>
  <c r="H25" i="37"/>
  <c r="F25" i="37"/>
  <c r="U8" i="39"/>
  <c r="AB8" i="39"/>
  <c r="AA9" i="39"/>
  <c r="S9" i="39"/>
  <c r="AA40" i="39"/>
  <c r="S40" i="39"/>
  <c r="J13" i="39"/>
  <c r="H13" i="39"/>
  <c r="J37" i="39"/>
  <c r="F37" i="39"/>
  <c r="AB38" i="39"/>
  <c r="U38" i="39"/>
  <c r="AC8" i="40"/>
  <c r="W8" i="40"/>
  <c r="AB34" i="40"/>
  <c r="U34" i="40"/>
  <c r="AB40" i="40"/>
  <c r="U40" i="40"/>
  <c r="AC32" i="40"/>
  <c r="W32" i="40"/>
  <c r="U41" i="21"/>
  <c r="AB41" i="21"/>
  <c r="AZ406" i="3"/>
  <c r="AZ414" i="3"/>
  <c r="AZ421" i="3"/>
  <c r="AZ447" i="3"/>
  <c r="AZ451" i="3"/>
  <c r="AZ455" i="3"/>
  <c r="AZ460" i="3"/>
  <c r="AZ467" i="3"/>
  <c r="AZ471" i="3"/>
  <c r="AZ476" i="3"/>
  <c r="AZ480" i="3"/>
  <c r="AZ484" i="3"/>
  <c r="AZ488" i="3"/>
  <c r="AZ216" i="3"/>
  <c r="AZ226" i="3"/>
  <c r="AZ230" i="3"/>
  <c r="AZ242" i="3"/>
  <c r="C30" i="69"/>
  <c r="C48" i="69"/>
  <c r="F23" i="21"/>
  <c r="J23" i="21"/>
  <c r="H23" i="21"/>
  <c r="Q16" i="1"/>
  <c r="F17" i="21"/>
  <c r="J17" i="21"/>
  <c r="H17" i="21"/>
  <c r="J12" i="36"/>
  <c r="H12" i="36"/>
  <c r="J24" i="36"/>
  <c r="H24" i="36"/>
  <c r="BA551" i="3"/>
  <c r="AZ551" i="3" s="1"/>
  <c r="BA548" i="3"/>
  <c r="AZ548" i="3" s="1"/>
  <c r="AZ399" i="3"/>
  <c r="AZ404" i="3"/>
  <c r="AZ409" i="3"/>
  <c r="AZ419" i="3"/>
  <c r="AZ423" i="3"/>
  <c r="AZ427" i="3"/>
  <c r="AZ430" i="3"/>
  <c r="AZ438" i="3"/>
  <c r="AZ445" i="3"/>
  <c r="AZ449" i="3"/>
  <c r="AZ453" i="3"/>
  <c r="AZ458" i="3"/>
  <c r="AZ462" i="3"/>
  <c r="AZ469" i="3"/>
  <c r="AZ474" i="3"/>
  <c r="AZ478" i="3"/>
  <c r="AZ208" i="3"/>
  <c r="AZ211" i="3"/>
  <c r="AZ219" i="3"/>
  <c r="AZ244" i="3"/>
  <c r="AZ260" i="3"/>
  <c r="AZ264" i="3"/>
  <c r="AZ282" i="3"/>
  <c r="AZ285" i="3"/>
  <c r="AZ290" i="3"/>
  <c r="AZ293" i="3"/>
  <c r="AZ153" i="3"/>
  <c r="AZ169" i="3"/>
  <c r="AZ185" i="3"/>
  <c r="AZ201" i="3"/>
  <c r="AZ207" i="3"/>
  <c r="AZ25" i="3"/>
  <c r="AZ30" i="3"/>
  <c r="AZ36" i="3"/>
  <c r="AZ40" i="3"/>
  <c r="AZ46" i="3"/>
  <c r="AZ49" i="3"/>
  <c r="AZ62" i="3"/>
  <c r="AZ65" i="3"/>
  <c r="AZ76" i="3"/>
  <c r="D64" i="71"/>
  <c r="T64" i="71"/>
  <c r="AZ81" i="3"/>
  <c r="AZ99" i="3"/>
  <c r="AZ103" i="3"/>
  <c r="AZ106" i="3"/>
  <c r="C26" i="71"/>
  <c r="D26" i="71" s="1"/>
  <c r="D27" i="71"/>
  <c r="C36" i="71"/>
  <c r="D35" i="71"/>
  <c r="V28" i="71"/>
  <c r="S16" i="71"/>
  <c r="B15" i="71"/>
  <c r="B14" i="71" s="1"/>
  <c r="B13" i="71" s="1"/>
  <c r="B12" i="71" s="1"/>
  <c r="E15" i="71"/>
  <c r="E14" i="71" s="1"/>
  <c r="E13" i="71" s="1"/>
  <c r="E12" i="71" s="1"/>
  <c r="V16" i="71"/>
  <c r="R25" i="77"/>
  <c r="R5" i="77"/>
  <c r="U5" i="77" s="1"/>
  <c r="S18" i="35"/>
  <c r="C25" i="40"/>
  <c r="S68" i="71"/>
  <c r="B67" i="71"/>
  <c r="N68" i="71"/>
  <c r="C16" i="71"/>
  <c r="D17" i="71"/>
  <c r="N56" i="9"/>
  <c r="M32" i="43"/>
  <c r="O32" i="43"/>
  <c r="T3" i="79"/>
  <c r="W3" i="79" s="1"/>
  <c r="AA3" i="79"/>
  <c r="AD3" i="79" s="1"/>
  <c r="S31" i="79"/>
  <c r="AD32" i="79"/>
  <c r="S33" i="79"/>
  <c r="AD34" i="79"/>
  <c r="C24" i="43"/>
  <c r="R35" i="77"/>
  <c r="U34" i="77" s="1"/>
  <c r="C7" i="78"/>
  <c r="D7" i="78" s="1"/>
  <c r="C5" i="78"/>
  <c r="D5" i="78" s="1"/>
  <c r="T13" i="79"/>
  <c r="W13" i="79" s="1"/>
  <c r="T11" i="79"/>
  <c r="W11" i="79" s="1"/>
  <c r="T9" i="79"/>
  <c r="W9" i="79" s="1"/>
  <c r="U5" i="79"/>
  <c r="S5" i="79"/>
  <c r="M21" i="43"/>
  <c r="T12" i="79"/>
  <c r="W12" i="79" s="1"/>
  <c r="H37" i="21"/>
  <c r="F37" i="21"/>
  <c r="H21" i="43"/>
  <c r="J21" i="43"/>
  <c r="L21" i="43"/>
  <c r="N21" i="43"/>
  <c r="E23" i="77"/>
  <c r="D11" i="77"/>
  <c r="C6" i="78"/>
  <c r="D6" i="78" s="1"/>
  <c r="V13" i="79"/>
  <c r="V11" i="79"/>
  <c r="V9" i="79"/>
  <c r="V5" i="79"/>
  <c r="U14" i="79"/>
  <c r="U12" i="79"/>
  <c r="U10" i="79"/>
  <c r="P6" i="79"/>
  <c r="T5" i="79"/>
  <c r="W5" i="79" s="1"/>
  <c r="S14" i="79"/>
  <c r="S12" i="79"/>
  <c r="S10" i="79"/>
  <c r="B6" i="1"/>
  <c r="E6" i="1" s="1"/>
  <c r="K21" i="43"/>
  <c r="T14" i="79"/>
  <c r="W14" i="79" s="1"/>
  <c r="V12" i="79"/>
  <c r="T10" i="79"/>
  <c r="W10" i="79" s="1"/>
  <c r="E26" i="43"/>
  <c r="F26" i="43"/>
  <c r="D58" i="21"/>
  <c r="F7" i="49"/>
  <c r="H7" i="49" s="1"/>
  <c r="F11" i="49"/>
  <c r="H11" i="49" s="1"/>
  <c r="B6" i="49"/>
  <c r="D6" i="49" s="1"/>
  <c r="F13" i="49"/>
  <c r="H13" i="49" s="1"/>
  <c r="F9" i="49"/>
  <c r="H9" i="49" s="1"/>
  <c r="B14" i="49"/>
  <c r="D14" i="49" s="1"/>
  <c r="B9" i="49"/>
  <c r="D9" i="49" s="1"/>
  <c r="F14" i="49"/>
  <c r="H14" i="49" s="1"/>
  <c r="F12" i="49"/>
  <c r="H12" i="49" s="1"/>
  <c r="F10" i="49"/>
  <c r="H10" i="49" s="1"/>
  <c r="F8" i="49"/>
  <c r="H8" i="49" s="1"/>
  <c r="F5" i="49"/>
  <c r="H5" i="49" s="1"/>
  <c r="B10" i="49"/>
  <c r="D10" i="49" s="1"/>
  <c r="B13" i="49"/>
  <c r="D13" i="49" s="1"/>
  <c r="B5" i="49"/>
  <c r="D5" i="49" s="1"/>
  <c r="C15" i="12"/>
  <c r="C12" i="12"/>
  <c r="F6" i="49"/>
  <c r="H6" i="49" s="1"/>
  <c r="F4" i="49"/>
  <c r="H4" i="49" s="1"/>
  <c r="B12" i="49"/>
  <c r="D12" i="49" s="1"/>
  <c r="B8" i="49"/>
  <c r="D8" i="49" s="1"/>
  <c r="B4" i="49"/>
  <c r="D4" i="49" s="1"/>
  <c r="B11" i="49"/>
  <c r="D11" i="49" s="1"/>
  <c r="B7" i="49"/>
  <c r="D7" i="49" s="1"/>
  <c r="C18" i="9"/>
  <c r="D18" i="9" s="1"/>
  <c r="B7" i="70"/>
  <c r="B8" i="70"/>
  <c r="B11" i="70"/>
  <c r="C34" i="15"/>
  <c r="F63" i="15"/>
  <c r="C62" i="15" s="1"/>
  <c r="C6" i="15"/>
  <c r="B10" i="70"/>
  <c r="B12" i="70"/>
  <c r="B9" i="70"/>
  <c r="J20" i="15"/>
  <c r="Q71" i="67"/>
  <c r="F66" i="15"/>
  <c r="F71" i="67"/>
  <c r="I1" i="73"/>
  <c r="B39" i="1" s="1"/>
  <c r="F51" i="67"/>
  <c r="B20" i="31"/>
  <c r="B21" i="31" s="1"/>
  <c r="F69" i="15"/>
  <c r="F68" i="15"/>
  <c r="F64" i="15"/>
  <c r="C27" i="15"/>
  <c r="F51" i="15"/>
  <c r="Q71" i="15"/>
  <c r="J57" i="15"/>
  <c r="J55" i="15" s="1"/>
  <c r="J58" i="15" s="1"/>
  <c r="Q50" i="15" s="1"/>
  <c r="J53" i="15"/>
  <c r="L56" i="15" s="1"/>
  <c r="I54" i="15"/>
  <c r="L59" i="15"/>
  <c r="L58" i="15"/>
  <c r="N59" i="15"/>
  <c r="M59" i="15"/>
  <c r="L58" i="67"/>
  <c r="L59" i="67"/>
  <c r="M59" i="67"/>
  <c r="N59" i="67"/>
  <c r="B13" i="70"/>
  <c r="F68" i="67"/>
  <c r="C27" i="67"/>
  <c r="F65" i="15"/>
  <c r="F71" i="15"/>
  <c r="F50" i="15"/>
  <c r="M7" i="15"/>
  <c r="J6" i="15" s="1"/>
  <c r="J57" i="67"/>
  <c r="J55" i="67" s="1"/>
  <c r="J58" i="67" s="1"/>
  <c r="Q50" i="67" s="1"/>
  <c r="L60" i="67"/>
  <c r="J53" i="67"/>
  <c r="L56" i="67"/>
  <c r="L57" i="67"/>
  <c r="I54" i="67"/>
  <c r="F66" i="67"/>
  <c r="F65" i="67"/>
  <c r="F64" i="67"/>
  <c r="M7" i="67"/>
  <c r="J6" i="67" s="1"/>
  <c r="F50" i="67"/>
  <c r="C6" i="67"/>
  <c r="C9" i="69"/>
  <c r="C16" i="15"/>
  <c r="C14" i="15"/>
  <c r="C16" i="67"/>
  <c r="G1" i="73"/>
  <c r="C17" i="15"/>
  <c r="B40" i="1" l="1"/>
  <c r="F22" i="69" s="1"/>
  <c r="C18" i="15"/>
  <c r="C15" i="15"/>
  <c r="AA26" i="35"/>
  <c r="S26" i="35"/>
  <c r="E58" i="21"/>
  <c r="E38" i="77"/>
  <c r="E39" i="77" s="1"/>
  <c r="E26" i="77"/>
  <c r="E32" i="77" s="1"/>
  <c r="E29" i="77"/>
  <c r="G21" i="43"/>
  <c r="C20" i="43" s="1"/>
  <c r="AA37" i="21"/>
  <c r="S37" i="21"/>
  <c r="V12" i="71"/>
  <c r="E11" i="71"/>
  <c r="E10" i="71" s="1"/>
  <c r="E9" i="71" s="1"/>
  <c r="E8" i="71" s="1"/>
  <c r="E7" i="71" s="1"/>
  <c r="E6" i="71" s="1"/>
  <c r="E5" i="71" s="1"/>
  <c r="U24" i="36"/>
  <c r="AB24" i="36"/>
  <c r="U12" i="36"/>
  <c r="AB12" i="36"/>
  <c r="AB17" i="21"/>
  <c r="U17" i="21"/>
  <c r="AA17" i="21"/>
  <c r="S17" i="21"/>
  <c r="AB23" i="21"/>
  <c r="U23" i="21"/>
  <c r="AA23" i="21"/>
  <c r="S23" i="21"/>
  <c r="S37" i="39"/>
  <c r="AA37" i="39"/>
  <c r="U13" i="39"/>
  <c r="AB13" i="39"/>
  <c r="AA25" i="37"/>
  <c r="S25" i="37"/>
  <c r="S11" i="36"/>
  <c r="AA11" i="36"/>
  <c r="W11" i="36"/>
  <c r="AC11" i="36"/>
  <c r="S9" i="35"/>
  <c r="AA9" i="35"/>
  <c r="S27" i="34"/>
  <c r="AA27" i="34"/>
  <c r="U12" i="33"/>
  <c r="AB12" i="33"/>
  <c r="AC31" i="21"/>
  <c r="W31" i="21"/>
  <c r="AC28" i="21"/>
  <c r="W28" i="21"/>
  <c r="U28" i="21"/>
  <c r="AB28" i="21"/>
  <c r="G30" i="6"/>
  <c r="G31" i="6" s="1"/>
  <c r="E524" i="3"/>
  <c r="G5" i="3"/>
  <c r="B3" i="3" s="1"/>
  <c r="E14" i="6"/>
  <c r="E8" i="6"/>
  <c r="E12" i="6"/>
  <c r="E15" i="6"/>
  <c r="E11" i="6"/>
  <c r="E10" i="6"/>
  <c r="E13" i="6"/>
  <c r="E29" i="6"/>
  <c r="K15" i="1" s="1"/>
  <c r="AA13" i="34"/>
  <c r="S13" i="34"/>
  <c r="AB13" i="34"/>
  <c r="U13" i="34"/>
  <c r="S46" i="33"/>
  <c r="AA46" i="33"/>
  <c r="S44" i="33"/>
  <c r="AA44" i="33"/>
  <c r="W14" i="33"/>
  <c r="AC14" i="33"/>
  <c r="AB14" i="33"/>
  <c r="U14" i="33"/>
  <c r="W26" i="33"/>
  <c r="AC26" i="33"/>
  <c r="AB27" i="33"/>
  <c r="U27" i="33"/>
  <c r="U45" i="21"/>
  <c r="AB45" i="21"/>
  <c r="AC45" i="21"/>
  <c r="W45" i="21"/>
  <c r="S30" i="21"/>
  <c r="AA30" i="21"/>
  <c r="U14" i="21"/>
  <c r="AB14" i="21"/>
  <c r="AC14" i="21"/>
  <c r="W14" i="21"/>
  <c r="W7" i="36"/>
  <c r="AC7" i="36"/>
  <c r="V36" i="36" s="1"/>
  <c r="I36" i="36" s="1"/>
  <c r="S7" i="34"/>
  <c r="AA7" i="34"/>
  <c r="R49" i="34" s="1"/>
  <c r="AB7" i="33"/>
  <c r="T48" i="33" s="1"/>
  <c r="G48" i="33" s="1"/>
  <c r="U7" i="33"/>
  <c r="F7" i="35"/>
  <c r="AA7" i="36"/>
  <c r="R36" i="36" s="1"/>
  <c r="S7" i="36"/>
  <c r="AC7" i="37"/>
  <c r="V42" i="37" s="1"/>
  <c r="I42" i="37" s="1"/>
  <c r="W7" i="37"/>
  <c r="H69" i="39"/>
  <c r="I67" i="39"/>
  <c r="D26" i="43"/>
  <c r="C25" i="43" s="1"/>
  <c r="D7" i="77"/>
  <c r="C26" i="77" s="1"/>
  <c r="C32" i="77" s="1"/>
  <c r="C38" i="77" s="1"/>
  <c r="C39" i="77" s="1"/>
  <c r="C40" i="77" s="1"/>
  <c r="E11" i="77"/>
  <c r="E7" i="77" s="1"/>
  <c r="C27" i="77" s="1"/>
  <c r="C23" i="43"/>
  <c r="AB37" i="21"/>
  <c r="U37" i="21"/>
  <c r="M23" i="43"/>
  <c r="C15" i="71"/>
  <c r="D16" i="71"/>
  <c r="U16" i="71" s="1"/>
  <c r="T16" i="71"/>
  <c r="N67" i="71"/>
  <c r="B66" i="71"/>
  <c r="S12" i="71"/>
  <c r="B11" i="71"/>
  <c r="B10" i="71" s="1"/>
  <c r="B9" i="71" s="1"/>
  <c r="B8" i="71" s="1"/>
  <c r="B7" i="71" s="1"/>
  <c r="B6" i="71" s="1"/>
  <c r="B5" i="71" s="1"/>
  <c r="D36" i="71"/>
  <c r="T36" i="71"/>
  <c r="AC24" i="36"/>
  <c r="W24" i="36"/>
  <c r="AC12" i="36"/>
  <c r="W12" i="36"/>
  <c r="AC17" i="21"/>
  <c r="W17" i="21"/>
  <c r="F27" i="69"/>
  <c r="F27" i="68"/>
  <c r="F28" i="12"/>
  <c r="C29" i="12" s="1"/>
  <c r="D28" i="12" s="1"/>
  <c r="F27" i="11"/>
  <c r="AC23" i="21"/>
  <c r="W23" i="21"/>
  <c r="W37" i="39"/>
  <c r="AC37" i="39"/>
  <c r="AC13" i="39"/>
  <c r="W13" i="39"/>
  <c r="U25" i="37"/>
  <c r="AB25" i="37"/>
  <c r="U11" i="36"/>
  <c r="AB11" i="36"/>
  <c r="U9" i="35"/>
  <c r="AB9" i="35"/>
  <c r="AC9" i="35"/>
  <c r="W9" i="35"/>
  <c r="AC27" i="34"/>
  <c r="W27" i="34"/>
  <c r="AA31" i="21"/>
  <c r="S31" i="21"/>
  <c r="AB31" i="21"/>
  <c r="U31" i="21"/>
  <c r="AA28" i="21"/>
  <c r="S28" i="21"/>
  <c r="B38" i="72"/>
  <c r="D20" i="53"/>
  <c r="B40" i="72" s="1"/>
  <c r="AZ522" i="3"/>
  <c r="AZ5" i="3" s="1"/>
  <c r="BA5" i="3"/>
  <c r="E27" i="6" s="1"/>
  <c r="E28" i="6"/>
  <c r="F30" i="6"/>
  <c r="H26" i="35"/>
  <c r="J26" i="35"/>
  <c r="W13" i="34"/>
  <c r="AC13" i="34"/>
  <c r="U46" i="33"/>
  <c r="AB46" i="33"/>
  <c r="W46" i="33"/>
  <c r="AC46" i="33"/>
  <c r="AC44" i="33"/>
  <c r="W44" i="33"/>
  <c r="S14" i="33"/>
  <c r="AA14" i="33"/>
  <c r="AA26" i="33"/>
  <c r="S26" i="33"/>
  <c r="W27" i="33"/>
  <c r="AC27" i="33"/>
  <c r="AA27" i="33"/>
  <c r="S27" i="33"/>
  <c r="AA45" i="21"/>
  <c r="S45" i="21"/>
  <c r="W30" i="21"/>
  <c r="AC30" i="21"/>
  <c r="AB30" i="21"/>
  <c r="U30" i="21"/>
  <c r="S14" i="21"/>
  <c r="AA14" i="21"/>
  <c r="W7" i="34"/>
  <c r="AC7" i="34"/>
  <c r="V49" i="34" s="1"/>
  <c r="I49" i="34" s="1"/>
  <c r="AB7" i="37"/>
  <c r="T42" i="37" s="1"/>
  <c r="G42" i="37" s="1"/>
  <c r="U7" i="37"/>
  <c r="AA7" i="33"/>
  <c r="R48" i="33" s="1"/>
  <c r="S7" i="33"/>
  <c r="W7" i="35"/>
  <c r="AC7" i="35"/>
  <c r="V38" i="35" s="1"/>
  <c r="I38" i="35" s="1"/>
  <c r="AB7" i="34"/>
  <c r="T49" i="34" s="1"/>
  <c r="G49" i="34" s="1"/>
  <c r="U7" i="34"/>
  <c r="U7" i="35"/>
  <c r="AB7" i="35"/>
  <c r="T38" i="35" s="1"/>
  <c r="G38" i="35" s="1"/>
  <c r="AB7" i="36"/>
  <c r="T36" i="36" s="1"/>
  <c r="G36" i="36" s="1"/>
  <c r="U7" i="36"/>
  <c r="AA7" i="37"/>
  <c r="R42" i="37" s="1"/>
  <c r="S7" i="37"/>
  <c r="W7" i="33"/>
  <c r="AC7" i="33"/>
  <c r="V48" i="33" s="1"/>
  <c r="I48" i="33" s="1"/>
  <c r="H63" i="40"/>
  <c r="G65" i="40"/>
  <c r="D116" i="43"/>
  <c r="J18" i="67"/>
  <c r="J19" i="67"/>
  <c r="J19" i="15"/>
  <c r="J18" i="15"/>
  <c r="Q57" i="67"/>
  <c r="Q66" i="67"/>
  <c r="Q61" i="67"/>
  <c r="Q74" i="67"/>
  <c r="Q60" i="15"/>
  <c r="Q73" i="15"/>
  <c r="C49" i="15"/>
  <c r="C49" i="67"/>
  <c r="C32" i="15"/>
  <c r="C33" i="15"/>
  <c r="C33" i="67"/>
  <c r="C32" i="67"/>
  <c r="F1" i="67"/>
  <c r="Q52" i="67"/>
  <c r="Q73" i="67"/>
  <c r="Q60" i="67"/>
  <c r="Q74" i="15"/>
  <c r="Q61" i="15"/>
  <c r="F1" i="15"/>
  <c r="Q52" i="15"/>
  <c r="F11" i="67"/>
  <c r="C53" i="67" s="1"/>
  <c r="M11" i="67"/>
  <c r="J10" i="67" s="1"/>
  <c r="J5" i="67" s="1"/>
  <c r="M11" i="15"/>
  <c r="J10" i="15" s="1"/>
  <c r="J5" i="15" s="1"/>
  <c r="F11" i="15"/>
  <c r="AE6" i="1"/>
  <c r="L36" i="43" l="1"/>
  <c r="P36" i="43" s="1"/>
  <c r="F22" i="11"/>
  <c r="C44" i="11" s="1"/>
  <c r="D41" i="11" s="1"/>
  <c r="F24" i="15"/>
  <c r="C24" i="15" s="1"/>
  <c r="F22" i="68"/>
  <c r="C44" i="68" s="1"/>
  <c r="D41" i="68" s="1"/>
  <c r="F25" i="12"/>
  <c r="C26" i="12" s="1"/>
  <c r="D25" i="12" s="1"/>
  <c r="F24" i="67"/>
  <c r="C24" i="67" s="1"/>
  <c r="C19" i="15"/>
  <c r="C20" i="15" s="1"/>
  <c r="C26" i="15" s="1"/>
  <c r="E3" i="6"/>
  <c r="AY6" i="3"/>
  <c r="AC26" i="35"/>
  <c r="W26" i="35"/>
  <c r="C29" i="11"/>
  <c r="D27" i="11" s="1"/>
  <c r="C47" i="11"/>
  <c r="D45" i="11" s="1"/>
  <c r="C29" i="68"/>
  <c r="D27" i="68" s="1"/>
  <c r="C47" i="68"/>
  <c r="D45" i="68" s="1"/>
  <c r="F45" i="68"/>
  <c r="N66" i="71"/>
  <c r="N65" i="71"/>
  <c r="C14" i="71"/>
  <c r="D15" i="71"/>
  <c r="B2" i="77"/>
  <c r="B3" i="77" s="1"/>
  <c r="C41" i="77"/>
  <c r="I46" i="37"/>
  <c r="J46" i="37" s="1"/>
  <c r="R37" i="36"/>
  <c r="E36" i="36"/>
  <c r="R50" i="34"/>
  <c r="E49" i="34"/>
  <c r="I40" i="36"/>
  <c r="J40" i="36" s="1"/>
  <c r="E64" i="39"/>
  <c r="E60" i="40"/>
  <c r="F27" i="6"/>
  <c r="F31" i="6" s="1"/>
  <c r="E56" i="39"/>
  <c r="E51" i="40"/>
  <c r="E16" i="6"/>
  <c r="E539" i="3"/>
  <c r="E244" i="3"/>
  <c r="E148" i="3"/>
  <c r="E212" i="3"/>
  <c r="E167" i="3"/>
  <c r="E199" i="3"/>
  <c r="E141" i="3"/>
  <c r="E286" i="3"/>
  <c r="E312" i="3"/>
  <c r="AD6" i="3"/>
  <c r="E499" i="3"/>
  <c r="E542" i="3"/>
  <c r="R6" i="3"/>
  <c r="E421" i="3"/>
  <c r="E442" i="3"/>
  <c r="E464" i="3"/>
  <c r="E466" i="3"/>
  <c r="E487" i="3"/>
  <c r="E398" i="3"/>
  <c r="E430" i="3"/>
  <c r="E416" i="3"/>
  <c r="E449" i="3"/>
  <c r="E459" i="3"/>
  <c r="E255" i="3"/>
  <c r="E374" i="3"/>
  <c r="I3" i="6"/>
  <c r="AP6" i="3"/>
  <c r="E554"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78" i="3"/>
  <c r="E349" i="3"/>
  <c r="E389" i="3"/>
  <c r="E50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492" i="3"/>
  <c r="E23" i="3"/>
  <c r="E66" i="3"/>
  <c r="E84" i="3"/>
  <c r="E24" i="3"/>
  <c r="E67" i="3"/>
  <c r="E48" i="3"/>
  <c r="E33" i="3"/>
  <c r="E87" i="3"/>
  <c r="E144" i="3"/>
  <c r="E127" i="3"/>
  <c r="E184" i="3"/>
  <c r="E250" i="3"/>
  <c r="E233" i="3"/>
  <c r="E284" i="3"/>
  <c r="E341" i="3"/>
  <c r="E381" i="3"/>
  <c r="E68" i="3"/>
  <c r="E51" i="3"/>
  <c r="E63" i="3"/>
  <c r="E19" i="3"/>
  <c r="E81" i="3"/>
  <c r="E154" i="3"/>
  <c r="E118" i="3"/>
  <c r="E179" i="3"/>
  <c r="E264" i="3"/>
  <c r="E222" i="3"/>
  <c r="E283" i="3"/>
  <c r="E323" i="3"/>
  <c r="E309" i="3"/>
  <c r="E82" i="3"/>
  <c r="E21" i="3"/>
  <c r="E77" i="3"/>
  <c r="E156" i="3"/>
  <c r="E238" i="3"/>
  <c r="E434" i="3"/>
  <c r="E128" i="3"/>
  <c r="E262" i="3"/>
  <c r="E228" i="3"/>
  <c r="E120" i="3"/>
  <c r="E277" i="3"/>
  <c r="E177" i="3"/>
  <c r="K6" i="3"/>
  <c r="E437" i="3"/>
  <c r="E472" i="3"/>
  <c r="E481" i="3"/>
  <c r="E406" i="3"/>
  <c r="E424" i="3"/>
  <c r="E465" i="3"/>
  <c r="AE6" i="3"/>
  <c r="E429" i="3"/>
  <c r="E468" i="3"/>
  <c r="E496" i="3"/>
  <c r="E454" i="3"/>
  <c r="E55" i="3"/>
  <c r="E106" i="3"/>
  <c r="E73" i="3"/>
  <c r="E146" i="3"/>
  <c r="E203" i="3"/>
  <c r="E171" i="3"/>
  <c r="E256" i="3"/>
  <c r="E214" i="3"/>
  <c r="E274" i="3"/>
  <c r="E315" i="3"/>
  <c r="E362" i="3"/>
  <c r="E74" i="3"/>
  <c r="E32" i="3"/>
  <c r="E227" i="3"/>
  <c r="I6" i="3"/>
  <c r="E368" i="3"/>
  <c r="E236" i="3"/>
  <c r="E89" i="3"/>
  <c r="E252" i="3"/>
  <c r="E204" i="3"/>
  <c r="E164" i="3"/>
  <c r="E327" i="3"/>
  <c r="Z6" i="3"/>
  <c r="AG6" i="3"/>
  <c r="AO6" i="3"/>
  <c r="E448" i="3"/>
  <c r="E485" i="3"/>
  <c r="P6" i="3"/>
  <c r="E400" i="3"/>
  <c r="E443" i="3"/>
  <c r="E345" i="3"/>
  <c r="E558" i="3"/>
  <c r="E531" i="3"/>
  <c r="E444" i="3"/>
  <c r="E489" i="3"/>
  <c r="E404" i="3"/>
  <c r="E28" i="3"/>
  <c r="E88" i="3"/>
  <c r="E70" i="3"/>
  <c r="E182" i="3"/>
  <c r="E166" i="3"/>
  <c r="E211" i="3"/>
  <c r="E295" i="3"/>
  <c r="E273" i="3"/>
  <c r="E377" i="3"/>
  <c r="E334" i="3"/>
  <c r="E572" i="3"/>
  <c r="E30" i="3"/>
  <c r="E109" i="3"/>
  <c r="E480" i="3"/>
  <c r="E53" i="3"/>
  <c r="E175" i="3"/>
  <c r="E510"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10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01" i="3"/>
  <c r="E343"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55" i="3"/>
  <c r="E394" i="3"/>
  <c r="E530" i="3"/>
  <c r="E133" i="3"/>
  <c r="E517" i="3"/>
  <c r="E541" i="3"/>
  <c r="E584" i="3"/>
  <c r="E536" i="3"/>
  <c r="E582" i="3"/>
  <c r="E577" i="3"/>
  <c r="E552" i="3"/>
  <c r="E502" i="3"/>
  <c r="E316" i="3"/>
  <c r="E354" i="3"/>
  <c r="E149" i="3"/>
  <c r="E319" i="3"/>
  <c r="E557" i="3"/>
  <c r="E568" i="3"/>
  <c r="E587" i="3"/>
  <c r="Q6" i="3"/>
  <c r="E375" i="3"/>
  <c r="E344" i="3"/>
  <c r="E330" i="3"/>
  <c r="E165" i="3"/>
  <c r="E513" i="3"/>
  <c r="E521" i="3"/>
  <c r="E545" i="3"/>
  <c r="E575" i="3"/>
  <c r="E560" i="3"/>
  <c r="E500" i="3"/>
  <c r="E544" i="3"/>
  <c r="E581" i="3"/>
  <c r="E580" i="3"/>
  <c r="E566" i="3"/>
  <c r="E363" i="3"/>
  <c r="E373" i="3"/>
  <c r="E181" i="3"/>
  <c r="E121" i="3"/>
  <c r="E310" i="3"/>
  <c r="E576" i="3"/>
  <c r="Y6" i="3"/>
  <c r="AK6" i="3"/>
  <c r="D5" i="43"/>
  <c r="C5" i="43"/>
  <c r="F58" i="21"/>
  <c r="I52" i="33"/>
  <c r="J52" i="33" s="1"/>
  <c r="G42" i="35"/>
  <c r="H42" i="35" s="1"/>
  <c r="G43" i="35"/>
  <c r="H43" i="35" s="1"/>
  <c r="I42" i="35"/>
  <c r="J42" i="35" s="1"/>
  <c r="I53" i="34"/>
  <c r="J53" i="34" s="1"/>
  <c r="I54" i="34"/>
  <c r="J54" i="34" s="1"/>
  <c r="I63" i="40"/>
  <c r="H65" i="40"/>
  <c r="E42" i="37"/>
  <c r="I47" i="37" s="1"/>
  <c r="J47" i="37" s="1"/>
  <c r="R43" i="37"/>
  <c r="G40" i="36"/>
  <c r="H40" i="36" s="1"/>
  <c r="G41" i="36"/>
  <c r="H41" i="36" s="1"/>
  <c r="G53" i="34"/>
  <c r="H53" i="34" s="1"/>
  <c r="G54" i="34"/>
  <c r="H54" i="34" s="1"/>
  <c r="R49" i="33"/>
  <c r="E48" i="33"/>
  <c r="G46" i="37"/>
  <c r="H46" i="37" s="1"/>
  <c r="G47" i="37"/>
  <c r="H47" i="37" s="1"/>
  <c r="AB26" i="35"/>
  <c r="U26" i="35"/>
  <c r="K14" i="1"/>
  <c r="K21" i="6"/>
  <c r="M21" i="6" s="1"/>
  <c r="I21" i="6" s="1"/>
  <c r="S21" i="6" s="1"/>
  <c r="K20" i="6"/>
  <c r="M20" i="6" s="1"/>
  <c r="I20" i="6" s="1"/>
  <c r="S20" i="6" s="1"/>
  <c r="K22" i="6"/>
  <c r="M22" i="6" s="1"/>
  <c r="I22" i="6" s="1"/>
  <c r="S22" i="6" s="1"/>
  <c r="K24" i="6"/>
  <c r="M24" i="6" s="1"/>
  <c r="I24" i="6" s="1"/>
  <c r="S24" i="6" s="1"/>
  <c r="E30" i="6"/>
  <c r="E31" i="6" s="1"/>
  <c r="K26" i="6"/>
  <c r="M26" i="6" s="1"/>
  <c r="I26" i="6" s="1"/>
  <c r="S26" i="6" s="1"/>
  <c r="K25" i="6"/>
  <c r="M25" i="6" s="1"/>
  <c r="I25" i="6" s="1"/>
  <c r="S25" i="6" s="1"/>
  <c r="K23" i="6"/>
  <c r="M23" i="6" s="1"/>
  <c r="I23" i="6" s="1"/>
  <c r="S23" i="6" s="1"/>
  <c r="K19" i="6"/>
  <c r="C29" i="69"/>
  <c r="D27" i="69" s="1"/>
  <c r="F45" i="69"/>
  <c r="C47" i="69"/>
  <c r="D45" i="69" s="1"/>
  <c r="J67" i="39"/>
  <c r="I69" i="39"/>
  <c r="S7" i="35"/>
  <c r="AA7" i="35"/>
  <c r="R38" i="35" s="1"/>
  <c r="G52" i="33"/>
  <c r="H52" i="33" s="1"/>
  <c r="G53" i="33"/>
  <c r="H53" i="33" s="1"/>
  <c r="E58" i="40"/>
  <c r="E62" i="39"/>
  <c r="E60" i="39"/>
  <c r="E56" i="40"/>
  <c r="E57" i="40"/>
  <c r="E61" i="39"/>
  <c r="E63" i="39"/>
  <c r="E59" i="40"/>
  <c r="J26" i="15"/>
  <c r="J29" i="15" s="1"/>
  <c r="J24" i="15"/>
  <c r="J26" i="67"/>
  <c r="J24" i="67"/>
  <c r="C10" i="15"/>
  <c r="C5" i="15" s="1"/>
  <c r="C53" i="15"/>
  <c r="C48" i="15" s="1"/>
  <c r="C10" i="67"/>
  <c r="C5" i="67" s="1"/>
  <c r="C31" i="15"/>
  <c r="C61" i="15"/>
  <c r="L37" i="43"/>
  <c r="J17" i="15"/>
  <c r="C48" i="67"/>
  <c r="C61" i="67"/>
  <c r="C24" i="69"/>
  <c r="C26" i="69"/>
  <c r="D22" i="69" s="1"/>
  <c r="C44" i="69"/>
  <c r="D41" i="69" s="1"/>
  <c r="F41" i="69"/>
  <c r="F41" i="67"/>
  <c r="C23" i="11" l="1"/>
  <c r="O36" i="43"/>
  <c r="Q36" i="43"/>
  <c r="N36" i="43"/>
  <c r="M36" i="43"/>
  <c r="C26" i="68"/>
  <c r="D22" i="68" s="1"/>
  <c r="C26" i="11"/>
  <c r="D22" i="11" s="1"/>
  <c r="F41" i="68"/>
  <c r="E53" i="33"/>
  <c r="F53" i="33" s="1"/>
  <c r="E52" i="33"/>
  <c r="F52" i="33" s="1"/>
  <c r="C42" i="37"/>
  <c r="C43" i="37"/>
  <c r="G58" i="21"/>
  <c r="H58" i="21" s="1"/>
  <c r="I58" i="21" s="1"/>
  <c r="J58" i="21" s="1"/>
  <c r="K58" i="21" s="1"/>
  <c r="L58" i="21" s="1"/>
  <c r="M58" i="21" s="1"/>
  <c r="N58" i="21" s="1"/>
  <c r="O58" i="21" s="1"/>
  <c r="J7" i="21"/>
  <c r="F7" i="21"/>
  <c r="C37" i="43"/>
  <c r="C38" i="43"/>
  <c r="C39" i="43"/>
  <c r="C40" i="43"/>
  <c r="C41" i="43"/>
  <c r="C42" i="43"/>
  <c r="H6" i="3"/>
  <c r="AC6" i="3"/>
  <c r="E65" i="39"/>
  <c r="E54" i="34"/>
  <c r="F54" i="34" s="1"/>
  <c r="E53" i="34"/>
  <c r="F53" i="34" s="1"/>
  <c r="E40" i="36"/>
  <c r="F40" i="36" s="1"/>
  <c r="E41" i="36"/>
  <c r="F41" i="36" s="1"/>
  <c r="C13" i="71"/>
  <c r="D14" i="7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K67" i="39"/>
  <c r="J69" i="39"/>
  <c r="S6" i="1"/>
  <c r="M19" i="6"/>
  <c r="K27" i="6"/>
  <c r="E38" i="35"/>
  <c r="R39" i="35"/>
  <c r="K16" i="1"/>
  <c r="M14" i="1"/>
  <c r="C34" i="69"/>
  <c r="C48" i="33"/>
  <c r="C49" i="33"/>
  <c r="E47" i="37"/>
  <c r="F47" i="37" s="1"/>
  <c r="E46" i="37"/>
  <c r="F46" i="37" s="1"/>
  <c r="J63" i="40"/>
  <c r="I65" i="40"/>
  <c r="I53" i="33"/>
  <c r="J53" i="33" s="1"/>
  <c r="H7" i="21"/>
  <c r="C33" i="43"/>
  <c r="T5" i="43"/>
  <c r="V5" i="43" s="1"/>
  <c r="T2" i="43"/>
  <c r="V2" i="43" s="1"/>
  <c r="T3" i="43"/>
  <c r="V3" i="43" s="1"/>
  <c r="T4" i="43"/>
  <c r="V4" i="43" s="1"/>
  <c r="T10" i="43"/>
  <c r="V10" i="43" s="1"/>
  <c r="T14" i="43"/>
  <c r="V14" i="43" s="1"/>
  <c r="T16" i="43"/>
  <c r="V16" i="43" s="1"/>
  <c r="T9" i="43"/>
  <c r="V9" i="43" s="1"/>
  <c r="T13" i="43"/>
  <c r="V13" i="43" s="1"/>
  <c r="T15" i="43"/>
  <c r="V15" i="43" s="1"/>
  <c r="T6" i="43"/>
  <c r="V6" i="43" s="1"/>
  <c r="T8" i="43"/>
  <c r="V8" i="43" s="1"/>
  <c r="T12" i="43"/>
  <c r="V12" i="43" s="1"/>
  <c r="T7" i="43"/>
  <c r="V7" i="43" s="1"/>
  <c r="T11" i="43"/>
  <c r="V11" i="43" s="1"/>
  <c r="I41" i="36"/>
  <c r="J41" i="36" s="1"/>
  <c r="C50" i="34"/>
  <c r="C49" i="34"/>
  <c r="C36" i="36"/>
  <c r="C37" i="36"/>
  <c r="D37" i="11"/>
  <c r="C37" i="11" s="1"/>
  <c r="M18" i="9"/>
  <c r="B118" i="9" s="1"/>
  <c r="D19" i="11"/>
  <c r="C19" i="11" s="1"/>
  <c r="L18" i="9"/>
  <c r="D3" i="33"/>
  <c r="B3" i="33" s="1"/>
  <c r="E6" i="6"/>
  <c r="D14" i="12"/>
  <c r="D3" i="34"/>
  <c r="B3" i="34" s="1"/>
  <c r="C17" i="4"/>
  <c r="B4" i="52" s="1"/>
  <c r="B43" i="72" s="1"/>
  <c r="D3" i="37"/>
  <c r="B3" i="37" s="1"/>
  <c r="F69" i="67"/>
  <c r="J29" i="67"/>
  <c r="C23" i="15"/>
  <c r="C29" i="15" s="1"/>
  <c r="C66" i="67"/>
  <c r="C60" i="67"/>
  <c r="P37" i="43"/>
  <c r="Q37" i="43"/>
  <c r="N37" i="43"/>
  <c r="M37" i="43"/>
  <c r="O37" i="43"/>
  <c r="C66" i="15"/>
  <c r="C60" i="15"/>
  <c r="C59" i="15" s="1"/>
  <c r="C38" i="67"/>
  <c r="C38" i="15"/>
  <c r="C17" i="67"/>
  <c r="C14" i="67"/>
  <c r="C18" i="67" l="1"/>
  <c r="C15" i="67"/>
  <c r="C28" i="11"/>
  <c r="C27" i="11" s="1"/>
  <c r="C20" i="11"/>
  <c r="C25" i="11" s="1"/>
  <c r="C24" i="11"/>
  <c r="C6" i="69"/>
  <c r="C7" i="69" s="1"/>
  <c r="E33" i="43"/>
  <c r="C34" i="43"/>
  <c r="E34" i="43" s="1"/>
  <c r="J65" i="40"/>
  <c r="K63" i="40"/>
  <c r="M16" i="1"/>
  <c r="C38" i="35"/>
  <c r="C39" i="35"/>
  <c r="M3" i="35" s="1"/>
  <c r="AR6" i="1"/>
  <c r="S16" i="1"/>
  <c r="E6" i="70"/>
  <c r="E2" i="70" s="1"/>
  <c r="AQ6" i="1"/>
  <c r="T6" i="1"/>
  <c r="T16" i="1" s="1"/>
  <c r="L67" i="39"/>
  <c r="K69" i="39"/>
  <c r="C12" i="71"/>
  <c r="D13" i="71"/>
  <c r="E42" i="43"/>
  <c r="G42" i="43"/>
  <c r="I42" i="43" s="1"/>
  <c r="E40" i="43"/>
  <c r="G40" i="43"/>
  <c r="I40" i="43" s="1"/>
  <c r="E38" i="43"/>
  <c r="G38" i="43"/>
  <c r="I38" i="43" s="1"/>
  <c r="AA7" i="21"/>
  <c r="R48" i="21" s="1"/>
  <c r="S7" i="21"/>
  <c r="D17" i="12"/>
  <c r="C17" i="12" s="1"/>
  <c r="C14" i="12"/>
  <c r="C16" i="12" s="1"/>
  <c r="D10" i="69"/>
  <c r="D10" i="68"/>
  <c r="D10" i="11"/>
  <c r="C10" i="11" s="1"/>
  <c r="D20" i="12"/>
  <c r="C20" i="12" s="1"/>
  <c r="AB7" i="21"/>
  <c r="T48" i="21" s="1"/>
  <c r="G48" i="21" s="1"/>
  <c r="U7" i="21"/>
  <c r="C35" i="69"/>
  <c r="C38" i="69"/>
  <c r="E43" i="35"/>
  <c r="F43" i="35" s="1"/>
  <c r="E42" i="35"/>
  <c r="F42" i="35" s="1"/>
  <c r="I43" i="35"/>
  <c r="J43" i="35" s="1"/>
  <c r="I19" i="6"/>
  <c r="M27" i="6"/>
  <c r="D15" i="6"/>
  <c r="D21" i="6"/>
  <c r="D20" i="6"/>
  <c r="D26" i="6"/>
  <c r="D14" i="6"/>
  <c r="D9" i="6"/>
  <c r="L19" i="9"/>
  <c r="H25" i="6"/>
  <c r="H21" i="6"/>
  <c r="D19" i="6"/>
  <c r="D23" i="6"/>
  <c r="D12" i="6"/>
  <c r="D13" i="6"/>
  <c r="H26" i="6"/>
  <c r="H20" i="6"/>
  <c r="D25" i="6"/>
  <c r="R25" i="6" s="1"/>
  <c r="D22" i="6"/>
  <c r="R22" i="6" s="1"/>
  <c r="D24" i="6"/>
  <c r="M19" i="9"/>
  <c r="C118" i="9" s="1"/>
  <c r="D8" i="6"/>
  <c r="D6" i="6"/>
  <c r="D10" i="6"/>
  <c r="D29" i="6"/>
  <c r="H22" i="6"/>
  <c r="H24" i="6"/>
  <c r="C18" i="4"/>
  <c r="D5" i="6"/>
  <c r="D11" i="6"/>
  <c r="D28" i="6"/>
  <c r="D30" i="6" s="1"/>
  <c r="E61" i="40"/>
  <c r="H23" i="6"/>
  <c r="H19" i="6"/>
  <c r="H27" i="6" s="1"/>
  <c r="E6" i="3"/>
  <c r="E41" i="43"/>
  <c r="G41" i="43"/>
  <c r="I41" i="43" s="1"/>
  <c r="E39" i="43"/>
  <c r="G39" i="43"/>
  <c r="I39" i="43" s="1"/>
  <c r="E37" i="43"/>
  <c r="G37" i="43"/>
  <c r="I37" i="43" s="1"/>
  <c r="AC7" i="21"/>
  <c r="V48" i="21" s="1"/>
  <c r="I48" i="21" s="1"/>
  <c r="W7" i="21"/>
  <c r="C36" i="15"/>
  <c r="C57" i="15"/>
  <c r="C64" i="15" s="1"/>
  <c r="C13" i="15"/>
  <c r="J14" i="15"/>
  <c r="Q49" i="15"/>
  <c r="J59" i="15"/>
  <c r="J60" i="15" s="1"/>
  <c r="C19" i="67" l="1"/>
  <c r="C22" i="11"/>
  <c r="C31" i="11" s="1"/>
  <c r="R23" i="6"/>
  <c r="R20" i="6"/>
  <c r="C4" i="52"/>
  <c r="B45" i="72" s="1"/>
  <c r="A10" i="51"/>
  <c r="B9" i="72" s="1"/>
  <c r="A7" i="51"/>
  <c r="B7" i="72" s="1"/>
  <c r="D16" i="6"/>
  <c r="R24" i="6"/>
  <c r="R19" i="6"/>
  <c r="D27" i="6"/>
  <c r="D31" i="6" s="1"/>
  <c r="R26" i="6"/>
  <c r="R21" i="6"/>
  <c r="C10" i="68"/>
  <c r="D19" i="68"/>
  <c r="R49" i="21"/>
  <c r="E48" i="21"/>
  <c r="C30" i="43"/>
  <c r="I52" i="21"/>
  <c r="J52" i="21" s="1"/>
  <c r="I53" i="21"/>
  <c r="J53" i="21" s="1"/>
  <c r="S19" i="6"/>
  <c r="S27" i="6" s="1"/>
  <c r="I27" i="6"/>
  <c r="G52" i="21"/>
  <c r="H52" i="21" s="1"/>
  <c r="G53" i="21"/>
  <c r="H53" i="21" s="1"/>
  <c r="C10" i="69"/>
  <c r="D19" i="69"/>
  <c r="D37" i="69" s="1"/>
  <c r="C37" i="69" s="1"/>
  <c r="C33" i="69" s="1"/>
  <c r="D12" i="71"/>
  <c r="U12" i="71" s="1"/>
  <c r="T12" i="71"/>
  <c r="C11" i="71"/>
  <c r="L69" i="39"/>
  <c r="M67" i="39"/>
  <c r="N16" i="1"/>
  <c r="L16" i="1"/>
  <c r="C34" i="11"/>
  <c r="C34" i="68"/>
  <c r="L63" i="40"/>
  <c r="K65" i="40"/>
  <c r="C31" i="43"/>
  <c r="C20" i="67"/>
  <c r="C26" i="67" s="1"/>
  <c r="C37" i="15"/>
  <c r="Q70" i="15"/>
  <c r="C56" i="15"/>
  <c r="C65" i="15" s="1"/>
  <c r="C58" i="15" s="1"/>
  <c r="C67" i="15" s="1"/>
  <c r="C68" i="15" s="1"/>
  <c r="C75" i="15"/>
  <c r="C30" i="15"/>
  <c r="C39" i="15" s="1"/>
  <c r="Q48" i="15"/>
  <c r="L46" i="15"/>
  <c r="J13" i="15"/>
  <c r="J23" i="15" s="1"/>
  <c r="J22" i="15"/>
  <c r="E6" i="76"/>
  <c r="C23" i="67" l="1"/>
  <c r="C29" i="67" s="1"/>
  <c r="C57" i="67" s="1"/>
  <c r="C64" i="67" s="1"/>
  <c r="E2" i="76"/>
  <c r="L65" i="40"/>
  <c r="M63" i="40"/>
  <c r="B29" i="1"/>
  <c r="C8" i="69"/>
  <c r="C5" i="69" s="1"/>
  <c r="E52" i="21"/>
  <c r="F52" i="21" s="1"/>
  <c r="E53" i="21"/>
  <c r="F53" i="21" s="1"/>
  <c r="D37" i="68"/>
  <c r="C37" i="68" s="1"/>
  <c r="C19" i="68"/>
  <c r="C24" i="68" s="1"/>
  <c r="R6" i="1"/>
  <c r="R27" i="6"/>
  <c r="C35" i="11"/>
  <c r="C38" i="11"/>
  <c r="C33" i="11" s="1"/>
  <c r="F50" i="69"/>
  <c r="F50" i="11"/>
  <c r="F50" i="68"/>
  <c r="C38" i="68"/>
  <c r="C35" i="68"/>
  <c r="N67" i="39"/>
  <c r="M69" i="39"/>
  <c r="D11" i="71"/>
  <c r="C10" i="71"/>
  <c r="C39" i="69"/>
  <c r="C43" i="69" s="1"/>
  <c r="C42" i="69"/>
  <c r="B2" i="43"/>
  <c r="C49" i="21"/>
  <c r="C48" i="21"/>
  <c r="F24" i="9" s="1"/>
  <c r="I5" i="6"/>
  <c r="I6" i="6"/>
  <c r="C71" i="15"/>
  <c r="J16" i="15"/>
  <c r="J25" i="15" s="1"/>
  <c r="C40" i="15"/>
  <c r="Q69" i="15"/>
  <c r="Q68" i="15" s="1"/>
  <c r="C80" i="15"/>
  <c r="C79" i="15" s="1"/>
  <c r="B6" i="76"/>
  <c r="M21" i="67"/>
  <c r="F35" i="67"/>
  <c r="L51" i="15"/>
  <c r="C46" i="69" l="1"/>
  <c r="C45" i="69" s="1"/>
  <c r="C36" i="67"/>
  <c r="J59" i="67"/>
  <c r="J60" i="67" s="1"/>
  <c r="L46" i="67" s="1"/>
  <c r="Q49" i="67"/>
  <c r="J14" i="67"/>
  <c r="J13" i="67" s="1"/>
  <c r="J23" i="67" s="1"/>
  <c r="C13" i="67"/>
  <c r="C56" i="67" s="1"/>
  <c r="C65" i="67" s="1"/>
  <c r="C33" i="68"/>
  <c r="C42" i="68" s="1"/>
  <c r="C41" i="69"/>
  <c r="B2" i="76"/>
  <c r="B3" i="76" s="1"/>
  <c r="F63" i="67"/>
  <c r="C62" i="67" s="1"/>
  <c r="C59" i="67" s="1"/>
  <c r="C34" i="67"/>
  <c r="C31" i="67" s="1"/>
  <c r="J20" i="67"/>
  <c r="J17" i="67" s="1"/>
  <c r="C39" i="11"/>
  <c r="C42" i="11"/>
  <c r="C20" i="69"/>
  <c r="C23" i="69"/>
  <c r="Q48" i="67"/>
  <c r="B3" i="43"/>
  <c r="D10" i="71"/>
  <c r="C9" i="71"/>
  <c r="B3" i="21"/>
  <c r="B2" i="21"/>
  <c r="O67" i="39"/>
  <c r="O69" i="39" s="1"/>
  <c r="N69" i="39"/>
  <c r="R16" i="1"/>
  <c r="C8" i="68"/>
  <c r="C5" i="68" s="1"/>
  <c r="C18" i="12"/>
  <c r="C21" i="12" s="1"/>
  <c r="M65" i="40"/>
  <c r="N63" i="40"/>
  <c r="Q70" i="67"/>
  <c r="Q67" i="15"/>
  <c r="L57" i="15"/>
  <c r="L60" i="15" s="1"/>
  <c r="B2" i="15"/>
  <c r="B3" i="15" s="1"/>
  <c r="Q65" i="15"/>
  <c r="Q47" i="15"/>
  <c r="Q53" i="15" s="1"/>
  <c r="C43" i="15"/>
  <c r="Q56" i="15"/>
  <c r="C83" i="15"/>
  <c r="C82" i="15" s="1"/>
  <c r="C46" i="15"/>
  <c r="D20" i="9"/>
  <c r="D19" i="9"/>
  <c r="C37" i="67" l="1"/>
  <c r="C30" i="67" s="1"/>
  <c r="C39" i="67" s="1"/>
  <c r="C75" i="67"/>
  <c r="J22" i="67"/>
  <c r="J16" i="67" s="1"/>
  <c r="J25" i="67" s="1"/>
  <c r="C49" i="69"/>
  <c r="C51" i="69" s="1"/>
  <c r="C58" i="67"/>
  <c r="C67" i="67" s="1"/>
  <c r="C68" i="67" s="1"/>
  <c r="C71" i="67" s="1"/>
  <c r="C39" i="68"/>
  <c r="C43" i="68" s="1"/>
  <c r="C41" i="68" s="1"/>
  <c r="D103" i="9"/>
  <c r="D21" i="9"/>
  <c r="D102" i="9"/>
  <c r="O63" i="40"/>
  <c r="O65" i="40" s="1"/>
  <c r="N65" i="40"/>
  <c r="C22" i="12"/>
  <c r="C30" i="12" s="1"/>
  <c r="C28" i="12" s="1"/>
  <c r="H7" i="39"/>
  <c r="F7" i="39"/>
  <c r="J7" i="39"/>
  <c r="C20" i="68"/>
  <c r="C25" i="68" s="1"/>
  <c r="C23" i="68"/>
  <c r="C8" i="71"/>
  <c r="D9" i="71"/>
  <c r="C28" i="69"/>
  <c r="C27" i="69" s="1"/>
  <c r="C25" i="69"/>
  <c r="C22" i="69" s="1"/>
  <c r="C46" i="11"/>
  <c r="C45" i="11" s="1"/>
  <c r="C43" i="11"/>
  <c r="C41" i="11" s="1"/>
  <c r="C49" i="11" s="1"/>
  <c r="C51" i="11" s="1"/>
  <c r="Q57" i="15"/>
  <c r="Q62" i="15" s="1"/>
  <c r="Q66" i="15"/>
  <c r="Q75" i="15" s="1"/>
  <c r="L51" i="67"/>
  <c r="C80" i="67" l="1"/>
  <c r="C79" i="67" s="1"/>
  <c r="C40" i="67"/>
  <c r="Q65" i="67" s="1"/>
  <c r="Q75" i="67" s="1"/>
  <c r="C46" i="68"/>
  <c r="C45" i="68" s="1"/>
  <c r="C49" i="68" s="1"/>
  <c r="C51" i="68" s="1"/>
  <c r="Q69" i="67"/>
  <c r="Q68" i="67" s="1"/>
  <c r="C31" i="69"/>
  <c r="C52" i="69" s="1"/>
  <c r="C57" i="69" s="1"/>
  <c r="C56" i="69" s="1"/>
  <c r="C22" i="68"/>
  <c r="Q67" i="67"/>
  <c r="C52" i="11"/>
  <c r="B2" i="11" s="1"/>
  <c r="B3" i="11" s="1"/>
  <c r="AC7" i="39"/>
  <c r="V47" i="39" s="1"/>
  <c r="I47" i="39" s="1"/>
  <c r="W7" i="39"/>
  <c r="AB7" i="39"/>
  <c r="T47" i="39" s="1"/>
  <c r="G47" i="39" s="1"/>
  <c r="U7" i="39"/>
  <c r="F7" i="40"/>
  <c r="H7" i="40"/>
  <c r="J7" i="40"/>
  <c r="D8" i="71"/>
  <c r="C7" i="71"/>
  <c r="C28" i="68"/>
  <c r="C27" i="68" s="1"/>
  <c r="AA7" i="39"/>
  <c r="R47" i="39" s="1"/>
  <c r="S7" i="39"/>
  <c r="C27" i="12"/>
  <c r="C25" i="12" s="1"/>
  <c r="C32" i="12" s="1"/>
  <c r="B2" i="12" s="1"/>
  <c r="B3" i="12" s="1"/>
  <c r="Q47" i="67" l="1"/>
  <c r="Q53" i="67" s="1"/>
  <c r="C43" i="67"/>
  <c r="D2" i="67"/>
  <c r="B2" i="67" s="1"/>
  <c r="C45" i="67"/>
  <c r="C46" i="67" s="1"/>
  <c r="Q56" i="67"/>
  <c r="Q62" i="67" s="1"/>
  <c r="C83" i="67"/>
  <c r="C82" i="67" s="1"/>
  <c r="C31" i="68"/>
  <c r="C52" i="68" s="1"/>
  <c r="B2" i="68" s="1"/>
  <c r="B3" i="68" s="1"/>
  <c r="B2" i="69"/>
  <c r="B3" i="69" s="1"/>
  <c r="F26" i="9" s="1"/>
  <c r="R48" i="39"/>
  <c r="E47" i="39"/>
  <c r="AA7" i="40"/>
  <c r="R42" i="40" s="1"/>
  <c r="S7" i="40"/>
  <c r="G51" i="39"/>
  <c r="H51" i="39" s="1"/>
  <c r="G52" i="39"/>
  <c r="H52" i="39" s="1"/>
  <c r="I51" i="39"/>
  <c r="J51" i="39" s="1"/>
  <c r="I52" i="39"/>
  <c r="J52" i="39" s="1"/>
  <c r="W7" i="40"/>
  <c r="AC7" i="40"/>
  <c r="V42" i="40" s="1"/>
  <c r="I42" i="40" s="1"/>
  <c r="B3" i="67"/>
  <c r="C6" i="71"/>
  <c r="D7" i="71"/>
  <c r="U7" i="40"/>
  <c r="AB7" i="40"/>
  <c r="T42" i="40" s="1"/>
  <c r="G42" i="40" s="1"/>
  <c r="C56" i="11"/>
  <c r="C57" i="11" s="1"/>
  <c r="AO6" i="1"/>
  <c r="C19" i="9"/>
  <c r="C20" i="9"/>
  <c r="C57" i="68" l="1"/>
  <c r="C56" i="68" s="1"/>
  <c r="B6" i="70"/>
  <c r="B2" i="70" s="1"/>
  <c r="B3" i="70" s="1"/>
  <c r="D22" i="9"/>
  <c r="G19" i="9"/>
  <c r="G21" i="9" s="1"/>
  <c r="C102" i="9"/>
  <c r="C21" i="9"/>
  <c r="C103" i="9"/>
  <c r="G20" i="9"/>
  <c r="G47" i="40"/>
  <c r="H47" i="40" s="1"/>
  <c r="G46" i="40"/>
  <c r="H46" i="40" s="1"/>
  <c r="I46" i="40"/>
  <c r="J46" i="40" s="1"/>
  <c r="I47" i="40"/>
  <c r="J47" i="40" s="1"/>
  <c r="E52" i="39"/>
  <c r="F52" i="39" s="1"/>
  <c r="E51" i="39"/>
  <c r="F51" i="39" s="1"/>
  <c r="C5" i="71"/>
  <c r="D6" i="71"/>
  <c r="F25" i="9"/>
  <c r="H24" i="9" s="1"/>
  <c r="R43" i="40"/>
  <c r="E42" i="40"/>
  <c r="C48" i="39"/>
  <c r="C47" i="39"/>
  <c r="C42" i="40" l="1"/>
  <c r="C43" i="40"/>
  <c r="E47" i="40"/>
  <c r="F47" i="40" s="1"/>
  <c r="E46" i="40"/>
  <c r="F46" i="40" s="1"/>
  <c r="D5" i="71"/>
  <c r="M24" i="43"/>
  <c r="B63" i="39"/>
  <c r="F63" i="39" s="1"/>
  <c r="B64" i="39"/>
  <c r="F64" i="39" s="1"/>
  <c r="B60" i="39"/>
  <c r="F60" i="39" s="1"/>
  <c r="B61" i="39"/>
  <c r="F61" i="39" s="1"/>
  <c r="B57" i="39"/>
  <c r="F57" i="39" s="1"/>
  <c r="B58" i="39"/>
  <c r="F58" i="39" s="1"/>
  <c r="B62" i="39"/>
  <c r="F62" i="39" s="1"/>
  <c r="B59" i="39"/>
  <c r="F59" i="39" s="1"/>
  <c r="B56" i="39"/>
  <c r="F56" i="39" s="1"/>
  <c r="F65" i="39" s="1"/>
  <c r="B2" i="39" s="1"/>
  <c r="B3" i="39" s="1"/>
  <c r="G22" i="9"/>
  <c r="D14" i="74" s="1"/>
  <c r="C32" i="9"/>
  <c r="C35" i="9" s="1"/>
  <c r="C34" i="9" s="1"/>
  <c r="F14" i="74" l="1"/>
  <c r="B5" i="74"/>
  <c r="E14" i="74"/>
  <c r="B58" i="40"/>
  <c r="F58" i="40" s="1"/>
  <c r="B54" i="40"/>
  <c r="F54" i="40" s="1"/>
  <c r="B53" i="40"/>
  <c r="F53" i="40" s="1"/>
  <c r="B59" i="40"/>
  <c r="F59" i="40" s="1"/>
  <c r="B52" i="40"/>
  <c r="F52" i="40" s="1"/>
  <c r="B56" i="40"/>
  <c r="F56" i="40" s="1"/>
  <c r="B60" i="40"/>
  <c r="F60" i="40" s="1"/>
  <c r="B57" i="40"/>
  <c r="F57" i="40" s="1"/>
  <c r="B51" i="40"/>
  <c r="F51" i="40" s="1"/>
  <c r="F61" i="40"/>
  <c r="B2" i="40" s="1"/>
  <c r="B3" i="40" s="1"/>
  <c r="D5" i="74" l="1"/>
  <c r="B51" i="72"/>
  <c r="F4" i="52"/>
  <c r="F119" i="9"/>
  <c r="F5" i="52"/>
  <c r="B53" i="72"/>
  <c r="M48" i="9"/>
  <c r="D54" i="9"/>
  <c r="C68" i="9"/>
  <c r="M54" i="9"/>
  <c r="C97" i="9"/>
  <c r="D58" i="9"/>
  <c r="D56" i="9"/>
  <c r="D9" i="52"/>
  <c r="D123" i="9"/>
  <c r="B31" i="72"/>
  <c r="D15" i="53"/>
  <c r="M55" i="9"/>
  <c r="C64" i="9"/>
  <c r="C63" i="9"/>
  <c r="C67" i="9"/>
  <c r="D59" i="9"/>
  <c r="H5" i="52"/>
  <c r="H119" i="9"/>
  <c r="C5" i="74"/>
  <c r="B52" i="72"/>
  <c r="F118" i="9"/>
  <c r="G118" i="9"/>
  <c r="G4" i="52"/>
  <c r="B22" i="72"/>
  <c r="D6" i="53"/>
  <c r="P57" i="9"/>
  <c r="N58" i="9"/>
  <c r="B30" i="72"/>
  <c r="N60" i="9"/>
  <c r="D55" i="9"/>
  <c r="M53" i="9"/>
  <c r="N57" i="9"/>
  <c r="N59" i="9"/>
  <c r="N61" i="9"/>
  <c r="B47" i="72"/>
  <c r="D4" i="52"/>
  <c r="H102" i="9"/>
  <c r="D7" i="53"/>
  <c r="B21" i="72"/>
  <c r="C105" i="9"/>
  <c r="I4" i="52"/>
  <c r="C80" i="9"/>
  <c r="E80" i="9"/>
  <c r="E81" i="9"/>
  <c r="C72" i="9"/>
  <c r="C79" i="9"/>
  <c r="C81" i="9"/>
  <c r="D13" i="53"/>
  <c r="D14" i="53"/>
  <c r="B32" i="72"/>
  <c r="C86" i="9"/>
  <c r="C93" i="9"/>
  <c r="E4" i="52"/>
  <c r="B48" i="72"/>
  <c r="C73" i="9"/>
  <c r="C78" i="9"/>
  <c r="D52" i="9"/>
  <c r="D53" i="9"/>
  <c r="D122" i="9"/>
  <c r="D8" i="52"/>
  <c r="H107" i="9"/>
  <c r="H108" i="9"/>
  <c r="C6" i="74"/>
  <c r="C104" i="9"/>
  <c r="H4" i="52"/>
  <c r="E118" i="9"/>
  <c r="D118" i="9"/>
  <c r="D119" i="9"/>
  <c r="D5" i="52"/>
  <c r="B49" i="72"/>
  <c r="D5" i="53"/>
  <c r="B20"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<sst xmlns="http://schemas.openxmlformats.org/spreadsheetml/2006/main" count="7878" uniqueCount="3441">
  <si>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</si>
  <si>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</si>
  <si>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</si>
  <si>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</si>
  <si>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</si>
  <si>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</si>
  <si>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</si>
  <si>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</si>
  <si>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</si>
  <si>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</si>
  <si>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</si>
  <si>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</si>
  <si>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</si>
  <si>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</si>
  <si>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</si>
  <si>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</si>
  <si>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</si>
  <si>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</si>
  <si>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</si>
  <si>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</si>
  <si>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</si>
  <si>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</si>
  <si>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</si>
  <si>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</si>
  <si>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</si>
  <si>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</si>
  <si>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</si>
  <si>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</si>
  <si>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</si>
  <si>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</si>
  <si>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</si>
  <si>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</si>
  <si>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</si>
  <si>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</si>
  <si>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</si>
  <si>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</si>
  <si>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</si>
  <si>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</si>
  <si>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</si>
  <si>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</si>
  <si>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</si>
  <si>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</si>
  <si>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</si>
  <si>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</si>
  <si>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</si>
  <si>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</si>
  <si>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</si>
  <si>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</si>
  <si>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</si>
  <si>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</si>
  <si>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</si>
  <si>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</si>
  <si>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</si>
  <si>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</si>
  <si>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</si>
  <si>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</si>
  <si>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</si>
  <si>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</si>
  <si>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</si>
  <si>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</si>
  <si>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</si>
  <si>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</si>
  <si>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</si>
  <si>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</si>
  <si>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</si>
  <si>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</si>
  <si>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</si>
  <si>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</si>
  <si>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</si>
  <si>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</si>
  <si>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</si>
  <si>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</si>
  <si>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</si>
  <si>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</si>
  <si>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</si>
  <si>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</si>
  <si>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</si>
  <si>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</si>
  <si>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</si>
  <si>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</si>
  <si>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</si>
  <si>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</si>
  <si>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</si>
  <si>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</si>
  <si>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</si>
  <si>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</si>
  <si>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</si>
  <si>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</si>
  <si>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</si>
  <si>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</si>
  <si>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</si>
  <si>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</si>
  <si>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</si>
  <si>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</si>
  <si>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</si>
  <si>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</si>
  <si>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</si>
  <si>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</si>
  <si>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</si>
  <si>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</si>
  <si>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</si>
  <si>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</si>
  <si>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</si>
  <si>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</si>
  <si>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</si>
  <si>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</si>
  <si>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</si>
  <si>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</si>
  <si>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</si>
  <si>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</si>
  <si>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</si>
  <si>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</si>
  <si>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</si>
  <si>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</si>
  <si>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</si>
  <si>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</si>
  <si>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</si>
  <si>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</si>
  <si>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</si>
  <si>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</si>
  <si>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</si>
  <si>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</si>
  <si>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</si>
  <si>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</si>
  <si>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</si>
  <si>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</si>
  <si>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</si>
  <si>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</si>
  <si>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</si>
  <si>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</si>
  <si>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</si>
  <si>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</si>
  <si>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</si>
  <si>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</si>
  <si>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</si>
  <si>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</si>
  <si>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</si>
  <si>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</si>
  <si>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</si>
  <si>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</si>
  <si>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</si>
  <si>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</si>
  <si>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</si>
  <si>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</si>
  <si>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</si>
  <si>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</si>
  <si>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</si>
  <si>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</si>
  <si>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</si>
  <si>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</si>
  <si>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</si>
  <si>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</si>
  <si>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</si>
  <si>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</si>
  <si>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</si>
  <si>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</si>
  <si>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</si>
  <si>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</si>
  <si>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</si>
  <si>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</si>
  <si>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</si>
  <si>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</si>
  <si>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</si>
  <si>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</si>
  <si>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</si>
  <si>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</si>
  <si>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</si>
  <si>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</si>
  <si>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</si>
  <si>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</si>
  <si>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</si>
  <si>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</si>
  <si>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</si>
  <si>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</si>
  <si>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</si>
  <si>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</si>
  <si>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</si>
  <si>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</si>
  <si>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</si>
  <si>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</si>
  <si>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</si>
  <si>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</si>
  <si>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</si>
  <si>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</si>
  <si>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</si>
  <si>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</si>
  <si>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</si>
  <si>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</si>
  <si>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</si>
  <si>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</si>
  <si>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</si>
  <si>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</si>
  <si>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</si>
  <si>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</si>
  <si>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</si>
  <si>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</si>
  <si>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</si>
  <si>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</si>
  <si>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</si>
  <si>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</si>
  <si>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</si>
  <si>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</si>
  <si>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</si>
  <si>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</si>
  <si>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</si>
  <si>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</si>
  <si>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</si>
  <si>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</si>
  <si>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</si>
  <si>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</si>
  <si>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</si>
  <si>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</si>
  <si>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</si>
  <si>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</si>
  <si>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</si>
  <si>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</si>
  <si>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</si>
  <si>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</si>
  <si>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</si>
  <si>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</si>
  <si>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</si>
  <si>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</si>
  <si>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</si>
  <si>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</si>
  <si>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</si>
  <si>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</si>
  <si>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</si>
  <si>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</si>
  <si>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</si>
  <si>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</si>
  <si>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</si>
  <si>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</si>
  <si>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</si>
  <si>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</si>
  <si>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</si>
  <si>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</si>
  <si>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</si>
  <si>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</si>
  <si>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</si>
  <si>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</si>
  <si>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</si>
  <si>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</si>
  <si>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</si>
  <si>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</si>
  <si>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</si>
  <si>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</si>
  <si>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</si>
  <si>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</si>
  <si>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</si>
  <si>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</si>
  <si>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</si>
  <si>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</si>
  <si>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</si>
  <si>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</si>
  <si>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</si>
  <si>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</si>
  <si>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</si>
  <si>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</si>
  <si>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</si>
  <si>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</si>
  <si>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</si>
  <si>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</si>
  <si>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</si>
  <si>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</si>
  <si>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</si>
  <si>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</si>
  <si>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</si>
  <si>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</si>
  <si>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</si>
  <si>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</si>
  <si>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</si>
  <si>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</si>
  <si>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</si>
  <si>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</si>
  <si>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</si>
  <si>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</si>
  <si>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</si>
  <si>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</si>
  <si>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</si>
  <si>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</si>
  <si>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</si>
  <si>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</si>
  <si>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</si>
  <si>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</si>
  <si>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</si>
  <si>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</si>
  <si>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</si>
  <si>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</si>
  <si>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</si>
  <si>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</si>
  <si>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</si>
  <si>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</si>
  <si>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</si>
  <si>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</si>
  <si>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</si>
  <si>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</si>
  <si>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</si>
  <si>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</si>
  <si>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</si>
  <si>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</si>
  <si>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</si>
  <si>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</si>
  <si>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</si>
  <si>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</si>
  <si>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</si>
  <si>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</si>
  <si>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</si>
  <si>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</si>
  <si>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</si>
  <si>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</si>
  <si>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</si>
  <si>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</si>
  <si>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</si>
  <si>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</si>
  <si>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</si>
  <si>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</si>
  <si>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</si>
  <si>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</si>
  <si>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</si>
  <si>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</si>
  <si>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</si>
  <si>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</si>
  <si>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</si>
  <si>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</si>
  <si>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</si>
  <si>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</si>
  <si>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</si>
  <si>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</si>
  <si>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</si>
  <si>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</si>
  <si>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</si>
  <si>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</si>
  <si>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</si>
  <si>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</si>
  <si>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</si>
  <si>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</si>
  <si>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</si>
  <si>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</si>
  <si>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</si>
  <si>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</si>
  <si>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</si>
  <si>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</si>
  <si>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</si>
  <si>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</si>
  <si>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</si>
  <si>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</si>
  <si>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</si>
  <si>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</si>
  <si>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</si>
  <si>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</si>
  <si>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</si>
  <si>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</si>
  <si>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</si>
  <si>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</si>
  <si>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</si>
  <si>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</si>
  <si>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</si>
  <si>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</si>
  <si>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</si>
  <si>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</si>
  <si>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</si>
  <si>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</si>
  <si>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</si>
  <si>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</si>
  <si>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</si>
  <si>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</si>
  <si>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</si>
  <si>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</si>
  <si>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</si>
  <si>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</si>
  <si>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</si>
  <si>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</si>
  <si>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</si>
  <si>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</si>
  <si>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</si>
  <si>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</si>
  <si>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</si>
  <si>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</si>
  <si>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</si>
  <si>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</si>
  <si>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</si>
  <si>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</si>
  <si>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</si>
  <si>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</si>
  <si>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</si>
  <si>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</si>
  <si>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</si>
  <si>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</si>
  <si>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</si>
  <si>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</si>
  <si>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</si>
  <si>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</si>
  <si>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</si>
  <si>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</si>
  <si>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</si>
  <si>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</si>
  <si>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</si>
  <si>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</si>
  <si>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</si>
  <si>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</si>
  <si>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</si>
  <si>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</si>
  <si>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</si>
  <si>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</si>
  <si>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</si>
  <si>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</si>
  <si>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</si>
  <si>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</si>
  <si>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</si>
  <si>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</si>
  <si>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</si>
  <si>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</si>
  <si>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</si>
  <si>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</si>
  <si>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</si>
  <si>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</si>
  <si>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</si>
  <si>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</si>
  <si>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</si>
  <si>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</si>
  <si>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</si>
  <si>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</si>
  <si>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</si>
  <si>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</si>
  <si>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</si>
  <si>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</si>
  <si>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</si>
  <si>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</si>
  <si>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</si>
  <si>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</si>
  <si>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</si>
  <si>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</si>
  <si>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</si>
  <si>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</si>
  <si>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</si>
  <si>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</si>
  <si>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</si>
  <si>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</si>
  <si>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</si>
  <si>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</si>
  <si>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</si>
  <si>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</si>
  <si>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</si>
  <si>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</si>
  <si>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</si>
  <si>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</si>
  <si>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</si>
  <si>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</si>
  <si>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</si>
  <si>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</si>
  <si>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</si>
  <si>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</si>
  <si>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</si>
  <si>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</si>
  <si>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</si>
  <si>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</si>
  <si>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</si>
  <si>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</si>
  <si>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</si>
  <si>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</si>
  <si>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</si>
  <si>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</si>
  <si>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</si>
  <si>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</si>
  <si>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</si>
  <si>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</si>
  <si>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</si>
  <si>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</si>
  <si>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</si>
  <si>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</si>
  <si>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</si>
  <si>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</si>
  <si>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</si>
  <si>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</si>
  <si>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</si>
  <si>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</si>
  <si>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</si>
  <si>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</si>
  <si>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</si>
  <si>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</si>
  <si>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</si>
  <si>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</si>
  <si>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</si>
  <si>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</si>
  <si>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</si>
  <si>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</si>
  <si>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</si>
  <si>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</si>
  <si>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</si>
  <si>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</si>
  <si>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</si>
  <si>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</si>
  <si>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</si>
  <si>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</si>
  <si>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</si>
  <si>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</si>
  <si>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</si>
  <si>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</si>
  <si>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</si>
  <si>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</si>
  <si>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</si>
  <si>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</si>
  <si>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</si>
  <si>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</si>
  <si>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</si>
  <si>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</si>
  <si>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</si>
  <si>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</si>
  <si>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</si>
  <si>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</si>
  <si>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</si>
  <si>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</si>
  <si>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</si>
  <si>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</si>
  <si>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</si>
  <si>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</si>
  <si>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</si>
  <si>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</si>
  <si>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</si>
  <si>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</si>
  <si>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</si>
  <si>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</si>
  <si>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</si>
  <si>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</si>
  <si>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</si>
  <si>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</si>
  <si>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</si>
  <si>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</si>
  <si>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</si>
  <si>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</si>
  <si>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</si>
  <si>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</si>
  <si>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</si>
  <si>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</si>
  <si>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</si>
  <si>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</si>
  <si>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</si>
  <si>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</si>
  <si>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</si>
  <si>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</si>
  <si>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</si>
  <si>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</si>
  <si>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</si>
  <si>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</si>
  <si>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</si>
  <si>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</si>
  <si>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</si>
  <si>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</si>
  <si>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</si>
  <si>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</si>
  <si>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</si>
  <si>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</si>
  <si>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</si>
  <si>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</si>
  <si>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</si>
  <si>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</si>
  <si>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</si>
  <si>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</si>
  <si>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</si>
  <si>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</si>
  <si>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</si>
  <si>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</si>
  <si>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</si>
  <si>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</si>
  <si>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</si>
  <si>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</si>
  <si>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</si>
  <si>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</si>
  <si>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</si>
  <si>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</si>
  <si>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</si>
  <si>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</si>
  <si>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</si>
  <si>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</si>
  <si>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</si>
  <si>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</si>
  <si>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</si>
  <si>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</si>
  <si>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</si>
  <si>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</si>
  <si>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</si>
  <si>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</si>
  <si>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</si>
  <si>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</si>
  <si>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</si>
  <si>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</si>
  <si>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</si>
  <si>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</si>
  <si>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</si>
  <si>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</si>
  <si>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</si>
  <si>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</si>
  <si>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</si>
  <si>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</si>
  <si>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</si>
  <si>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</si>
  <si>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</si>
  <si>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</si>
  <si>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</si>
  <si>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</si>
  <si>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</si>
  <si>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</si>
  <si>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</si>
  <si>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</si>
  <si>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</si>
  <si>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</si>
  <si>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</si>
  <si>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</si>
  <si>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</si>
  <si>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</si>
  <si>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</si>
  <si>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</si>
  <si>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</si>
  <si>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</si>
  <si>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</si>
  <si>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</si>
  <si>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</si>
  <si>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</si>
  <si>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</si>
  <si>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</si>
  <si>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</si>
  <si>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</si>
  <si>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</si>
  <si>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</si>
  <si>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</si>
  <si>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</si>
  <si>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</si>
  <si>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</si>
  <si>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</si>
  <si>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</si>
  <si>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</si>
  <si>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</si>
  <si>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</si>
  <si>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</si>
  <si>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</si>
  <si>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</si>
  <si>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</si>
  <si>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</si>
  <si>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</si>
  <si>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</si>
  <si>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</si>
  <si>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</si>
  <si>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</si>
  <si>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</si>
  <si>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</si>
  <si>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</si>
  <si>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</si>
  <si>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</si>
  <si>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</si>
  <si>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</si>
  <si>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</si>
  <si>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</si>
  <si>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</si>
  <si>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</si>
  <si>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</si>
  <si>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</si>
  <si>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</si>
  <si>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</si>
  <si>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</si>
  <si>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</si>
  <si>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</si>
  <si>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</si>
  <si>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</si>
  <si>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</si>
  <si>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</si>
  <si>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</si>
  <si>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</si>
  <si>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</si>
  <si>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</si>
  <si>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</si>
  <si>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</si>
  <si>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</si>
  <si>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</si>
  <si>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</si>
  <si>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</si>
  <si>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</si>
  <si>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</si>
  <si>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</si>
  <si>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</si>
  <si>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</si>
  <si>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</si>
  <si>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</si>
  <si>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</si>
  <si>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</si>
  <si>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</si>
  <si>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</si>
  <si>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</si>
  <si>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</si>
  <si>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</si>
  <si>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</si>
  <si>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</si>
  <si>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</si>
  <si>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</si>
  <si>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</si>
  <si>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</si>
  <si>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</si>
  <si>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</si>
  <si>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</si>
  <si>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</si>
  <si>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</si>
  <si>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</si>
  <si>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</si>
  <si>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</si>
  <si>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</si>
  <si>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</si>
  <si>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</si>
  <si>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</si>
  <si>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</si>
  <si>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</si>
  <si>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</si>
  <si>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</si>
  <si>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</si>
  <si>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</si>
  <si>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</si>
  <si>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</si>
  <si>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</si>
  <si>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</si>
  <si>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</si>
  <si>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</si>
  <si>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</si>
  <si>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</si>
  <si>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</si>
  <si>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</si>
  <si>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</si>
  <si>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</si>
  <si>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</si>
  <si>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</si>
  <si>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</si>
  <si>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</si>
  <si>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</si>
  <si>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</si>
  <si>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</si>
  <si>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</si>
  <si>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</si>
  <si>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</si>
  <si>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</si>
  <si>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</si>
  <si>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</si>
  <si>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</si>
  <si>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</si>
  <si>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</si>
  <si>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</si>
  <si>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</si>
  <si>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</si>
  <si>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</si>
  <si>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</si>
  <si>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</si>
  <si>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</si>
  <si>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</si>
  <si>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</si>
  <si>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</si>
  <si>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</si>
  <si>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</si>
  <si>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</si>
  <si>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</si>
  <si>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</si>
  <si>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</si>
  <si>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</si>
  <si>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</si>
  <si>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</si>
  <si>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</si>
  <si>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</si>
  <si>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</si>
  <si>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</si>
  <si>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</si>
  <si>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</si>
  <si>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</si>
  <si>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</si>
  <si>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</si>
  <si>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</si>
  <si>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</si>
  <si>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</si>
  <si>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</si>
  <si>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</si>
  <si>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</si>
  <si>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</si>
  <si>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</si>
  <si>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</si>
  <si>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</si>
  <si>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</si>
  <si>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</si>
  <si>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</si>
  <si>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</si>
  <si>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</si>
  <si>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</si>
  <si>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</si>
  <si>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</si>
  <si>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</si>
  <si>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</si>
  <si>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</si>
  <si>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</si>
  <si>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</si>
  <si>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</si>
  <si>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</si>
  <si>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</si>
  <si>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</si>
  <si>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</si>
  <si>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</si>
  <si>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</si>
  <si>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</si>
  <si>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</si>
  <si>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</si>
  <si>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</si>
  <si>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</si>
  <si>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</si>
  <si>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</si>
  <si>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</si>
  <si>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</si>
  <si>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</si>
  <si>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</si>
  <si>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</si>
  <si>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</si>
  <si>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</si>
  <si>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</si>
  <si>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</si>
  <si>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</si>
  <si>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</si>
  <si>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</si>
  <si>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</si>
  <si>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</si>
  <si>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</si>
  <si>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</si>
  <si>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</si>
  <si>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</si>
  <si>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</si>
  <si>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</si>
  <si>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</si>
  <si>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</si>
  <si>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</si>
  <si>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</si>
  <si>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</si>
  <si>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</si>
  <si>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</si>
  <si>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</si>
  <si>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</si>
  <si>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</si>
  <si>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</si>
  <si>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</si>
  <si>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</si>
  <si>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</si>
  <si>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</si>
  <si>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</si>
  <si>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</si>
  <si>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</si>
  <si>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</si>
  <si>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</si>
  <si>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</si>
  <si>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</si>
  <si>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</si>
  <si>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</si>
  <si>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</si>
  <si>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</si>
  <si>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</si>
  <si>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</si>
  <si>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</si>
  <si>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</si>
  <si>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</si>
  <si>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</si>
  <si>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</si>
  <si>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</si>
  <si>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</si>
  <si>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</si>
  <si>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</si>
  <si>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</si>
  <si>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</si>
  <si>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</si>
  <si>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</si>
  <si>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</si>
  <si>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</si>
  <si>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</si>
  <si>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</si>
  <si>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</si>
  <si>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</si>
  <si>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</si>
  <si>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</si>
  <si>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</si>
  <si>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</si>
  <si>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</si>
  <si>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</si>
  <si>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</si>
  <si>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</si>
  <si>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</si>
  <si>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</si>
  <si>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</si>
  <si>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</si>
  <si>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</si>
  <si>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</si>
  <si>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</si>
  <si>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</si>
  <si>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</si>
  <si>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</si>
  <si>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</si>
  <si>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</si>
  <si>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</si>
  <si>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</si>
  <si>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</si>
  <si>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</si>
  <si>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</si>
  <si>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</si>
  <si>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</si>
  <si>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</si>
  <si>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</si>
  <si>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</si>
  <si>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</si>
  <si>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</si>
  <si>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</si>
  <si>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</si>
  <si>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</si>
  <si>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</si>
  <si>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</si>
  <si>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</si>
  <si>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</si>
  <si>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</si>
  <si>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</si>
  <si>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</si>
  <si>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</si>
  <si>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</si>
  <si>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</si>
  <si>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</si>
  <si>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</si>
  <si>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</si>
  <si>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</si>
  <si>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</si>
  <si>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</si>
  <si>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</si>
  <si>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</si>
  <si>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</si>
  <si>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</si>
  <si>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</si>
  <si>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</si>
  <si>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</si>
  <si>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</si>
  <si>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</si>
  <si>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</si>
  <si>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</si>
  <si>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</si>
  <si>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</si>
  <si>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</si>
  <si>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</si>
  <si>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</si>
  <si>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</si>
  <si>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</si>
  <si>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</si>
  <si>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</si>
  <si>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</si>
  <si>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</si>
  <si>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</si>
  <si>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</si>
  <si>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</si>
  <si>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</si>
  <si>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</si>
  <si>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</si>
  <si>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</si>
  <si>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</si>
  <si>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</si>
  <si>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</si>
  <si>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</si>
  <si>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</si>
  <si>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</si>
  <si>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</si>
  <si>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</si>
  <si>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</si>
  <si>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</si>
  <si>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</si>
  <si>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</si>
  <si>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</si>
  <si>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</si>
  <si>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</si>
  <si>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</si>
  <si>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</si>
  <si>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</si>
  <si>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</si>
  <si>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</si>
  <si>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</si>
  <si>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</si>
  <si>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</si>
  <si>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</si>
  <si>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</si>
  <si>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</si>
  <si>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</si>
  <si>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</si>
  <si>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</si>
  <si>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</si>
  <si>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</si>
  <si>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</si>
  <si>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</si>
  <si>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</si>
  <si>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</si>
  <si>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</si>
  <si>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</si>
  <si>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</si>
  <si>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</si>
  <si>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</si>
  <si>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</si>
  <si>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</si>
  <si>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</si>
  <si>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</si>
  <si>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</si>
  <si>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</si>
  <si>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</si>
  <si>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</si>
  <si>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</si>
  <si>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</si>
  <si>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</si>
  <si>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</si>
  <si>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</si>
  <si>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</si>
  <si>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</si>
  <si>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</si>
  <si>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</si>
  <si>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</si>
  <si>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</si>
  <si>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</si>
  <si>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</si>
  <si>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</si>
  <si>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</si>
  <si>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</si>
  <si>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</si>
  <si>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</si>
  <si>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</si>
  <si>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</si>
  <si>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</si>
  <si>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</si>
  <si>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</si>
  <si>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</si>
  <si>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</si>
  <si>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</si>
  <si>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</si>
  <si>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</si>
  <si>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</si>
  <si>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</si>
  <si>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</si>
  <si>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</si>
  <si>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</si>
  <si>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</si>
  <si>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</si>
  <si>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</si>
  <si>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</si>
  <si>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</si>
  <si>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</si>
  <si>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</si>
  <si>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</si>
  <si>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</si>
  <si>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</si>
  <si>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</si>
  <si>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</si>
  <si>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</si>
  <si>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</si>
  <si>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</si>
  <si>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</si>
  <si>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</si>
  <si>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</si>
  <si>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</si>
  <si>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</si>
  <si>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</si>
  <si>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</si>
  <si>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</si>
  <si>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</si>
  <si>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</si>
  <si>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</si>
  <si>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</si>
  <si>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</si>
  <si>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</si>
  <si>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</si>
  <si>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</si>
  <si>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</si>
  <si>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</si>
  <si>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</si>
  <si>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</si>
  <si>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</si>
  <si>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</si>
  <si>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</si>
  <si>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</si>
  <si>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</si>
  <si>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</si>
  <si>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</si>
  <si>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</si>
  <si>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</si>
  <si>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</si>
  <si>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</si>
  <si>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</si>
  <si>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</si>
  <si>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</si>
  <si>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</si>
  <si>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</si>
  <si>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</si>
  <si>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</si>
  <si>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</si>
  <si>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</si>
  <si>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</si>
  <si>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</si>
  <si>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</si>
  <si>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</si>
  <si>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</si>
  <si>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</si>
  <si>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</si>
  <si>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</si>
  <si>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</si>
  <si>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</si>
  <si>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</si>
  <si>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</si>
  <si>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</si>
  <si>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</si>
  <si>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</si>
  <si>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</si>
  <si>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</si>
  <si>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</si>
  <si>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</si>
  <si>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</si>
  <si>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</si>
  <si>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</si>
  <si>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</si>
  <si>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</si>
  <si>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</si>
  <si>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</si>
  <si>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</si>
  <si>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</si>
  <si>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</si>
  <si>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</si>
  <si>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</si>
  <si>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</si>
  <si>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</si>
  <si>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</si>
  <si>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</si>
  <si>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</si>
  <si>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</si>
  <si>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</si>
  <si>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</si>
  <si>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</si>
  <si>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</si>
  <si>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</si>
  <si>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</si>
  <si>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</si>
  <si>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</si>
  <si>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</si>
  <si>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</si>
  <si>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</si>
  <si>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</si>
  <si>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</si>
  <si>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</si>
  <si>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</si>
  <si>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</si>
  <si>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</si>
  <si>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</si>
  <si>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</si>
  <si>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</si>
  <si>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</si>
  <si>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</si>
  <si>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</si>
  <si>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</si>
  <si>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</si>
  <si>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</si>
  <si>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</si>
  <si>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</si>
  <si>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</si>
  <si>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</si>
  <si>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</si>
  <si>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</si>
  <si>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</si>
  <si>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</si>
  <si>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</si>
  <si>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</si>
  <si>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</si>
  <si>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</si>
  <si>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</si>
  <si>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</si>
  <si>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</si>
  <si>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</si>
  <si>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</si>
  <si>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</si>
  <si>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</si>
  <si>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</si>
  <si>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</si>
  <si>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</si>
  <si>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</si>
  <si>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</si>
  <si>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</si>
  <si>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</si>
  <si>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</si>
  <si>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</si>
  <si>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</si>
  <si>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</si>
  <si>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</si>
  <si>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</si>
  <si>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</si>
  <si>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</si>
  <si>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</si>
  <si>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</si>
  <si>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</si>
  <si>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</si>
  <si>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</si>
  <si>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</si>
  <si>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</si>
  <si>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</si>
  <si>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</si>
  <si>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</si>
  <si>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</si>
  <si>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</si>
  <si>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</si>
  <si>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</si>
  <si>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</si>
  <si>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</si>
  <si>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</si>
  <si>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</si>
  <si>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</si>
  <si>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</si>
  <si>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</si>
  <si>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</si>
  <si>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</si>
  <si>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</si>
  <si>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</si>
  <si>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</si>
  <si>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</si>
  <si>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</si>
  <si>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</si>
  <si>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</si>
  <si>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</si>
  <si>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</si>
  <si>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</si>
  <si>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</si>
  <si>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</si>
  <si>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</si>
  <si>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</si>
  <si>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</si>
  <si>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</si>
  <si>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</si>
  <si>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</si>
  <si>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</si>
  <si>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</si>
  <si>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</si>
  <si>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</si>
  <si>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</si>
  <si>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</si>
  <si>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</si>
  <si>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</si>
  <si>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</si>
  <si>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</si>
  <si>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</si>
  <si>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</si>
  <si>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</si>
  <si>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</si>
  <si>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</si>
  <si>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</si>
  <si>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</si>
  <si>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</si>
  <si>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</si>
  <si>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</si>
  <si>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</si>
  <si>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</si>
  <si>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</si>
  <si>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</si>
  <si>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</si>
  <si>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</si>
  <si>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</si>
  <si>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</si>
  <si>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</si>
  <si>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</si>
  <si>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</si>
  <si>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</si>
  <si>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</si>
  <si>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</si>
  <si>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</si>
  <si>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</si>
  <si>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</si>
  <si>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</si>
  <si>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</si>
  <si>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</si>
  <si>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</si>
  <si>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</si>
  <si>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</si>
  <si>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</si>
  <si>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</si>
  <si>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</si>
  <si>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</si>
  <si>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</si>
  <si>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</si>
  <si>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</si>
  <si>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</si>
  <si>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</si>
  <si>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</si>
  <si>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</si>
  <si>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</si>
  <si>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</si>
  <si>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</si>
  <si>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</si>
  <si>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</si>
  <si>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</si>
  <si>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</si>
  <si>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</si>
  <si>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</si>
  <si>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</si>
  <si>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</si>
  <si>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</si>
  <si>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</si>
  <si>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</si>
  <si>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</si>
  <si>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</si>
  <si>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</si>
  <si>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</si>
  <si>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</si>
  <si>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</si>
  <si>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</si>
  <si>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</si>
  <si>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</si>
  <si>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</si>
  <si>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</si>
  <si>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</si>
  <si>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</si>
  <si>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</si>
  <si>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</si>
  <si>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</si>
  <si>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</si>
  <si>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</si>
  <si>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</si>
  <si>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</si>
  <si>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</si>
  <si>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</si>
  <si>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</si>
  <si>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</si>
  <si>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</si>
  <si>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</si>
  <si>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</si>
  <si>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</si>
  <si>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</si>
  <si>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</si>
  <si>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</si>
  <si>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</si>
  <si>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</si>
  <si>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</si>
  <si>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</si>
  <si>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</si>
  <si>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</si>
  <si>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</si>
  <si>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</si>
  <si>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</si>
  <si>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</si>
  <si>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</si>
  <si>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</si>
  <si>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</si>
  <si>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</si>
  <si>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</si>
  <si>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</si>
  <si>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</si>
  <si>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</si>
  <si>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</si>
  <si>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</si>
  <si>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</si>
  <si>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</si>
  <si>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</si>
  <si>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</si>
  <si>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</si>
  <si>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</si>
  <si>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</si>
  <si>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</si>
  <si>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</si>
  <si>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</si>
  <si>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</si>
  <si>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</si>
  <si>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</si>
  <si>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</si>
  <si>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</si>
  <si>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</si>
  <si>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</si>
  <si>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</si>
  <si>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</si>
  <si>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</si>
  <si>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</si>
  <si>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</si>
  <si>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</si>
  <si>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</si>
  <si>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</si>
  <si>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</si>
  <si>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</si>
  <si>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</si>
  <si>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</si>
  <si>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</si>
  <si>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</si>
  <si>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</si>
  <si>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</si>
  <si>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</si>
  <si>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</si>
  <si>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</si>
  <si>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</si>
  <si>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</si>
  <si>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</si>
  <si>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</si>
  <si>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</si>
  <si>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</si>
  <si>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</si>
  <si>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</si>
  <si>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</si>
  <si>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</si>
  <si>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</si>
  <si>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</si>
  <si>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</si>
  <si>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</si>
  <si>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</si>
  <si>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</si>
  <si>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</si>
  <si>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</si>
  <si>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</si>
  <si>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</si>
  <si>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</si>
  <si>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</si>
  <si>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</si>
  <si>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</si>
  <si>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</si>
  <si>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</si>
  <si>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</si>
  <si>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</si>
  <si>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</si>
  <si>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</si>
  <si>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</si>
  <si>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</si>
  <si>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</si>
  <si>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</si>
  <si>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</si>
  <si>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</si>
  <si>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</si>
  <si>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</si>
  <si>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</si>
  <si>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</si>
  <si>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</si>
  <si>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</si>
  <si>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</si>
  <si>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</si>
  <si>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</si>
  <si>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</si>
  <si>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</si>
  <si>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</si>
  <si>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</si>
  <si>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</si>
  <si>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</si>
  <si>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</si>
  <si>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</si>
  <si>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</si>
  <si>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</si>
  <si>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</si>
  <si>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</si>
  <si>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</si>
  <si>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</si>
  <si>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</si>
  <si>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</si>
  <si>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</si>
  <si>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</si>
  <si>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</si>
  <si>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</si>
  <si>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</si>
  <si>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</si>
  <si>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</si>
  <si>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</si>
  <si>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</si>
  <si>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</si>
  <si>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</si>
  <si>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</si>
  <si>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</si>
  <si>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</si>
  <si>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</si>
  <si>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</si>
  <si>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</si>
  <si>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</si>
  <si>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</si>
  <si>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</si>
  <si>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</si>
  <si>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</si>
  <si>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</si>
  <si>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</si>
  <si>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</si>
  <si>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</si>
  <si>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</si>
  <si>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</si>
  <si>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</si>
  <si>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</si>
  <si>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</si>
  <si>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</si>
  <si>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</si>
  <si>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</si>
  <si>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</si>
  <si>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</si>
  <si>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</si>
  <si>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</si>
  <si>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</si>
  <si>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</si>
  <si>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</si>
  <si>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</si>
  <si>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</si>
  <si>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</si>
  <si>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</si>
  <si>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</si>
  <si>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</si>
  <si>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</si>
  <si>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</si>
  <si>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</si>
  <si>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</si>
  <si>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</si>
  <si>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</si>
  <si>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</si>
  <si>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</si>
  <si>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</si>
  <si>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</si>
  <si>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</si>
  <si>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</si>
  <si>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</si>
  <si>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</si>
  <si>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</si>
  <si>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</si>
  <si>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</si>
  <si>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</si>
  <si>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</si>
  <si>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</si>
  <si>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</si>
  <si>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</si>
  <si>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</si>
  <si>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</si>
  <si>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</si>
  <si>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</si>
  <si>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</si>
  <si>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</si>
  <si>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</si>
  <si>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</si>
  <si>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</si>
  <si>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</si>
  <si>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</si>
  <si>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</si>
  <si>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</si>
  <si>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</si>
  <si>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</si>
  <si>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</si>
  <si>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</si>
  <si>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</si>
  <si>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</si>
  <si>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</si>
  <si>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</si>
  <si>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</si>
  <si>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</si>
  <si>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</si>
  <si>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</si>
  <si>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</si>
  <si>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</si>
  <si>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</si>
  <si>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</si>
  <si>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</si>
  <si>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</si>
  <si>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</si>
  <si>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</si>
  <si>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</si>
  <si>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</si>
  <si>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</si>
  <si>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</si>
  <si>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</si>
  <si>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</si>
  <si>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</si>
  <si>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</si>
  <si>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</si>
  <si>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</si>
  <si>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</si>
  <si>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</si>
  <si>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</si>
  <si>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</si>
  <si>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</si>
  <si>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</si>
  <si>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</si>
  <si>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</si>
  <si>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</si>
  <si>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</si>
  <si>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</si>
  <si>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</si>
  <si>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</si>
  <si>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</si>
  <si>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</si>
  <si>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</si>
  <si>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</si>
  <si>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</si>
  <si>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</si>
  <si>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</si>
  <si>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</si>
  <si>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</si>
  <si>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</si>
  <si>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</si>
  <si>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</si>
  <si>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</si>
  <si>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</si>
  <si>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</si>
  <si>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</si>
  <si>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</si>
  <si>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</si>
  <si>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</si>
  <si>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</si>
  <si>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</si>
  <si>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</si>
  <si>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</si>
  <si>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</si>
  <si>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</si>
  <si>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</si>
  <si>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</si>
  <si>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</si>
  <si>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</si>
  <si>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</si>
  <si>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</si>
  <si>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</si>
  <si>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</si>
  <si>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</si>
  <si>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</si>
  <si>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</si>
  <si>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</si>
  <si>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</si>
  <si>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</si>
  <si>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</si>
  <si>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</si>
  <si>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</si>
  <si>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</si>
  <si>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</si>
  <si>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</si>
  <si>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</si>
  <si>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</si>
  <si>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</si>
  <si>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</si>
  <si>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</si>
  <si>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</si>
  <si>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</si>
  <si>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</si>
  <si>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</si>
  <si>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</si>
  <si>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</si>
  <si>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</si>
  <si>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</si>
  <si>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</si>
  <si>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</si>
  <si>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</si>
  <si>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</si>
  <si>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</si>
  <si>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</si>
  <si>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</si>
  <si>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</si>
  <si>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</si>
  <si>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</si>
  <si>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</si>
  <si>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</si>
  <si>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</si>
  <si>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</si>
  <si>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</si>
  <si>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</si>
  <si>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</si>
  <si>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</si>
  <si>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</si>
  <si>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</si>
  <si>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</si>
  <si>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</si>
  <si>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</si>
  <si>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</si>
  <si>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</si>
  <si>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</si>
  <si>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</si>
  <si>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</si>
  <si>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</si>
  <si>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</si>
  <si>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</si>
  <si>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</si>
  <si>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</si>
  <si>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</si>
  <si>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</si>
  <si>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</si>
  <si>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</si>
  <si>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</si>
  <si>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</si>
  <si>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</si>
  <si>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</si>
  <si>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</si>
  <si>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</si>
  <si>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</si>
  <si>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</si>
  <si>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</si>
  <si>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</si>
  <si>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</si>
  <si>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</si>
  <si>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</si>
  <si>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</si>
  <si>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</si>
  <si>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</si>
  <si>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</si>
  <si>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</si>
  <si>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</si>
  <si>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</si>
  <si>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</si>
  <si>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</si>
  <si>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</si>
  <si>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</si>
  <si>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</si>
  <si>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</si>
  <si>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</si>
  <si>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</si>
  <si>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</si>
  <si>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</si>
  <si>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</si>
  <si>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</si>
  <si>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</si>
  <si>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</si>
  <si>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</si>
  <si>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</si>
  <si>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</si>
  <si>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</si>
  <si>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</si>
  <si>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</si>
  <si>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</si>
  <si>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</si>
  <si>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</si>
  <si>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</si>
  <si>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</si>
  <si>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</si>
  <si>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</si>
  <si>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</si>
  <si>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</si>
  <si>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</si>
  <si>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</si>
  <si>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</si>
  <si>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</si>
  <si>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</si>
  <si>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</si>
  <si>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</si>
  <si>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</si>
  <si>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</si>
  <si>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</si>
  <si>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</si>
  <si>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</si>
  <si>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</si>
  <si>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</si>
  <si>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</si>
  <si>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</si>
  <si>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</si>
  <si>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</si>
  <si>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</si>
  <si>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</si>
  <si>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</si>
  <si>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</si>
  <si>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</si>
  <si>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</si>
  <si>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</si>
  <si>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</si>
  <si>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</si>
  <si>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</si>
  <si>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</si>
  <si>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</si>
  <si>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</si>
  <si>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</si>
  <si>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</si>
  <si>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</si>
  <si>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</si>
  <si>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</si>
  <si>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</si>
  <si>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</si>
  <si>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</si>
  <si>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</si>
  <si>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</si>
  <si>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</si>
  <si>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</si>
  <si>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</si>
  <si>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</si>
  <si>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</si>
  <si>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</si>
  <si>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</si>
  <si>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</si>
  <si>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</si>
  <si>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</si>
  <si>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</si>
  <si>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</si>
  <si>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</si>
  <si>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</si>
  <si>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</si>
  <si>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</si>
  <si>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</si>
  <si>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</si>
  <si>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</si>
  <si>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</si>
  <si>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</si>
  <si>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</si>
  <si>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</si>
  <si>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</si>
  <si>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</si>
  <si>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</si>
  <si>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</si>
  <si>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</si>
  <si>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</si>
  <si>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</si>
  <si>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</si>
  <si>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</si>
  <si>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</si>
  <si>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</si>
  <si>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</si>
  <si>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</si>
  <si>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</si>
  <si>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</si>
  <si>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</si>
  <si>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</si>
  <si>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</si>
  <si>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</si>
  <si>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</si>
  <si>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</si>
  <si>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</si>
  <si>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</si>
  <si>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</si>
  <si>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</si>
  <si>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</si>
  <si>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</si>
  <si>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</si>
  <si>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</si>
  <si>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</si>
  <si>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</si>
  <si>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</si>
  <si>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</si>
  <si>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</si>
  <si>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</si>
  <si>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</si>
  <si>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</si>
  <si>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</si>
  <si>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</si>
  <si>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</si>
  <si>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</si>
  <si>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</si>
  <si>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</si>
  <si>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</si>
  <si>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</si>
  <si>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</si>
  <si>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</si>
  <si>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</si>
  <si>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</si>
  <si>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</si>
  <si>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</si>
  <si>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</si>
  <si>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</si>
  <si>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</si>
  <si>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</si>
  <si>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</si>
  <si>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</si>
  <si>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</si>
  <si>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</si>
  <si>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</si>
  <si>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</si>
  <si>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</si>
  <si>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</si>
  <si>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</si>
  <si>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</si>
  <si>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</si>
  <si>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</si>
  <si>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</si>
  <si>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</si>
  <si>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</si>
  <si>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</si>
  <si>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</si>
  <si>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</si>
  <si>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</si>
  <si>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</si>
  <si>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</si>
  <si>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</si>
  <si>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</si>
  <si>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</si>
  <si>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</si>
  <si>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</si>
  <si>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</si>
  <si>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</si>
  <si>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</si>
  <si>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</si>
  <si>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</si>
  <si>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</si>
  <si>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</si>
  <si>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</si>
  <si>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</si>
  <si>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</si>
  <si>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</si>
  <si>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</si>
  <si>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</si>
  <si>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</si>
  <si>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</si>
  <si>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</si>
  <si>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</si>
  <si>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</si>
  <si>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</si>
  <si>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</si>
  <si>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</si>
  <si>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</si>
  <si>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</si>
  <si>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</si>
  <si>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</si>
  <si>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</si>
  <si>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</si>
  <si>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</si>
  <si>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</si>
  <si>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</si>
  <si>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</si>
  <si>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</si>
  <si>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</si>
  <si>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</si>
  <si>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</si>
  <si>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</si>
  <si>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</si>
  <si>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</si>
  <si>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</si>
  <si>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</si>
  <si>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</si>
  <si>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</si>
  <si>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</si>
  <si>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</si>
  <si>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</si>
  <si>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</si>
  <si>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</si>
  <si>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</si>
  <si>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</si>
  <si>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</si>
  <si>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</si>
  <si>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</si>
  <si>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</si>
  <si>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</si>
  <si>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</si>
  <si>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</si>
  <si>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</si>
  <si>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</si>
  <si>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</si>
  <si>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</si>
  <si>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</si>
  <si>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</si>
  <si>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</si>
  <si>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</si>
  <si>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</si>
  <si>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</si>
  <si>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</si>
  <si>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</si>
  <si>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</si>
  <si>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</si>
  <si>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</si>
  <si>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</si>
  <si>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</si>
  <si>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</si>
  <si>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</si>
  <si>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</si>
  <si>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</si>
  <si>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</si>
  <si>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</si>
  <si>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</si>
  <si>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</si>
  <si>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</si>
  <si>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</si>
  <si>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</si>
  <si>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</si>
  <si>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</si>
  <si>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</si>
  <si>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</si>
  <si>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</si>
  <si>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</si>
  <si>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</si>
  <si>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</si>
  <si>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</si>
  <si>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</si>
  <si>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</si>
  <si>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</si>
  <si>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</si>
  <si>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</si>
  <si>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</si>
  <si>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</si>
  <si>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</si>
  <si>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</si>
  <si>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</si>
  <si>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</si>
  <si>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</si>
  <si>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</si>
  <si>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</si>
  <si>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</si>
  <si>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</si>
  <si>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</si>
  <si>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</si>
  <si>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</si>
  <si>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</si>
  <si>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</si>
  <si>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</si>
  <si>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</si>
  <si>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</si>
  <si>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</si>
  <si>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</si>
  <si>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</si>
  <si>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</si>
  <si>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</si>
  <si>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</si>
  <si>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</si>
  <si>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</si>
  <si>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</si>
  <si>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</si>
  <si>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</si>
  <si>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</si>
  <si>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</si>
  <si>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</si>
  <si>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</si>
  <si>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</si>
  <si>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</si>
  <si>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</si>
  <si>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</si>
  <si>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</si>
  <si>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</si>
  <si>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</si>
  <si>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</si>
  <si>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</si>
  <si>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</si>
  <si>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</si>
  <si>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</si>
  <si>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</si>
  <si>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</si>
  <si>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</si>
  <si>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</si>
  <si>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</si>
  <si>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</si>
  <si>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</si>
  <si>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</si>
  <si>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</si>
  <si>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</si>
  <si>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</si>
  <si>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</si>
  <si>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</si>
  <si>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</si>
  <si>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</si>
  <si>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</si>
  <si>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</si>
  <si>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</si>
  <si>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</si>
  <si>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</si>
  <si>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</si>
  <si>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</si>
  <si>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</si>
  <si>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</si>
  <si>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</si>
  <si>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</si>
  <si>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</si>
  <si>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</si>
  <si>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</si>
  <si>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</si>
  <si>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</si>
  <si>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</si>
  <si>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</si>
  <si>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</si>
  <si>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</si>
  <si>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</si>
  <si>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</si>
  <si>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</si>
  <si>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</si>
  <si>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</si>
  <si>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</si>
  <si>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</si>
  <si>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</si>
  <si>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</si>
  <si>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</si>
  <si>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</si>
  <si>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</si>
  <si>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</si>
  <si>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</si>
  <si>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</si>
  <si>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</si>
  <si>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</si>
  <si>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</si>
  <si>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</si>
  <si>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</si>
  <si>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</si>
  <si>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</si>
  <si>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</si>
  <si>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</si>
  <si>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</si>
  <si>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</si>
  <si>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</si>
  <si>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</si>
  <si>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</si>
  <si>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</si>
  <si>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</si>
  <si>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</si>
  <si>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</si>
  <si>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</si>
  <si>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</si>
  <si>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</si>
  <si>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</si>
  <si>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</si>
  <si>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</si>
  <si>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</si>
  <si>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</si>
  <si>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</si>
  <si>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</si>
  <si>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</si>
  <si>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</si>
  <si>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</si>
  <si>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</si>
  <si>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</si>
  <si>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</si>
  <si>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</si>
  <si>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</si>
  <si>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</si>
  <si>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</si>
  <si>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</si>
  <si>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</si>
  <si>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</si>
  <si>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</si>
  <si>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</si>
  <si>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</si>
  <si>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</si>
  <si>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</si>
  <si>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</si>
  <si>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</si>
  <si>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</si>
  <si>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</si>
  <si>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</si>
  <si>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</si>
  <si>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</si>
  <si>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</si>
  <si>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</si>
  <si>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</si>
  <si>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</si>
  <si>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</si>
  <si>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</si>
  <si>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</si>
  <si>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</si>
  <si>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</si>
  <si>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</si>
  <si>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</si>
  <si>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</si>
  <si>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</si>
  <si>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</si>
  <si>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</si>
  <si>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</si>
  <si>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</si>
  <si>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</si>
  <si>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</si>
  <si>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</si>
  <si>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</si>
  <si>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</si>
  <si>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</si>
  <si>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</si>
  <si>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</si>
  <si>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</si>
  <si>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</si>
  <si>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</si>
  <si>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</si>
  <si>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</si>
  <si>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</si>
  <si>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</si>
  <si>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</si>
  <si>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</si>
  <si>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</si>
  <si>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</si>
  <si>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</si>
  <si>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</si>
  <si>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</si>
  <si>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</si>
  <si>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</si>
  <si>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</si>
  <si>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</si>
  <si>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</si>
  <si>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</si>
  <si>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</si>
  <si>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</si>
  <si>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</si>
  <si>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</si>
  <si>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</si>
  <si>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</si>
  <si>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</si>
  <si>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</si>
  <si>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</si>
  <si>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</si>
  <si>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</si>
  <si>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</si>
  <si>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</si>
  <si>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</si>
  <si>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</si>
  <si>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</si>
  <si>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</si>
  <si>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</si>
  <si>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</si>
  <si>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</si>
  <si>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</si>
  <si>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</si>
  <si>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</si>
  <si>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</si>
  <si>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</si>
  <si>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</si>
  <si>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</si>
  <si>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</si>
  <si>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</si>
  <si>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</si>
  <si>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</si>
  <si>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</si>
  <si>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</si>
  <si>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</si>
  <si>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</si>
  <si>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</si>
  <si>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</si>
  <si>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</si>
  <si>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</si>
  <si>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</si>
  <si>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</si>
  <si>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</si>
  <si>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</si>
  <si>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</si>
  <si>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</si>
  <si>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</si>
  <si>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</si>
  <si>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</si>
  <si>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</si>
  <si>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</si>
  <si>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</si>
  <si>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</si>
  <si>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</si>
  <si>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</si>
  <si>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</si>
  <si>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</si>
  <si>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</si>
  <si>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</si>
  <si>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</si>
  <si>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</si>
  <si>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</si>
  <si>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</si>
  <si>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</si>
  <si>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</si>
  <si>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</si>
  <si>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</si>
  <si>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</si>
  <si>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</si>
  <si>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</si>
  <si>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</si>
  <si>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</si>
  <si>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</si>
  <si>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</si>
  <si>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</si>
  <si>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</si>
  <si>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</si>
  <si>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</si>
  <si>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</si>
  <si>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</si>
  <si>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</si>
  <si>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</si>
  <si>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</si>
  <si>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</si>
  <si>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</si>
  <si>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</si>
  <si>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</si>
  <si>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</si>
  <si>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</si>
  <si>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</si>
  <si>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</si>
  <si>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</si>
  <si>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</si>
  <si>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</si>
  <si>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</si>
  <si>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</si>
  <si>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</si>
  <si>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</si>
  <si>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</si>
  <si>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</si>
  <si>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</si>
  <si>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</si>
  <si>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</si>
  <si>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</si>
  <si>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</si>
  <si>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</si>
  <si>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</si>
  <si>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</si>
  <si>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</si>
  <si>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</si>
  <si>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</si>
  <si>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</si>
  <si>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</si>
  <si>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</si>
  <si>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</si>
  <si>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</si>
  <si>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</si>
  <si>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</si>
  <si>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</si>
  <si>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</si>
  <si>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</si>
  <si>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</si>
  <si>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</si>
  <si>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</si>
  <si>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</si>
  <si>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</si>
  <si>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</si>
  <si>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</si>
  <si>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</si>
  <si>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</si>
  <si>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</si>
  <si>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</si>
  <si>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</si>
  <si>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</si>
  <si>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</si>
  <si>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</si>
  <si>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</si>
  <si>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</si>
  <si>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</si>
  <si>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</si>
  <si>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</si>
  <si>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</si>
  <si>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</si>
  <si>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</si>
  <si>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</si>
  <si>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</si>
  <si>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</si>
  <si>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</si>
  <si>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</si>
  <si>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</si>
  <si>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</si>
  <si>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</si>
  <si>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</si>
  <si>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</si>
  <si>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</si>
  <si>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</si>
  <si>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</si>
  <si>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</si>
  <si>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</si>
  <si>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</si>
  <si>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</si>
  <si>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</si>
  <si>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</si>
  <si>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</si>
  <si>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</si>
  <si>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</si>
  <si>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</si>
  <si>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</si>
  <si>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</si>
  <si>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</si>
  <si>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</si>
  <si>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</si>
  <si>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</si>
  <si>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</si>
  <si>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</si>
  <si>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</si>
  <si>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</si>
  <si>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</si>
  <si>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</si>
  <si>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</si>
  <si>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</si>
  <si>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</si>
  <si>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</si>
  <si>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</si>
  <si>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</si>
  <si>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</si>
  <si>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</si>
  <si>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</si>
  <si>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</si>
  <si>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</si>
  <si>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</si>
  <si>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</si>
  <si>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</si>
  <si>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</si>
  <si>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</si>
  <si>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</si>
  <si>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</si>
  <si>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</si>
  <si>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</si>
  <si>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</si>
  <si>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</si>
  <si>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</si>
  <si>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</si>
  <si>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</si>
  <si>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</si>
  <si>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</si>
  <si>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</si>
  <si>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</si>
  <si>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</si>
  <si>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</si>
  <si>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</si>
  <si>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</si>
  <si>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</si>
  <si>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</si>
  <si>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</si>
  <si>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</si>
  <si>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</si>
  <si>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</si>
  <si>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</si>
  <si>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</si>
  <si>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</si>
  <si>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</si>
  <si>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</si>
  <si>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</si>
  <si>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</si>
  <si>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</si>
  <si>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</si>
  <si>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</si>
  <si>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</si>
  <si>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</si>
  <si>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</si>
  <si>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</si>
  <si>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</si>
  <si>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</si>
  <si>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</si>
  <si>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</si>
  <si>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</si>
  <si>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</si>
  <si>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</si>
  <si>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</si>
  <si>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</si>
  <si>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</si>
  <si>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</si>
  <si>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</si>
  <si>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</si>
  <si>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</si>
  <si>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</si>
  <si>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</si>
  <si>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</si>
  <si>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</si>
  <si>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</si>
  <si>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</si>
  <si>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</si>
  <si>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</si>
  <si>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</si>
  <si>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</si>
  <si>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</si>
  <si>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</si>
  <si>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</si>
  <si>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</si>
  <si>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</si>
  <si>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</si>
  <si>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</si>
  <si>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</si>
  <si>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</si>
  <si>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</si>
  <si>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</si>
  <si>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</si>
  <si>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</si>
  <si>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</si>
  <si>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</si>
  <si>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</si>
  <si>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</si>
  <si>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</si>
  <si>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</si>
  <si>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</si>
  <si>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</si>
  <si>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</si>
  <si>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</si>
  <si>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</si>
  <si>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</si>
  <si>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</si>
  <si>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</si>
  <si>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</si>
  <si>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</si>
  <si>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</si>
  <si>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</si>
  <si>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</si>
  <si>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</si>
  <si>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</si>
  <si>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</si>
  <si>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</si>
  <si>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</si>
  <si>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</si>
  <si>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</si>
  <si>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</si>
  <si>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</si>
  <si>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</si>
  <si>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</si>
  <si>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</si>
  <si>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</si>
  <si>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</si>
  <si>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</si>
  <si>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</si>
  <si>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</si>
  <si>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</si>
  <si>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</si>
  <si>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</si>
  <si>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</si>
  <si>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</si>
  <si>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</si>
  <si>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</si>
  <si>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</si>
  <si>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</si>
  <si>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</si>
  <si>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</si>
  <si>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</si>
  <si>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</si>
  <si>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</si>
  <si>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</si>
  <si>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</si>
  <si>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</si>
  <si>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</si>
  <si>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</si>
  <si>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</si>
  <si>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</si>
  <si>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</si>
  <si>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</si>
  <si>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</si>
  <si>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</si>
  <si>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</si>
  <si>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</si>
  <si>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</si>
  <si>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</si>
  <si>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</si>
  <si>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</si>
  <si>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</si>
  <si>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</si>
  <si>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</si>
  <si>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</si>
  <si>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</si>
  <si>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</si>
  <si>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</si>
  <si>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</si>
  <si>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</si>
  <si>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</si>
  <si>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</si>
  <si>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</si>
  <si>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</si>
  <si>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</si>
  <si>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</si>
  <si>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</si>
  <si>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</si>
  <si>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</si>
  <si>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</si>
  <si>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</si>
  <si>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</si>
  <si>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</si>
  <si>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</si>
  <si>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</si>
  <si>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</si>
  <si>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</si>
  <si>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</si>
  <si>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</si>
  <si>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</si>
  <si>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</si>
  <si>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</si>
  <si>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</si>
  <si>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</si>
  <si>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</si>
  <si>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</si>
  <si>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</si>
  <si>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</si>
  <si>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</si>
  <si>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</si>
  <si>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</si>
  <si>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</si>
  <si>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</si>
  <si>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</si>
  <si>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</si>
  <si>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</si>
  <si>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</si>
  <si>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</si>
  <si>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</si>
  <si>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</si>
  <si>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</si>
  <si>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</si>
  <si>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</si>
  <si>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</si>
  <si>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</si>
  <si>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</si>
  <si>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</si>
  <si>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</si>
  <si>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</si>
  <si>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</si>
  <si>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</si>
  <si>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</si>
  <si>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</si>
  <si>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</si>
  <si>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</si>
  <si>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</si>
  <si>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</si>
  <si>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</si>
  <si>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</si>
  <si>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</si>
  <si>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</si>
  <si>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</si>
  <si>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</si>
  <si>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</si>
  <si>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</si>
  <si>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</si>
  <si>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</si>
  <si>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</si>
  <si>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</si>
  <si>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</si>
  <si>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</si>
  <si>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</si>
  <si>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</si>
  <si>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</si>
  <si>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</si>
  <si>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</si>
  <si>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</si>
  <si>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</si>
  <si>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</si>
  <si>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</si>
  <si>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</si>
  <si>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</si>
  <si>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</si>
  <si>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</si>
  <si>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</si>
  <si>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</si>
  <si>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</si>
  <si>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</si>
  <si>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</si>
  <si>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</si>
  <si>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</si>
  <si>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</si>
  <si>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</si>
  <si>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</si>
  <si>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</si>
  <si>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</si>
  <si>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</si>
  <si>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</si>
  <si>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</si>
  <si>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</si>
  <si>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</si>
  <si>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</si>
  <si>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</si>
  <si>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</si>
  <si>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</si>
  <si>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</si>
  <si>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</si>
  <si>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</si>
  <si>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</si>
  <si>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</si>
  <si>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</si>
  <si>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</si>
  <si>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</si>
  <si>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</si>
  <si>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</si>
  <si>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</si>
  <si>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</si>
  <si>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</si>
  <si>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</si>
  <si>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</si>
  <si>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</si>
  <si>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</si>
  <si>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</si>
  <si>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</si>
  <si>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</si>
  <si>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</si>
  <si>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</si>
  <si>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</si>
  <si>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</si>
  <si>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</si>
  <si>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</si>
  <si>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</si>
  <si>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</si>
  <si>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</si>
  <si>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</si>
  <si>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</si>
  <si>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</si>
  <si>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</si>
  <si>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</si>
  <si>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</si>
  <si>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</si>
  <si>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</si>
  <si>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</si>
  <si>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</si>
  <si>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</si>
  <si>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</si>
  <si>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</si>
  <si>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</si>
  <si>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</si>
  <si>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</si>
  <si>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</si>
  <si>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</si>
  <si>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</si>
  <si>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</si>
  <si>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</si>
  <si>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</si>
  <si>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</si>
  <si>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</si>
  <si>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</si>
  <si>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</si>
  <si>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</si>
  <si>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</si>
  <si>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</si>
  <si>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</si>
  <si>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</si>
  <si>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</si>
  <si>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</si>
  <si>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</si>
  <si>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</si>
  <si>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</si>
  <si>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</si>
  <si>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</si>
  <si>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</si>
  <si>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</si>
  <si>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</si>
  <si>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</si>
  <si>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</si>
  <si>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</si>
  <si>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</si>
  <si>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</si>
  <si>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</si>
  <si>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</si>
  <si>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</si>
  <si>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</si>
  <si>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</si>
  <si>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</si>
  <si>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</si>
  <si>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</si>
  <si>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</si>
  <si>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</si>
  <si>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</si>
  <si>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</si>
  <si>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</si>
  <si>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</si>
  <si>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</si>
  <si>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</si>
  <si>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</si>
  <si>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</si>
  <si>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</si>
  <si>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</si>
  <si>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</si>
  <si>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</si>
  <si>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</si>
  <si>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</si>
  <si>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</si>
  <si>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</si>
  <si>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</si>
  <si>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</si>
  <si>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</si>
  <si>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</si>
  <si>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</si>
  <si>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</si>
  <si>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</si>
  <si>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</si>
  <si>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</si>
  <si>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</si>
  <si>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</si>
  <si>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</si>
  <si>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</si>
  <si>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</si>
  <si>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</si>
  <si>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</si>
  <si>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</si>
  <si>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</si>
  <si>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</si>
  <si>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</si>
  <si>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</si>
  <si>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</si>
  <si>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</si>
  <si>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</si>
  <si>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</si>
  <si>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</si>
  <si>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</si>
  <si>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</si>
  <si>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</si>
  <si>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</si>
  <si>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</si>
  <si>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</si>
  <si>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</si>
  <si>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</si>
  <si>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</si>
  <si>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</si>
  <si>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</si>
  <si>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</si>
  <si>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</si>
  <si>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</si>
  <si>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</si>
  <si>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</si>
  <si>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</si>
  <si>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</si>
  <si>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</si>
  <si>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</si>
  <si>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</si>
  <si>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</si>
  <si>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</si>
  <si>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</si>
  <si>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</si>
  <si>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</si>
  <si>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</si>
  <si>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</si>
  <si>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</si>
  <si>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</si>
  <si>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</si>
  <si>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</si>
  <si>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</si>
  <si>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</si>
  <si>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</si>
  <si>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</si>
  <si>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</si>
  <si>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</si>
  <si>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</si>
  <si>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</si>
  <si>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</si>
  <si>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</si>
  <si>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</si>
  <si>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</si>
  <si>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</si>
  <si>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</si>
  <si>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</si>
  <si>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</si>
  <si>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</si>
  <si>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</si>
  <si>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</si>
  <si>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</si>
  <si>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</si>
  <si>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</si>
  <si>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</si>
  <si>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</si>
  <si>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</si>
  <si>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</si>
  <si>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</si>
  <si>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</si>
  <si>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</si>
  <si>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</si>
  <si>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</si>
  <si>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</si>
  <si>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</si>
  <si>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</si>
  <si>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</si>
  <si>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</si>
  <si>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</si>
  <si>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</si>
  <si>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</si>
  <si>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</si>
  <si>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</si>
  <si>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</si>
  <si>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</si>
  <si>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</si>
  <si>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</si>
  <si>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</si>
  <si>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</si>
  <si>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</si>
  <si>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</si>
  <si>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</si>
  <si>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</si>
  <si>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</si>
  <si>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</si>
  <si>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</si>
  <si>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</si>
  <si>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</si>
  <si>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</si>
  <si>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</si>
  <si>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</si>
  <si>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</si>
  <si>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</si>
  <si>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</si>
  <si>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</si>
  <si>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</si>
  <si>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</si>
  <si>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</si>
  <si>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</si>
  <si>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</si>
  <si>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</si>
  <si>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</si>
  <si>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</si>
  <si>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</si>
  <si>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</si>
  <si>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</si>
  <si>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</si>
  <si>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</si>
  <si>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</si>
  <si>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</si>
  <si>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</si>
  <si>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</si>
  <si>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</si>
  <si>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</si>
  <si>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</si>
  <si>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</si>
  <si>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</si>
  <si>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</si>
  <si>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</si>
  <si>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</si>
  <si>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</si>
  <si>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</si>
  <si>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</si>
  <si>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</si>
  <si>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</si>
  <si>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</si>
  <si>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</si>
  <si>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</si>
  <si>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</si>
  <si>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</si>
  <si>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</si>
  <si>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</si>
  <si>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</si>
  <si>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</si>
  <si>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</si>
  <si>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</si>
  <si>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</si>
  <si>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</si>
  <si>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</si>
  <si>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</si>
  <si>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</si>
  <si>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</si>
  <si>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</si>
  <si>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</si>
  <si>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</si>
  <si>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</si>
  <si>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</si>
  <si>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</si>
  <si>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</si>
  <si>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</si>
  <si>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</si>
  <si>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</si>
  <si>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</si>
  <si>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</si>
  <si>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</si>
  <si>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</si>
  <si>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</si>
  <si>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</si>
  <si>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</si>
  <si>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</si>
  <si>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</si>
  <si>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</si>
  <si>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</si>
  <si>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</si>
  <si>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</si>
  <si>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</si>
  <si>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</si>
  <si>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</si>
  <si>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</si>
  <si>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</si>
  <si>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</si>
  <si>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</si>
  <si>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</si>
  <si>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</si>
  <si>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</si>
  <si>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</si>
  <si>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</si>
  <si>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</si>
  <si>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</si>
  <si>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</si>
  <si>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</si>
  <si>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</si>
  <si>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</si>
  <si>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</si>
  <si>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</si>
  <si>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</si>
  <si>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</si>
  <si>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</si>
  <si>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</si>
  <si>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</si>
  <si>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</si>
  <si>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</si>
  <si>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</si>
  <si>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</si>
  <si>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</si>
  <si>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</si>
  <si>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</si>
  <si>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</si>
  <si>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</si>
  <si>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</si>
  <si>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</si>
  <si>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</si>
  <si>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</si>
  <si>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</si>
  <si>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</si>
  <si>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</si>
  <si>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</si>
  <si>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</si>
  <si>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</si>
  <si>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</si>
  <si>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</si>
  <si>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</si>
  <si>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</si>
  <si>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</si>
  <si>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</si>
  <si>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</si>
  <si>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</si>
  <si>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</si>
  <si>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</si>
  <si>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</si>
  <si>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</si>
  <si>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</si>
  <si>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</si>
  <si>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</si>
  <si>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</si>
  <si>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</si>
  <si>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</si>
  <si>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</si>
  <si>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</si>
  <si>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</si>
  <si>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</si>
  <si>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</si>
  <si>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</si>
  <si>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</si>
  <si>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</si>
  <si>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</si>
  <si>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</si>
  <si>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</si>
  <si>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</si>
  <si>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</si>
  <si>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</si>
  <si>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</si>
  <si>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</si>
  <si>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</si>
  <si>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</si>
  <si>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</si>
  <si>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</si>
  <si>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</si>
  <si>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</si>
  <si>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</si>
  <si>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</si>
  <si>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</si>
  <si>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</si>
  <si>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</si>
  <si>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</si>
  <si>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</si>
  <si>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</si>
  <si>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</si>
  <si>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</si>
  <si>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</si>
  <si>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</si>
  <si>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</si>
  <si>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</si>
  <si>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</si>
  <si>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</si>
  <si>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</si>
  <si>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</si>
  <si>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</si>
  <si>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</si>
  <si>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</si>
  <si>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</si>
  <si>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</si>
  <si>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</si>
  <si>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</si>
  <si>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</si>
  <si>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</si>
  <si>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</si>
  <si>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</si>
  <si>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</si>
  <si>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</si>
  <si>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</si>
  <si>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</si>
  <si>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</si>
  <si>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</si>
  <si>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</si>
  <si>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</si>
  <si>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</si>
  <si>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</si>
  <si>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</si>
  <si>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</si>
  <si>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</si>
  <si>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</si>
  <si>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</si>
  <si>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</si>
  <si>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</si>
  <si>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</si>
  <si>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</si>
  <si>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</si>
  <si>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</si>
  <si>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</si>
  <si>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</si>
  <si>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</si>
  <si>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</si>
  <si>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</si>
  <si>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</si>
  <si>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</si>
  <si>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</si>
  <si>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</si>
  <si>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</si>
  <si>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</si>
  <si>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</si>
  <si>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</si>
  <si>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</si>
  <si>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</si>
  <si>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</si>
  <si>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</si>
  <si>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</si>
  <si>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</si>
  <si>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</si>
  <si>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</si>
  <si>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</si>
  <si>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</si>
  <si>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</si>
  <si>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</si>
  <si>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</si>
  <si>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</si>
  <si>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</si>
  <si>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</si>
  <si>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</si>
  <si>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</si>
  <si>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</si>
  <si>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</si>
  <si>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</si>
  <si>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</si>
  <si>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</si>
  <si>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</si>
  <si>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</si>
  <si>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</si>
  <si>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</si>
  <si>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</si>
  <si>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</si>
  <si>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</si>
  <si>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</si>
  <si>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</si>
  <si>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</si>
  <si>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</si>
  <si>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</si>
  <si>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</si>
  <si>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</si>
  <si>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</si>
  <si>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</si>
  <si>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</si>
  <si>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</si>
  <si>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</si>
  <si>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</si>
  <si>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</si>
  <si>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</si>
  <si>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</si>
  <si>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</si>
  <si>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</si>
  <si>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</si>
  <si>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</si>
  <si>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</si>
  <si>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</si>
  <si>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</si>
  <si>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</si>
  <si>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</si>
  <si>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</si>
  <si>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</si>
  <si>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</si>
  <si>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</si>
  <si>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</si>
  <si>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</si>
  <si>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</si>
  <si>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</si>
  <si>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</si>
  <si>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</si>
  <si>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</si>
  <si>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</si>
  <si>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</si>
  <si>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</si>
  <si>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</si>
  <si>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</si>
  <si>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</si>
  <si>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</si>
  <si>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</si>
  <si>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</si>
  <si>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</si>
  <si>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</si>
  <si>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</si>
  <si>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</si>
  <si>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</si>
  <si>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</si>
  <si>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</si>
  <si>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</si>
  <si>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</si>
  <si>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</si>
  <si>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</si>
  <si>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</si>
  <si>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</si>
  <si>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</si>
  <si>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</si>
  <si>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</si>
  <si>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</si>
  <si>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</si>
  <si>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</si>
  <si>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</si>
  <si>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</si>
  <si>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</si>
  <si>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</si>
  <si>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</si>
  <si>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</si>
  <si>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</si>
  <si>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</si>
  <si>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</si>
  <si>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</si>
  <si>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</si>
  <si>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</si>
  <si>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</si>
  <si>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</si>
  <si>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</si>
  <si>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</si>
  <si>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</si>
  <si>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</si>
  <si>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</si>
  <si>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</si>
  <si>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</si>
  <si>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</si>
  <si>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</si>
  <si>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</si>
  <si>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</si>
  <si>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</si>
  <si>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</si>
  <si>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</si>
  <si>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</si>
  <si>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</si>
  <si>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</si>
  <si>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</si>
  <si>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</si>
  <si>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</si>
  <si>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</si>
  <si>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</si>
  <si>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</si>
  <si>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</si>
  <si>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</si>
  <si>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</si>
  <si>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</si>
  <si>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</si>
  <si>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</si>
  <si>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</si>
  <si>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</si>
  <si>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</si>
  <si>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</si>
  <si>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</si>
  <si>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</si>
  <si>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</si>
  <si>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</si>
  <si>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</si>
  <si>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</si>
  <si>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</si>
  <si>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</si>
  <si>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</si>
  <si>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</si>
  <si>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</si>
  <si>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</si>
  <si>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</si>
  <si>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</si>
  <si>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</si>
  <si>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</si>
  <si>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</si>
  <si>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</si>
  <si>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</si>
  <si>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</si>
  <si>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</si>
  <si>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</si>
  <si>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</si>
  <si>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</si>
  <si>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</si>
  <si>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</si>
  <si>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</si>
  <si>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</si>
  <si>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</si>
  <si>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</si>
  <si>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</si>
  <si>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</si>
  <si>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</si>
  <si>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</si>
  <si>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</si>
  <si>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</si>
  <si>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</si>
  <si>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</si>
  <si>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</si>
  <si>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</si>
  <si>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</si>
  <si>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</si>
  <si>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</si>
  <si>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</si>
  <si>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</si>
  <si>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</si>
  <si>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</si>
  <si>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</si>
  <si>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</si>
  <si>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</si>
  <si>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</si>
  <si>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</si>
  <si>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</si>
  <si>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</si>
  <si>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</si>
  <si>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</si>
  <si>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</si>
  <si>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</si>
  <si>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</si>
  <si>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</si>
  <si>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</si>
  <si>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</si>
  <si>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</si>
  <si>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</si>
  <si>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</si>
  <si>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</si>
  <si>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</si>
  <si>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</si>
  <si>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</si>
  <si>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</si>
  <si>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</si>
  <si>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</si>
  <si>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</si>
  <si>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</si>
  <si>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</si>
  <si>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</si>
  <si>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</si>
  <si>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</si>
  <si>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</si>
  <si>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</si>
  <si>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</si>
  <si>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</si>
  <si>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</si>
  <si>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</si>
  <si>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</si>
  <si>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</si>
  <si>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</si>
  <si>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</si>
  <si>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</si>
  <si>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</si>
  <si>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</si>
  <si>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</si>
  <si>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</si>
  <si>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</si>
  <si>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</si>
  <si>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</si>
  <si>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</si>
  <si>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</si>
  <si>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</si>
  <si>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</si>
  <si>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</si>
  <si>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</si>
  <si>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</si>
  <si>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</si>
  <si>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</si>
  <si>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</si>
  <si>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</si>
  <si>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</si>
  <si>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</si>
  <si>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</si>
  <si>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</si>
  <si>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</si>
  <si>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</si>
  <si>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</si>
  <si>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</si>
  <si>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</si>
  <si>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</si>
  <si>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</si>
  <si>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</si>
  <si>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</si>
  <si>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</si>
  <si>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</si>
  <si>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</si>
  <si>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</si>
  <si>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</si>
  <si>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</si>
  <si>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</si>
  <si>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</si>
  <si>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</si>
  <si>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</si>
  <si>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</si>
  <si>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</si>
  <si>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</si>
  <si>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</si>
  <si>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</si>
  <si>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</si>
  <si>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</si>
  <si>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</si>
  <si>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</si>
  <si>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</si>
  <si>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</si>
  <si>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</si>
  <si>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</si>
  <si>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</si>
  <si>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</si>
  <si>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</si>
  <si>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</si>
  <si>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</si>
  <si>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</si>
  <si>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</si>
  <si>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</si>
  <si>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</si>
  <si>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</si>
  <si>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</si>
  <si>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</si>
  <si>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</si>
  <si>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</si>
  <si>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</si>
  <si>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</si>
  <si>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</si>
  <si>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</si>
  <si>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</si>
  <si>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</si>
  <si>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</si>
  <si>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</si>
  <si>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</si>
  <si>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</si>
  <si>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</si>
  <si>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</si>
  <si>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</si>
  <si>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</si>
  <si>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</si>
  <si>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</si>
  <si>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</si>
  <si>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</si>
  <si>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</si>
  <si>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</si>
  <si>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</si>
  <si>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</si>
  <si>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</si>
  <si>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</si>
  <si>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</si>
  <si>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</si>
  <si>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</si>
  <si>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</si>
  <si>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</si>
  <si>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</si>
  <si>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</si>
  <si>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</si>
  <si>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</si>
  <si>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</si>
  <si>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</si>
  <si>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</si>
  <si>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</si>
  <si>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</si>
  <si>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</si>
  <si>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</si>
  <si>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北京市</t>
  </si>
  <si>
    <t>企业</t>
  </si>
  <si>
    <t>不临65条商业街</t>
  </si>
  <si>
    <t>是</t>
  </si>
  <si>
    <t>地上</t>
  </si>
  <si>
    <t>公寓</t>
  </si>
  <si>
    <t>文化办公</t>
  </si>
  <si>
    <t>文化办公</t>
    <phoneticPr fontId="7" type="noConversion"/>
  </si>
  <si>
    <t>成新度</t>
  </si>
  <si>
    <t>收益法 (元)</t>
  </si>
  <si>
    <t>利息：取LPR加浮动点数</t>
  </si>
  <si>
    <t>押一</t>
  </si>
  <si>
    <t>钢混</t>
  </si>
  <si>
    <t>非生产用房</t>
  </si>
  <si>
    <t>否</t>
  </si>
  <si>
    <t>2号楼</t>
    <phoneticPr fontId="134" type="noConversion"/>
  </si>
  <si>
    <t>4号楼</t>
    <phoneticPr fontId="134" type="noConversion"/>
  </si>
  <si>
    <t>8号楼</t>
    <phoneticPr fontId="134" type="noConversion"/>
  </si>
  <si>
    <t>10号楼</t>
    <phoneticPr fontId="134" type="noConversion"/>
  </si>
  <si>
    <t>12号楼</t>
    <phoneticPr fontId="134" type="noConversion"/>
  </si>
  <si>
    <t>已包含在土地取得成本中</t>
  </si>
  <si>
    <t>未包含在土地购买价格中</t>
  </si>
  <si>
    <t>售价</t>
  </si>
  <si>
    <t>单套模式</t>
  </si>
  <si>
    <t>与级别开发程度不一致</t>
  </si>
  <si>
    <t>通电</t>
  </si>
  <si>
    <t>通路</t>
  </si>
  <si>
    <t>通讯</t>
  </si>
  <si>
    <t>通上水</t>
  </si>
  <si>
    <t>通下水</t>
  </si>
  <si>
    <t>通热</t>
  </si>
  <si>
    <t>平整</t>
  </si>
  <si>
    <t>正常</t>
  </si>
  <si>
    <t>较好</t>
  </si>
  <si>
    <t>一般</t>
  </si>
  <si>
    <t>七通</t>
  </si>
  <si>
    <t>高层板塔结合</t>
  </si>
  <si>
    <t>高层板塔结合</t>
    <phoneticPr fontId="24" type="noConversion"/>
  </si>
  <si>
    <t>钢混</t>
    <phoneticPr fontId="24" type="noConversion"/>
  </si>
  <si>
    <t>精装修</t>
  </si>
  <si>
    <t>精装修</t>
    <phoneticPr fontId="24" type="noConversion"/>
  </si>
  <si>
    <t>物业公司管理</t>
  </si>
  <si>
    <t>物业公司管理</t>
    <phoneticPr fontId="24" type="noConversion"/>
  </si>
  <si>
    <t>七通</t>
    <phoneticPr fontId="24" type="noConversion"/>
  </si>
  <si>
    <t>六通</t>
  </si>
  <si>
    <t>六通</t>
    <phoneticPr fontId="24" type="noConversion"/>
  </si>
  <si>
    <t>一般装修</t>
  </si>
  <si>
    <t>一般装修</t>
    <phoneticPr fontId="24" type="noConversion"/>
  </si>
  <si>
    <t>楼层</t>
    <phoneticPr fontId="24" type="noConversion"/>
  </si>
  <si>
    <t>高楼层</t>
    <phoneticPr fontId="24" type="noConversion"/>
  </si>
  <si>
    <t>中楼层</t>
    <phoneticPr fontId="24" type="noConversion"/>
  </si>
  <si>
    <t>低楼层</t>
    <phoneticPr fontId="24" type="noConversion"/>
  </si>
  <si>
    <t>西南</t>
  </si>
  <si>
    <t>西南</t>
    <phoneticPr fontId="24" type="noConversion"/>
  </si>
  <si>
    <t>东北</t>
  </si>
  <si>
    <t>东北</t>
    <phoneticPr fontId="24" type="noConversion"/>
  </si>
  <si>
    <t>周边有华鼎世家、望京西园、宝星园等住宅小区，居住小区规模较大，综合评价居住社区成熟度较好。</t>
    <phoneticPr fontId="40" type="noConversion"/>
  </si>
  <si>
    <t>估价对象周边距离地铁14、15号线望京站约700米，距离地铁14号线阜通站约700米，距离北四环约2.6公里，距离北五环约1.6公里；周边有专15路、专212路、132路、421路、467路、538路等公交线路途径并设立站点，综合评价交通便捷度较好。</t>
    <phoneticPr fontId="40" type="noConversion"/>
  </si>
  <si>
    <t xml:space="preserve">有望京文化体育公园等自然、人文设施；
综上，自然及人文环境一般。
</t>
    <phoneticPr fontId="40" type="noConversion"/>
  </si>
  <si>
    <t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t>
    <phoneticPr fontId="40"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</si>
  <si>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望京街</t>
    </r>
    <phoneticPr fontId="24" type="noConversion"/>
  </si>
  <si>
    <t>估价对象位于望京商圈，周边商业氛围成熟，有望京SOHO、悠乐汇等，人流量大，商业繁华度好</t>
    <phoneticPr fontId="24" type="noConversion"/>
  </si>
  <si>
    <t>比较法-公寓</t>
  </si>
  <si>
    <t>比较法-公寓</t>
    <phoneticPr fontId="16" type="noConversion"/>
  </si>
  <si>
    <r>
      <t>＝</t>
    </r>
    <r>
      <rPr>
        <sz val="10.5"/>
        <color rgb="FFE36C0A"/>
        <rFont val="Arial"/>
        <family val="2"/>
      </rPr>
      <t>406740</t>
    </r>
    <r>
      <rPr>
        <sz val="10.5"/>
        <color theme="1"/>
        <rFont val="宋体"/>
        <family val="3"/>
        <charset val="134"/>
        <scheme val="minor"/>
      </rPr>
      <t>×</t>
    </r>
    <r>
      <rPr>
        <sz val="10.5"/>
        <color rgb="FFE36C0A"/>
        <rFont val="Arial"/>
        <family val="2"/>
      </rPr>
      <t>40.6%</t>
    </r>
    <r>
      <rPr>
        <sz val="10.5"/>
        <color theme="1"/>
        <rFont val="宋体"/>
        <family val="3"/>
        <charset val="134"/>
        <scheme val="minor"/>
      </rPr>
      <t>÷</t>
    </r>
    <r>
      <rPr>
        <sz val="10.5"/>
        <color theme="1"/>
        <rFont val="Arial"/>
        <family val="2"/>
      </rPr>
      <t>(1</t>
    </r>
    <r>
      <rPr>
        <sz val="10.5"/>
        <color theme="1"/>
        <rFont val="宋体"/>
        <family val="3"/>
        <charset val="134"/>
        <scheme val="minor"/>
      </rPr>
      <t>＋</t>
    </r>
    <r>
      <rPr>
        <sz val="10.5"/>
        <color theme="1"/>
        <rFont val="Arial"/>
        <family val="2"/>
      </rPr>
      <t>6)</t>
    </r>
    <r>
      <rPr>
        <vertAlign val="superscript"/>
        <sz val="10.5"/>
        <color theme="1"/>
        <rFont val="Arial"/>
        <family val="2"/>
      </rPr>
      <t xml:space="preserve"> 24.63</t>
    </r>
  </si>
  <si>
    <t>估价对象周边有望京SOHO、悠乐汇等同类型项目，综合评价物业聚集程度较好</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</si>
</sst>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color theme="9" tint="-0.249977111117893"/>
      <name val="Arial"/>
      <family val="3"/>
      <charset val="134"/>
    </font>
    <font>
      <sz val="10.5"/>
      <color theme="1"/>
      <name val="宋体"/>
      <family val="3"/>
      <charset val="134"/>
      <scheme val="minor"/>
    </font>
    <font>
      <sz val="10.5"/>
      <color rgb="FFE36C0A"/>
      <name val="Arial"/>
      <family val="2"/>
    </font>
    <font>
      <sz val="10.5"/>
      <color theme="1"/>
      <name val="Arial"/>
      <family val="2"/>
    </font>
    <font>
      <vertAlign val="superscript"/>
      <sz val="10.5"/>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0" fontId="269" fillId="5" borderId="0" xfId="0" applyFont="1" applyFill="1">
      <alignment vertical="center"/>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181" fontId="4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70" fillId="0" borderId="49" xfId="0" applyFont="1" applyBorder="1" applyAlignment="1" applyProtection="1">
      <alignment vertical="center"/>
      <protection locked="0"/>
    </xf>
    <xf numFmtId="0" fontId="44" fillId="9" borderId="3"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0" fontId="44" fillId="9" borderId="23" xfId="0" applyNumberFormat="1" applyFont="1" applyFill="1" applyBorder="1" applyAlignment="1" applyProtection="1">
      <alignment horizontal="center" vertical="center" wrapText="1"/>
      <protection locked="0"/>
    </xf>
    <xf numFmtId="0" fontId="44" fillId="9" borderId="24" xfId="0" applyNumberFormat="1" applyFont="1" applyFill="1" applyBorder="1" applyAlignment="1" applyProtection="1">
      <alignment horizontal="center" vertical="center" wrapText="1"/>
    </xf>
    <xf numFmtId="0" fontId="271"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180975</xdr:colOff>
      <xdr:row>20</xdr:row>
      <xdr:rowOff>144661</xdr:rowOff>
    </xdr:to>
    <xdr:pic>
      <xdr:nvPicPr>
        <xdr:cNvPr id="2" name="图片 1">
          <a:extLst>
            <a:ext uri="{FF2B5EF4-FFF2-40B4-BE49-F238E27FC236}">
              <a16:creationId xmlns:a16="http://schemas.microsoft.com/office/drawing/2014/main" id="{E73A3D06-8230-4B47-A74D-2A02A7876D3C}"/>
            </a:ext>
          </a:extLst>
        </xdr:cNvPr>
        <xdr:cNvPicPr>
          <a:picLocks noChangeAspect="1"/>
        </xdr:cNvPicPr>
      </xdr:nvPicPr>
      <xdr:blipFill>
        <a:blip xmlns:r="http://schemas.openxmlformats.org/officeDocument/2006/relationships" r:embed="rId1"/>
        <a:stretch>
          <a:fillRect/>
        </a:stretch>
      </xdr:blipFill>
      <xdr:spPr>
        <a:xfrm>
          <a:off x="0" y="0"/>
          <a:ext cx="6353175" cy="3573661"/>
        </a:xfrm>
        <a:prstGeom prst="rect">
          <a:avLst/>
        </a:prstGeom>
      </xdr:spPr>
    </xdr:pic>
    <xdr:clientData/>
  </xdr:twoCellAnchor>
  <xdr:twoCellAnchor editAs="oneCell">
    <xdr:from>
      <xdr:col>0</xdr:col>
      <xdr:colOff>0</xdr:colOff>
      <xdr:row>21</xdr:row>
      <xdr:rowOff>13287</xdr:rowOff>
    </xdr:from>
    <xdr:to>
      <xdr:col>9</xdr:col>
      <xdr:colOff>190500</xdr:colOff>
      <xdr:row>35</xdr:row>
      <xdr:rowOff>9211</xdr:rowOff>
    </xdr:to>
    <xdr:pic>
      <xdr:nvPicPr>
        <xdr:cNvPr id="3" name="图片 2">
          <a:extLst>
            <a:ext uri="{FF2B5EF4-FFF2-40B4-BE49-F238E27FC236}">
              <a16:creationId xmlns:a16="http://schemas.microsoft.com/office/drawing/2014/main" id="{69F03635-E017-4602-A4E6-634340271341}"/>
            </a:ext>
          </a:extLst>
        </xdr:cNvPr>
        <xdr:cNvPicPr>
          <a:picLocks noChangeAspect="1"/>
        </xdr:cNvPicPr>
      </xdr:nvPicPr>
      <xdr:blipFill>
        <a:blip xmlns:r="http://schemas.openxmlformats.org/officeDocument/2006/relationships" r:embed="rId2"/>
        <a:stretch>
          <a:fillRect/>
        </a:stretch>
      </xdr:blipFill>
      <xdr:spPr>
        <a:xfrm>
          <a:off x="0" y="3613737"/>
          <a:ext cx="6362700" cy="23962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46911</xdr:colOff>
      <xdr:row>6</xdr:row>
      <xdr:rowOff>161925</xdr:rowOff>
    </xdr:to>
    <xdr:pic>
      <xdr:nvPicPr>
        <xdr:cNvPr id="2" name="图片 1">
          <a:extLst>
            <a:ext uri="{FF2B5EF4-FFF2-40B4-BE49-F238E27FC236}">
              <a16:creationId xmlns:a16="http://schemas.microsoft.com/office/drawing/2014/main" id="{7BC7F053-2A1D-4280-BD48-DBA182D6EEA0}"/>
            </a:ext>
          </a:extLst>
        </xdr:cNvPr>
        <xdr:cNvPicPr>
          <a:picLocks noChangeAspect="1"/>
        </xdr:cNvPicPr>
      </xdr:nvPicPr>
      <xdr:blipFill>
        <a:blip xmlns:r="http://schemas.openxmlformats.org/officeDocument/2006/relationships" r:embed="rId1"/>
        <a:stretch>
          <a:fillRect/>
        </a:stretch>
      </xdr:blipFill>
      <xdr:spPr>
        <a:xfrm>
          <a:off x="1" y="0"/>
          <a:ext cx="5533310" cy="1190625"/>
        </a:xfrm>
        <a:prstGeom prst="rect">
          <a:avLst/>
        </a:prstGeom>
      </xdr:spPr>
    </xdr:pic>
    <xdr:clientData/>
  </xdr:twoCellAnchor>
  <xdr:twoCellAnchor editAs="oneCell">
    <xdr:from>
      <xdr:col>0</xdr:col>
      <xdr:colOff>0</xdr:colOff>
      <xdr:row>4</xdr:row>
      <xdr:rowOff>0</xdr:rowOff>
    </xdr:from>
    <xdr:to>
      <xdr:col>8</xdr:col>
      <xdr:colOff>551695</xdr:colOff>
      <xdr:row>13</xdr:row>
      <xdr:rowOff>133140</xdr:rowOff>
    </xdr:to>
    <xdr:pic>
      <xdr:nvPicPr>
        <xdr:cNvPr id="3" name="图片 2">
          <a:extLst>
            <a:ext uri="{FF2B5EF4-FFF2-40B4-BE49-F238E27FC236}">
              <a16:creationId xmlns:a16="http://schemas.microsoft.com/office/drawing/2014/main" id="{18C307FC-F33C-4E74-8054-64C16AB36E0E}"/>
            </a:ext>
          </a:extLst>
        </xdr:cNvPr>
        <xdr:cNvPicPr>
          <a:picLocks noChangeAspect="1"/>
        </xdr:cNvPicPr>
      </xdr:nvPicPr>
      <xdr:blipFill>
        <a:blip xmlns:r="http://schemas.openxmlformats.org/officeDocument/2006/relationships" r:embed="rId2"/>
        <a:stretch>
          <a:fillRect/>
        </a:stretch>
      </xdr:blipFill>
      <xdr:spPr>
        <a:xfrm>
          <a:off x="0" y="685800"/>
          <a:ext cx="6038095" cy="1676190"/>
        </a:xfrm>
        <a:prstGeom prst="rect">
          <a:avLst/>
        </a:prstGeom>
      </xdr:spPr>
    </xdr:pic>
    <xdr:clientData/>
  </xdr:twoCellAnchor>
  <xdr:twoCellAnchor editAs="oneCell">
    <xdr:from>
      <xdr:col>0</xdr:col>
      <xdr:colOff>0</xdr:colOff>
      <xdr:row>8</xdr:row>
      <xdr:rowOff>66675</xdr:rowOff>
    </xdr:from>
    <xdr:to>
      <xdr:col>6</xdr:col>
      <xdr:colOff>675676</xdr:colOff>
      <xdr:row>18</xdr:row>
      <xdr:rowOff>133127</xdr:rowOff>
    </xdr:to>
    <xdr:pic>
      <xdr:nvPicPr>
        <xdr:cNvPr id="5" name="图片 4">
          <a:extLst>
            <a:ext uri="{FF2B5EF4-FFF2-40B4-BE49-F238E27FC236}">
              <a16:creationId xmlns:a16="http://schemas.microsoft.com/office/drawing/2014/main" id="{4A902D86-6630-4C26-8FDA-8F3FF5629373}"/>
            </a:ext>
          </a:extLst>
        </xdr:cNvPr>
        <xdr:cNvPicPr>
          <a:picLocks noChangeAspect="1"/>
        </xdr:cNvPicPr>
      </xdr:nvPicPr>
      <xdr:blipFill>
        <a:blip xmlns:r="http://schemas.openxmlformats.org/officeDocument/2006/relationships" r:embed="rId3"/>
        <a:stretch>
          <a:fillRect/>
        </a:stretch>
      </xdr:blipFill>
      <xdr:spPr>
        <a:xfrm>
          <a:off x="0" y="1438275"/>
          <a:ext cx="4790476" cy="1780952"/>
        </a:xfrm>
        <a:prstGeom prst="rect">
          <a:avLst/>
        </a:prstGeom>
      </xdr:spPr>
    </xdr:pic>
    <xdr:clientData/>
  </xdr:twoCellAnchor>
  <xdr:twoCellAnchor editAs="oneCell">
    <xdr:from>
      <xdr:col>0</xdr:col>
      <xdr:colOff>0</xdr:colOff>
      <xdr:row>14</xdr:row>
      <xdr:rowOff>133350</xdr:rowOff>
    </xdr:from>
    <xdr:to>
      <xdr:col>6</xdr:col>
      <xdr:colOff>580438</xdr:colOff>
      <xdr:row>24</xdr:row>
      <xdr:rowOff>75993</xdr:rowOff>
    </xdr:to>
    <xdr:pic>
      <xdr:nvPicPr>
        <xdr:cNvPr id="6" name="图片 5">
          <a:extLst>
            <a:ext uri="{FF2B5EF4-FFF2-40B4-BE49-F238E27FC236}">
              <a16:creationId xmlns:a16="http://schemas.microsoft.com/office/drawing/2014/main" id="{2D281C2D-76A2-497F-BA02-553C1495ABAC}"/>
            </a:ext>
          </a:extLst>
        </xdr:cNvPr>
        <xdr:cNvPicPr>
          <a:picLocks noChangeAspect="1"/>
        </xdr:cNvPicPr>
      </xdr:nvPicPr>
      <xdr:blipFill>
        <a:blip xmlns:r="http://schemas.openxmlformats.org/officeDocument/2006/relationships" r:embed="rId4"/>
        <a:stretch>
          <a:fillRect/>
        </a:stretch>
      </xdr:blipFill>
      <xdr:spPr>
        <a:xfrm>
          <a:off x="0" y="2533650"/>
          <a:ext cx="4695238" cy="1657143"/>
        </a:xfrm>
        <a:prstGeom prst="rect">
          <a:avLst/>
        </a:prstGeom>
      </xdr:spPr>
    </xdr:pic>
    <xdr:clientData/>
  </xdr:twoCellAnchor>
  <xdr:twoCellAnchor editAs="oneCell">
    <xdr:from>
      <xdr:col>0</xdr:col>
      <xdr:colOff>0</xdr:colOff>
      <xdr:row>19</xdr:row>
      <xdr:rowOff>142875</xdr:rowOff>
    </xdr:from>
    <xdr:to>
      <xdr:col>7</xdr:col>
      <xdr:colOff>56543</xdr:colOff>
      <xdr:row>31</xdr:row>
      <xdr:rowOff>28332</xdr:rowOff>
    </xdr:to>
    <xdr:pic>
      <xdr:nvPicPr>
        <xdr:cNvPr id="7" name="图片 6">
          <a:extLst>
            <a:ext uri="{FF2B5EF4-FFF2-40B4-BE49-F238E27FC236}">
              <a16:creationId xmlns:a16="http://schemas.microsoft.com/office/drawing/2014/main" id="{81AE5F20-9F3B-419A-9604-9EACC74E16FA}"/>
            </a:ext>
          </a:extLst>
        </xdr:cNvPr>
        <xdr:cNvPicPr>
          <a:picLocks noChangeAspect="1"/>
        </xdr:cNvPicPr>
      </xdr:nvPicPr>
      <xdr:blipFill>
        <a:blip xmlns:r="http://schemas.openxmlformats.org/officeDocument/2006/relationships" r:embed="rId5"/>
        <a:stretch>
          <a:fillRect/>
        </a:stretch>
      </xdr:blipFill>
      <xdr:spPr>
        <a:xfrm>
          <a:off x="0" y="3400425"/>
          <a:ext cx="4857143" cy="1942857"/>
        </a:xfrm>
        <a:prstGeom prst="rect">
          <a:avLst/>
        </a:prstGeom>
      </xdr:spPr>
    </xdr:pic>
    <xdr:clientData/>
  </xdr:twoCellAnchor>
  <xdr:twoCellAnchor editAs="oneCell">
    <xdr:from>
      <xdr:col>7</xdr:col>
      <xdr:colOff>133350</xdr:colOff>
      <xdr:row>14</xdr:row>
      <xdr:rowOff>19050</xdr:rowOff>
    </xdr:from>
    <xdr:to>
      <xdr:col>9</xdr:col>
      <xdr:colOff>666512</xdr:colOff>
      <xdr:row>17</xdr:row>
      <xdr:rowOff>47557</xdr:rowOff>
    </xdr:to>
    <xdr:pic>
      <xdr:nvPicPr>
        <xdr:cNvPr id="8" name="图片 7">
          <a:extLst>
            <a:ext uri="{FF2B5EF4-FFF2-40B4-BE49-F238E27FC236}">
              <a16:creationId xmlns:a16="http://schemas.microsoft.com/office/drawing/2014/main" id="{03B14FD6-9BD6-4E11-B28E-B815D5E6A947}"/>
            </a:ext>
          </a:extLst>
        </xdr:cNvPr>
        <xdr:cNvPicPr>
          <a:picLocks noChangeAspect="1"/>
        </xdr:cNvPicPr>
      </xdr:nvPicPr>
      <xdr:blipFill>
        <a:blip xmlns:r="http://schemas.openxmlformats.org/officeDocument/2006/relationships" r:embed="rId6"/>
        <a:stretch>
          <a:fillRect/>
        </a:stretch>
      </xdr:blipFill>
      <xdr:spPr>
        <a:xfrm>
          <a:off x="4933950" y="2419350"/>
          <a:ext cx="1904762" cy="542857"/>
        </a:xfrm>
        <a:prstGeom prst="rect">
          <a:avLst/>
        </a:prstGeom>
      </xdr:spPr>
    </xdr:pic>
    <xdr:clientData/>
  </xdr:twoCellAnchor>
  <xdr:twoCellAnchor editAs="oneCell">
    <xdr:from>
      <xdr:col>0</xdr:col>
      <xdr:colOff>0</xdr:colOff>
      <xdr:row>29</xdr:row>
      <xdr:rowOff>161925</xdr:rowOff>
    </xdr:from>
    <xdr:to>
      <xdr:col>12</xdr:col>
      <xdr:colOff>351352</xdr:colOff>
      <xdr:row>48</xdr:row>
      <xdr:rowOff>85327</xdr:rowOff>
    </xdr:to>
    <xdr:pic>
      <xdr:nvPicPr>
        <xdr:cNvPr id="9" name="图片 8">
          <a:extLst>
            <a:ext uri="{FF2B5EF4-FFF2-40B4-BE49-F238E27FC236}">
              <a16:creationId xmlns:a16="http://schemas.microsoft.com/office/drawing/2014/main" id="{460C03CB-0384-44A5-A101-9A3C8BBB9D18}"/>
            </a:ext>
          </a:extLst>
        </xdr:cNvPr>
        <xdr:cNvPicPr>
          <a:picLocks noChangeAspect="1"/>
        </xdr:cNvPicPr>
      </xdr:nvPicPr>
      <xdr:blipFill>
        <a:blip xmlns:r="http://schemas.openxmlformats.org/officeDocument/2006/relationships" r:embed="rId7"/>
        <a:stretch>
          <a:fillRect/>
        </a:stretch>
      </xdr:blipFill>
      <xdr:spPr>
        <a:xfrm>
          <a:off x="0" y="5133975"/>
          <a:ext cx="8580952" cy="3180952"/>
        </a:xfrm>
        <a:prstGeom prst="rect">
          <a:avLst/>
        </a:prstGeom>
      </xdr:spPr>
    </xdr:pic>
    <xdr:clientData/>
  </xdr:twoCellAnchor>
  <xdr:twoCellAnchor editAs="oneCell">
    <xdr:from>
      <xdr:col>12</xdr:col>
      <xdr:colOff>11842</xdr:colOff>
      <xdr:row>14</xdr:row>
      <xdr:rowOff>152400</xdr:rowOff>
    </xdr:from>
    <xdr:to>
      <xdr:col>24</xdr:col>
      <xdr:colOff>74907</xdr:colOff>
      <xdr:row>39</xdr:row>
      <xdr:rowOff>104114</xdr:rowOff>
    </xdr:to>
    <xdr:pic>
      <xdr:nvPicPr>
        <xdr:cNvPr id="4" name="图片 3">
          <a:extLst>
            <a:ext uri="{FF2B5EF4-FFF2-40B4-BE49-F238E27FC236}">
              <a16:creationId xmlns:a16="http://schemas.microsoft.com/office/drawing/2014/main" id="{1B36B096-8A93-46B1-BAC6-410271ED8DF0}"/>
            </a:ext>
          </a:extLst>
        </xdr:cNvPr>
        <xdr:cNvPicPr>
          <a:picLocks noChangeAspect="1"/>
        </xdr:cNvPicPr>
      </xdr:nvPicPr>
      <xdr:blipFill>
        <a:blip xmlns:r="http://schemas.openxmlformats.org/officeDocument/2006/relationships" r:embed="rId8"/>
        <a:stretch>
          <a:fillRect/>
        </a:stretch>
      </xdr:blipFill>
      <xdr:spPr>
        <a:xfrm>
          <a:off x="8241442" y="2552700"/>
          <a:ext cx="8292665" cy="4237964"/>
        </a:xfrm>
        <a:prstGeom prst="rect">
          <a:avLst/>
        </a:prstGeom>
      </xdr:spPr>
    </xdr:pic>
    <xdr:clientData/>
  </xdr:twoCellAnchor>
  <xdr:twoCellAnchor editAs="oneCell">
    <xdr:from>
      <xdr:col>11</xdr:col>
      <xdr:colOff>609600</xdr:colOff>
      <xdr:row>40</xdr:row>
      <xdr:rowOff>76200</xdr:rowOff>
    </xdr:from>
    <xdr:to>
      <xdr:col>26</xdr:col>
      <xdr:colOff>436886</xdr:colOff>
      <xdr:row>74</xdr:row>
      <xdr:rowOff>123090</xdr:rowOff>
    </xdr:to>
    <xdr:pic>
      <xdr:nvPicPr>
        <xdr:cNvPr id="10" name="图片 9">
          <a:extLst>
            <a:ext uri="{FF2B5EF4-FFF2-40B4-BE49-F238E27FC236}">
              <a16:creationId xmlns:a16="http://schemas.microsoft.com/office/drawing/2014/main" id="{5230B015-C4EA-4F68-949F-06EA3496A154}"/>
            </a:ext>
          </a:extLst>
        </xdr:cNvPr>
        <xdr:cNvPicPr>
          <a:picLocks noChangeAspect="1"/>
        </xdr:cNvPicPr>
      </xdr:nvPicPr>
      <xdr:blipFill>
        <a:blip xmlns:r="http://schemas.openxmlformats.org/officeDocument/2006/relationships" r:embed="rId9"/>
        <a:stretch>
          <a:fillRect/>
        </a:stretch>
      </xdr:blipFill>
      <xdr:spPr>
        <a:xfrm>
          <a:off x="8153400" y="6934200"/>
          <a:ext cx="10114286"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估价对象为北京市房地产，为所有。根据《国有土地使用证》[]，估价对象（分摊）出让国有建设用地使用权面积为0平方米，建筑面积为70.15平方米。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估价对象为北京市房地产,属开发建设的，该项目尚在开发建设中。根据《国有土地使用证》[]，估价对象（分摊）出让国有建设用地使用权面积为0平方米，规划建筑面积为70.15平方米。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2023年3月28日（评估专业人员实地查勘之日）</v>
      </c>
    </row>
    <row r="13" spans="1:2" s="1203" customFormat="1">
      <c r="A13" s="1201" t="s">
        <v>529</v>
      </c>
      <c r="B13" s="1202" t="str">
        <f>'预评函-1'!A18</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70.150000000000006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E23" sqref="E2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2576</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2577</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2289</v>
      </c>
      <c r="C17" s="1547"/>
    </row>
    <row r="18" spans="1:3">
      <c r="A18" s="1546" t="s">
        <v>1046</v>
      </c>
      <c r="B18" s="1546" t="s">
        <v>2432</v>
      </c>
      <c r="C18" s="1547"/>
    </row>
    <row r="19" spans="1:3">
      <c r="A19" s="1546" t="s">
        <v>1047</v>
      </c>
      <c r="B19" s="1546" t="s">
        <v>3438</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2499</v>
      </c>
      <c r="B1" s="3008"/>
      <c r="C1" s="3008"/>
      <c r="D1" s="3008"/>
      <c r="E1" s="3008"/>
      <c r="F1" s="3009"/>
      <c r="I1" s="3431" t="s">
        <v>2592</v>
      </c>
      <c r="J1" s="3220"/>
      <c r="K1" s="3220"/>
      <c r="L1" s="3220"/>
      <c r="M1" s="3220"/>
      <c r="N1" s="3432"/>
      <c r="O1" s="3432"/>
      <c r="P1" s="3432"/>
      <c r="Q1" s="3432"/>
      <c r="R1" s="3432"/>
    </row>
    <row r="2" spans="1:18">
      <c r="A2" s="3011"/>
      <c r="B2" s="3012"/>
      <c r="C2" s="3012"/>
      <c r="D2" s="3012"/>
      <c r="E2" s="3012"/>
      <c r="F2" s="3013"/>
      <c r="I2" s="3503" t="s">
        <v>2579</v>
      </c>
      <c r="J2" s="3503"/>
      <c r="K2" s="3503"/>
      <c r="L2" s="3503"/>
      <c r="M2" s="3503"/>
      <c r="N2" s="3503"/>
      <c r="O2" s="3503"/>
      <c r="P2" s="3503"/>
      <c r="Q2" s="3503"/>
      <c r="R2" s="3503"/>
    </row>
    <row r="3" spans="1:18">
      <c r="A3" s="3014" t="s">
        <v>2500</v>
      </c>
      <c r="B3" s="3015">
        <f>项目基本情况!D3</f>
        <v>45013</v>
      </c>
      <c r="C3" s="3017"/>
      <c r="D3" s="3017"/>
      <c r="E3" s="3017"/>
      <c r="F3" s="3013"/>
      <c r="I3" s="3433"/>
      <c r="J3" s="3433" t="s">
        <v>2583</v>
      </c>
      <c r="K3" s="3433" t="s">
        <v>2584</v>
      </c>
      <c r="L3" s="3433" t="s">
        <v>2585</v>
      </c>
      <c r="M3" s="3433" t="s">
        <v>2586</v>
      </c>
      <c r="N3" s="3434" t="s">
        <v>2587</v>
      </c>
      <c r="O3" s="3434" t="s">
        <v>2588</v>
      </c>
      <c r="P3" s="3434" t="s">
        <v>2589</v>
      </c>
      <c r="Q3" s="3434" t="s">
        <v>2590</v>
      </c>
      <c r="R3" s="3434" t="s">
        <v>2591</v>
      </c>
    </row>
    <row r="4" spans="1:18">
      <c r="A4" s="3014" t="s">
        <v>2501</v>
      </c>
      <c r="B4" s="3017" t="s">
        <v>2502</v>
      </c>
      <c r="C4" s="3017" t="s">
        <v>2503</v>
      </c>
      <c r="D4" s="3017" t="s">
        <v>2504</v>
      </c>
      <c r="E4" s="3017" t="s">
        <v>2505</v>
      </c>
      <c r="F4" s="3013"/>
      <c r="I4" s="3433" t="s">
        <v>2580</v>
      </c>
      <c r="J4" s="3433">
        <v>80</v>
      </c>
      <c r="K4" s="3433">
        <v>70</v>
      </c>
      <c r="L4" s="3433">
        <v>20</v>
      </c>
      <c r="M4" s="3433">
        <v>30</v>
      </c>
      <c r="N4" s="3017">
        <v>45</v>
      </c>
      <c r="O4" s="3017">
        <v>60</v>
      </c>
      <c r="P4" s="3017">
        <v>50</v>
      </c>
      <c r="Q4" s="3017">
        <v>20</v>
      </c>
      <c r="R4" s="3017">
        <v>375</v>
      </c>
    </row>
    <row r="5" spans="1:18">
      <c r="A5" s="3018">
        <v>40</v>
      </c>
      <c r="B5" s="3015">
        <v>46375</v>
      </c>
      <c r="C5" s="3017">
        <f>ROUNDDOWN(MIN((B5-B3)/365,A5),2)</f>
        <v>3.73</v>
      </c>
      <c r="D5" s="3019">
        <f>IF(ISERROR(ROUND(POWER(1+E5,A5-C5)*(POWER(1+E5,C5)-1)/(POWER(1+E5,A5)-1),3)),0,ROUND(POWER(1+E5,A5-C5)*(POWER(1+E5,C5)-1)/(POWER(1+E5,A5)-1),4))</f>
        <v>0.1719</v>
      </c>
      <c r="E5" s="3020">
        <v>0.04</v>
      </c>
      <c r="F5" s="3013"/>
      <c r="I5" s="3433" t="s">
        <v>2581</v>
      </c>
      <c r="J5" s="3433">
        <v>70</v>
      </c>
      <c r="K5" s="3433">
        <v>60</v>
      </c>
      <c r="L5" s="3433">
        <v>15</v>
      </c>
      <c r="M5" s="3433">
        <v>25</v>
      </c>
      <c r="N5" s="3017">
        <v>40</v>
      </c>
      <c r="O5" s="3017">
        <v>50</v>
      </c>
      <c r="P5" s="3017">
        <v>40</v>
      </c>
      <c r="Q5" s="3017">
        <v>15</v>
      </c>
      <c r="R5" s="3017">
        <v>315</v>
      </c>
    </row>
    <row r="6" spans="1:18">
      <c r="A6" s="3018">
        <v>50</v>
      </c>
      <c r="B6" s="3015">
        <v>50028</v>
      </c>
      <c r="C6" s="3017">
        <f>ROUNDDOWN(MIN((B6-B3)/365,A6),2)</f>
        <v>13.73</v>
      </c>
      <c r="D6" s="3019">
        <f>IF(ISERROR(ROUND(POWER(1+E6,A6-C6)*(POWER(1+E6,C6)-1)/(POWER(1+E6,A6)-1),3)),0,ROUND(POWER(1+E6,A6-C6)*(POWER(1+E6,C6)-1)/(POWER(1+E6,A6)-1),4))</f>
        <v>0.48459999999999998</v>
      </c>
      <c r="E6" s="3020">
        <v>0.04</v>
      </c>
      <c r="F6" s="3013"/>
      <c r="I6" s="3433" t="s">
        <v>2582</v>
      </c>
      <c r="J6" s="3433">
        <v>60</v>
      </c>
      <c r="K6" s="3433">
        <v>50</v>
      </c>
      <c r="L6" s="3433">
        <v>10</v>
      </c>
      <c r="M6" s="3433">
        <v>20</v>
      </c>
      <c r="N6" s="3017">
        <v>35</v>
      </c>
      <c r="O6" s="3017">
        <v>40</v>
      </c>
      <c r="P6" s="3017">
        <v>30</v>
      </c>
      <c r="Q6" s="3017">
        <v>10</v>
      </c>
      <c r="R6" s="3017">
        <v>255</v>
      </c>
    </row>
    <row r="7" spans="1:18">
      <c r="A7" s="3018">
        <v>70</v>
      </c>
      <c r="B7" s="3015">
        <v>57333</v>
      </c>
      <c r="C7" s="3017">
        <f>ROUNDDOWN(MIN((B7-B3)/365,A7),2)</f>
        <v>33.75</v>
      </c>
      <c r="D7" s="3019">
        <f>IF(ISERROR(ROUND(POWER(1+E7,A7-C7)*(POWER(1+E7,C7)-1)/(POWER(1+E7,A7)-1),3)),0,ROUND(POWER(1+E7,A7-C7)*(POWER(1+E7,C7)-1)/(POWER(1+E7,A7)-1),4))</f>
        <v>0.78420000000000001</v>
      </c>
      <c r="E7" s="3020">
        <v>0.04</v>
      </c>
      <c r="F7" s="3013"/>
    </row>
    <row r="8" spans="1:18">
      <c r="A8" s="3011"/>
      <c r="B8" s="3012"/>
      <c r="C8" s="3012"/>
      <c r="D8" s="3012"/>
      <c r="E8" s="3012"/>
      <c r="F8" s="3013"/>
    </row>
    <row r="9" spans="1:18">
      <c r="A9" s="3014" t="s">
        <v>2506</v>
      </c>
      <c r="B9" s="3017"/>
      <c r="C9" s="3017"/>
      <c r="D9" s="3017"/>
      <c r="E9" s="3017"/>
      <c r="F9" s="3021"/>
    </row>
    <row r="10" spans="1:18">
      <c r="A10" s="3014" t="s">
        <v>2507</v>
      </c>
      <c r="B10" s="3017"/>
      <c r="C10" s="3017"/>
      <c r="D10" s="3017" t="s">
        <v>2505</v>
      </c>
      <c r="E10" s="3017"/>
      <c r="F10" s="3021" t="s">
        <v>2504</v>
      </c>
    </row>
    <row r="11" spans="1:18">
      <c r="A11" s="3014" t="s">
        <v>2508</v>
      </c>
      <c r="B11" s="3022">
        <v>70</v>
      </c>
      <c r="C11" s="3017" t="s">
        <v>2509</v>
      </c>
      <c r="D11" s="3023">
        <v>4.4999999999999998E-2</v>
      </c>
      <c r="E11" s="3017" t="s">
        <v>2510</v>
      </c>
      <c r="F11" s="3024">
        <f>ROUND(1-(1/(POWER(1+D11,B11))),4)</f>
        <v>0.95409999999999995</v>
      </c>
    </row>
    <row r="12" spans="1:18">
      <c r="A12" s="3014" t="s">
        <v>2511</v>
      </c>
      <c r="B12" s="3022">
        <v>40</v>
      </c>
      <c r="C12" s="3017" t="s">
        <v>2512</v>
      </c>
      <c r="D12" s="3023">
        <v>4.4999999999999998E-2</v>
      </c>
      <c r="E12" s="3017" t="s">
        <v>2513</v>
      </c>
      <c r="F12" s="3024">
        <f>ROUND(1-(1/(POWER(1+D12,B12))),4)</f>
        <v>0.82809999999999995</v>
      </c>
    </row>
    <row r="13" spans="1:18">
      <c r="A13" s="3014" t="s">
        <v>2514</v>
      </c>
      <c r="B13" s="3017"/>
      <c r="C13" s="3017"/>
      <c r="D13" s="3012"/>
      <c r="E13" s="3012"/>
      <c r="F13" s="3013"/>
    </row>
    <row r="14" spans="1:18">
      <c r="A14" s="3014" t="s">
        <v>2515</v>
      </c>
      <c r="B14" s="3022">
        <v>5000</v>
      </c>
      <c r="C14" s="3016"/>
      <c r="D14" s="3012"/>
      <c r="E14" s="3012"/>
      <c r="F14" s="3013"/>
    </row>
    <row r="15" spans="1:18">
      <c r="A15" s="3014" t="s">
        <v>2516</v>
      </c>
      <c r="B15" s="3017">
        <f>ROUND(B14*F12/F11,2)</f>
        <v>4339.6899999999996</v>
      </c>
      <c r="C15" s="3017">
        <f>ROUND(F12/F11,4)</f>
        <v>0.8679</v>
      </c>
      <c r="D15" s="3012"/>
      <c r="E15" s="3012"/>
      <c r="F15" s="3013"/>
    </row>
    <row r="16" spans="1:18">
      <c r="A16" s="3014" t="s">
        <v>2517</v>
      </c>
      <c r="B16" s="3017"/>
      <c r="C16" s="3017"/>
      <c r="D16" s="3012"/>
      <c r="E16" s="3012"/>
      <c r="F16" s="3013"/>
    </row>
    <row r="17" spans="1:13">
      <c r="A17" s="3014" t="s">
        <v>2516</v>
      </c>
      <c r="B17" s="3023">
        <v>4810</v>
      </c>
      <c r="C17" s="3016"/>
      <c r="D17" s="3012"/>
      <c r="E17" s="3012"/>
      <c r="F17" s="3013"/>
    </row>
    <row r="18" spans="1:13" ht="14.25" thickBot="1">
      <c r="A18" s="3025" t="s">
        <v>2515</v>
      </c>
      <c r="B18" s="3026">
        <f>ROUND(B17*F11/F12,2)</f>
        <v>5541.87</v>
      </c>
      <c r="C18" s="3026">
        <f>ROUND(F11/F12,4)</f>
        <v>1.1521999999999999</v>
      </c>
      <c r="D18" s="3027"/>
      <c r="E18" s="3027"/>
      <c r="F18" s="3028"/>
    </row>
    <row r="19" spans="1:13" ht="14.25" thickBot="1"/>
    <row r="20" spans="1:13" s="3063" customFormat="1" ht="14.25" thickTop="1">
      <c r="A20" s="3060" t="s">
        <v>2518</v>
      </c>
      <c r="B20" s="3061"/>
      <c r="C20" s="3061"/>
      <c r="D20" s="3061"/>
      <c r="E20" s="3061"/>
      <c r="F20" s="3061"/>
      <c r="G20" s="3062"/>
      <c r="I20" s="3064" t="s">
        <v>2563</v>
      </c>
      <c r="J20" s="3064" t="s">
        <v>2568</v>
      </c>
      <c r="K20" s="3064"/>
      <c r="L20" s="3064"/>
      <c r="M20" s="3064"/>
    </row>
    <row r="21" spans="1:13">
      <c r="A21" s="3029"/>
      <c r="B21" s="3030" t="s">
        <v>2519</v>
      </c>
      <c r="C21" s="3030" t="s">
        <v>2520</v>
      </c>
      <c r="D21" s="3030" t="s">
        <v>2521</v>
      </c>
      <c r="E21" s="3030" t="s">
        <v>2522</v>
      </c>
      <c r="F21" s="3030" t="s">
        <v>2523</v>
      </c>
      <c r="G21" s="3031" t="s">
        <v>2524</v>
      </c>
      <c r="I21" s="3052">
        <v>5</v>
      </c>
      <c r="J21" s="3052">
        <v>54.2</v>
      </c>
    </row>
    <row r="22" spans="1:13">
      <c r="A22" s="3029" t="s">
        <v>2525</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2526</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2566</v>
      </c>
      <c r="M23" s="3052" t="s">
        <v>2567</v>
      </c>
    </row>
    <row r="24" spans="1:13">
      <c r="A24" s="3029" t="s">
        <v>2527</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2565</v>
      </c>
      <c r="M24" s="3052">
        <v>10</v>
      </c>
    </row>
    <row r="25" spans="1:13">
      <c r="A25" s="3029" t="s">
        <v>2528</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2569</v>
      </c>
      <c r="M25" s="3052">
        <v>8</v>
      </c>
    </row>
    <row r="26" spans="1:13">
      <c r="A26" s="3034"/>
      <c r="B26" s="3035"/>
      <c r="C26" s="3035"/>
      <c r="D26" s="3035"/>
      <c r="E26" s="3035"/>
      <c r="F26" s="3035"/>
      <c r="G26" s="3036"/>
      <c r="I26" s="3052">
        <v>30</v>
      </c>
      <c r="J26" s="3052">
        <v>90.5</v>
      </c>
      <c r="K26" s="3052">
        <f t="shared" si="2"/>
        <v>4.2000000000000028</v>
      </c>
      <c r="L26" s="3052" t="s">
        <v>2570</v>
      </c>
      <c r="M26" s="3052">
        <v>5</v>
      </c>
    </row>
    <row r="27" spans="1:13">
      <c r="A27" s="3034" t="s">
        <v>2529</v>
      </c>
      <c r="B27" s="3035"/>
      <c r="C27" s="3035"/>
      <c r="D27" s="3035"/>
      <c r="E27" s="3035"/>
      <c r="F27" s="3035"/>
      <c r="G27" s="3036"/>
      <c r="I27" s="3052">
        <v>35</v>
      </c>
      <c r="J27" s="3052">
        <v>93.8</v>
      </c>
      <c r="K27" s="3052">
        <f t="shared" si="2"/>
        <v>3.2999999999999972</v>
      </c>
      <c r="L27" s="3052" t="s">
        <v>2571</v>
      </c>
      <c r="M27" s="3052">
        <v>3</v>
      </c>
    </row>
    <row r="28" spans="1:13">
      <c r="A28" s="3034" t="s">
        <v>2530</v>
      </c>
      <c r="B28" s="3035"/>
      <c r="C28" s="3035"/>
      <c r="D28" s="3035"/>
      <c r="E28" s="3035"/>
      <c r="F28" s="3035"/>
      <c r="G28" s="3036"/>
      <c r="I28" s="3052">
        <v>40</v>
      </c>
      <c r="J28" s="3052">
        <v>96.4</v>
      </c>
      <c r="K28" s="3052">
        <f t="shared" si="2"/>
        <v>2.6000000000000085</v>
      </c>
      <c r="L28" s="3052" t="s">
        <v>2572</v>
      </c>
      <c r="M28" s="3052">
        <v>2</v>
      </c>
    </row>
    <row r="29" spans="1:13">
      <c r="A29" s="3034" t="s">
        <v>2531</v>
      </c>
      <c r="B29" s="3035"/>
      <c r="C29" s="3035"/>
      <c r="D29" s="3035"/>
      <c r="E29" s="3035"/>
      <c r="F29" s="3035"/>
      <c r="G29" s="3036"/>
      <c r="I29" s="3052">
        <v>45</v>
      </c>
      <c r="J29" s="3052">
        <v>98.4</v>
      </c>
      <c r="K29" s="3052">
        <f t="shared" si="2"/>
        <v>2</v>
      </c>
    </row>
    <row r="30" spans="1:13">
      <c r="A30" s="3034" t="s">
        <v>2532</v>
      </c>
      <c r="B30" s="3035"/>
      <c r="C30" s="3035"/>
      <c r="D30" s="3035"/>
      <c r="E30" s="3035"/>
      <c r="F30" s="3035"/>
      <c r="G30" s="3036"/>
      <c r="I30" s="3052">
        <v>50</v>
      </c>
      <c r="J30" s="3052">
        <v>100</v>
      </c>
      <c r="K30" s="3052">
        <f t="shared" si="2"/>
        <v>1.5999999999999943</v>
      </c>
    </row>
    <row r="31" spans="1:13">
      <c r="A31" s="3034" t="s">
        <v>2533</v>
      </c>
      <c r="B31" s="3035"/>
      <c r="C31" s="3035"/>
      <c r="D31" s="3035"/>
      <c r="E31" s="3035"/>
      <c r="F31" s="3035"/>
      <c r="G31" s="3036"/>
      <c r="I31" s="3052" t="s">
        <v>2564</v>
      </c>
    </row>
    <row r="32" spans="1:13">
      <c r="A32" s="3034" t="s">
        <v>2534</v>
      </c>
      <c r="B32" s="3035"/>
      <c r="C32" s="3035"/>
      <c r="D32" s="3035"/>
      <c r="E32" s="3035"/>
      <c r="F32" s="3035"/>
      <c r="G32" s="3036"/>
    </row>
    <row r="33" spans="1:13">
      <c r="A33" s="3034" t="s">
        <v>2535</v>
      </c>
      <c r="B33" s="3035"/>
      <c r="C33" s="3035"/>
      <c r="D33" s="3035"/>
      <c r="E33" s="3035"/>
      <c r="F33" s="3035"/>
      <c r="G33" s="3036"/>
      <c r="I33" s="3052" t="s">
        <v>2563</v>
      </c>
      <c r="J33" s="3052" t="s">
        <v>2573</v>
      </c>
    </row>
    <row r="34" spans="1:13">
      <c r="A34" s="3034" t="s">
        <v>2536</v>
      </c>
      <c r="B34" s="3035"/>
      <c r="C34" s="3035"/>
      <c r="D34" s="3035"/>
      <c r="E34" s="3035"/>
      <c r="F34" s="3035"/>
      <c r="G34" s="3036"/>
      <c r="I34" s="3052">
        <v>5</v>
      </c>
      <c r="J34" s="3052">
        <v>55.1</v>
      </c>
    </row>
    <row r="35" spans="1:13">
      <c r="A35" s="3034" t="s">
        <v>2537</v>
      </c>
      <c r="B35" s="3035"/>
      <c r="C35" s="3035"/>
      <c r="D35" s="3035"/>
      <c r="E35" s="3035"/>
      <c r="F35" s="3035"/>
      <c r="G35" s="3036"/>
      <c r="I35" s="3052">
        <v>10</v>
      </c>
      <c r="J35" s="3052">
        <v>67</v>
      </c>
      <c r="K35" s="3052">
        <f>J35-J34</f>
        <v>11.899999999999999</v>
      </c>
    </row>
    <row r="36" spans="1:13">
      <c r="A36" s="3034" t="s">
        <v>2538</v>
      </c>
      <c r="B36" s="3035"/>
      <c r="C36" s="3035"/>
      <c r="D36" s="3035"/>
      <c r="E36" s="3035"/>
      <c r="F36" s="3035"/>
      <c r="G36" s="3036"/>
      <c r="I36" s="3052">
        <v>15</v>
      </c>
      <c r="J36" s="3052">
        <v>76.3</v>
      </c>
      <c r="K36" s="3052">
        <f t="shared" ref="K36:K41" si="3">J36-J35</f>
        <v>9.2999999999999972</v>
      </c>
      <c r="L36" s="3052" t="s">
        <v>2566</v>
      </c>
      <c r="M36" s="3052" t="s">
        <v>2567</v>
      </c>
    </row>
    <row r="37" spans="1:13">
      <c r="A37" s="3034" t="s">
        <v>2539</v>
      </c>
      <c r="B37" s="3035"/>
      <c r="C37" s="3035"/>
      <c r="D37" s="3035"/>
      <c r="E37" s="3035"/>
      <c r="F37" s="3035"/>
      <c r="G37" s="3036"/>
      <c r="I37" s="3052">
        <v>20</v>
      </c>
      <c r="J37" s="3052">
        <v>83.6</v>
      </c>
      <c r="K37" s="3052">
        <f t="shared" si="3"/>
        <v>7.2999999999999972</v>
      </c>
      <c r="L37" s="3052" t="s">
        <v>2565</v>
      </c>
      <c r="M37" s="3052">
        <v>10</v>
      </c>
    </row>
    <row r="38" spans="1:13">
      <c r="A38" s="3034" t="s">
        <v>2540</v>
      </c>
      <c r="B38" s="3035"/>
      <c r="C38" s="3035"/>
      <c r="D38" s="3035"/>
      <c r="E38" s="3035"/>
      <c r="F38" s="3035"/>
      <c r="G38" s="3036"/>
      <c r="I38" s="3052">
        <v>25</v>
      </c>
      <c r="J38" s="3052">
        <v>89.3</v>
      </c>
      <c r="K38" s="3052">
        <f t="shared" si="3"/>
        <v>5.7000000000000028</v>
      </c>
      <c r="L38" s="3052" t="s">
        <v>2569</v>
      </c>
      <c r="M38" s="3052">
        <v>8</v>
      </c>
    </row>
    <row r="39" spans="1:13">
      <c r="A39" s="3034"/>
      <c r="B39" s="3035"/>
      <c r="C39" s="3035"/>
      <c r="D39" s="3035"/>
      <c r="E39" s="3035"/>
      <c r="F39" s="3035"/>
      <c r="G39" s="3036"/>
      <c r="I39" s="3052">
        <v>30</v>
      </c>
      <c r="J39" s="3052">
        <v>93.8</v>
      </c>
      <c r="K39" s="3052">
        <f t="shared" si="3"/>
        <v>4.5</v>
      </c>
      <c r="L39" s="3052" t="s">
        <v>2570</v>
      </c>
      <c r="M39" s="3052">
        <v>6</v>
      </c>
    </row>
    <row r="40" spans="1:13">
      <c r="A40" s="3037" t="s">
        <v>2541</v>
      </c>
      <c r="B40" s="3038"/>
      <c r="C40" s="3038"/>
      <c r="D40" s="3038"/>
      <c r="E40" s="3038"/>
      <c r="F40" s="3038"/>
      <c r="G40" s="3039"/>
      <c r="I40" s="3052">
        <v>35</v>
      </c>
      <c r="J40" s="3052">
        <v>97.2</v>
      </c>
      <c r="K40" s="3052">
        <f t="shared" si="3"/>
        <v>3.4000000000000057</v>
      </c>
      <c r="L40" s="3052" t="s">
        <v>2571</v>
      </c>
      <c r="M40" s="3052">
        <v>3</v>
      </c>
    </row>
    <row r="41" spans="1:13">
      <c r="A41" s="3040" t="s">
        <v>2542</v>
      </c>
      <c r="B41" s="3041" t="s">
        <v>2543</v>
      </c>
      <c r="C41" s="3042" t="s">
        <v>2544</v>
      </c>
      <c r="D41" s="3042" t="s">
        <v>2545</v>
      </c>
      <c r="E41" s="3043"/>
      <c r="F41" s="3044"/>
      <c r="G41" s="3045"/>
      <c r="I41" s="3052">
        <v>40</v>
      </c>
      <c r="J41" s="3052">
        <v>100</v>
      </c>
      <c r="K41" s="3052">
        <f t="shared" si="3"/>
        <v>2.7999999999999972</v>
      </c>
    </row>
    <row r="42" spans="1:13">
      <c r="A42" s="3040" t="s">
        <v>2546</v>
      </c>
      <c r="B42" s="3041" t="s">
        <v>2547</v>
      </c>
      <c r="C42" s="3042" t="s">
        <v>2548</v>
      </c>
      <c r="D42" s="3046" t="s">
        <v>2549</v>
      </c>
      <c r="E42" s="3038" t="s">
        <v>2550</v>
      </c>
      <c r="F42" s="3038"/>
      <c r="G42" s="3039"/>
    </row>
    <row r="43" spans="1:13">
      <c r="A43" s="3040" t="s">
        <v>2551</v>
      </c>
      <c r="B43" s="3041" t="s">
        <v>2552</v>
      </c>
      <c r="C43" s="3042" t="s">
        <v>2553</v>
      </c>
      <c r="D43" s="3042" t="s">
        <v>2554</v>
      </c>
      <c r="E43" s="3043" t="s">
        <v>2555</v>
      </c>
      <c r="F43" s="3044"/>
      <c r="G43" s="3045"/>
      <c r="I43" s="3052" t="s">
        <v>2563</v>
      </c>
      <c r="J43" s="3052" t="s">
        <v>2574</v>
      </c>
    </row>
    <row r="44" spans="1:13">
      <c r="A44" s="3040" t="s">
        <v>2556</v>
      </c>
      <c r="B44" s="3041" t="s">
        <v>2557</v>
      </c>
      <c r="C44" s="3042" t="s">
        <v>2558</v>
      </c>
      <c r="D44" s="3046">
        <v>0.5</v>
      </c>
      <c r="E44" s="3043" t="s">
        <v>2559</v>
      </c>
      <c r="F44" s="3044"/>
      <c r="G44" s="3045"/>
      <c r="I44" s="3052">
        <v>30</v>
      </c>
      <c r="J44" s="3052">
        <v>81.7</v>
      </c>
    </row>
    <row r="45" spans="1:13" ht="14.25" thickBot="1">
      <c r="A45" s="3047" t="s">
        <v>2560</v>
      </c>
      <c r="B45" s="3048" t="s">
        <v>2547</v>
      </c>
      <c r="C45" s="3049" t="s">
        <v>2547</v>
      </c>
      <c r="D45" s="3049" t="s">
        <v>2561</v>
      </c>
      <c r="E45" s="3050" t="s">
        <v>2562</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2" customWidth="1"/>
    <col min="12" max="13" width="10" style="2623"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3" t="s">
        <v>2168</v>
      </c>
      <c r="B1" s="3504" t="str">
        <f>IF(B10="北京市","北京市",C10)&amp;F10&amp;IF(结果表!G1="在建","出让国有建设用地使用权及在建建筑物",IF(结果表!G1="土地","出让国有建设用地使用权",))&amp;B9&amp;"预评估"</f>
        <v>北京市预评估</v>
      </c>
      <c r="C1" s="3505"/>
      <c r="D1" s="3505"/>
      <c r="E1" s="3505"/>
      <c r="F1" s="3505"/>
      <c r="G1" s="3505"/>
      <c r="H1" s="3505"/>
      <c r="I1" s="3506"/>
      <c r="J1" s="2466"/>
      <c r="K1" s="2365"/>
      <c r="L1" s="2366"/>
      <c r="M1" s="2366"/>
      <c r="N1" s="2367"/>
      <c r="O1" s="1576"/>
      <c r="P1" s="2367"/>
      <c r="Q1" s="2367"/>
      <c r="R1" s="2367"/>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4" t="s">
        <v>2169</v>
      </c>
      <c r="B2" s="2368"/>
      <c r="C2" s="2369"/>
      <c r="D2" s="2664"/>
      <c r="E2" s="2656"/>
      <c r="F2" s="2656"/>
      <c r="G2" s="2657"/>
      <c r="H2" s="2657"/>
      <c r="I2" s="2657"/>
      <c r="J2" s="2466"/>
      <c r="K2" s="2365"/>
      <c r="L2" s="2366"/>
      <c r="M2" s="2366"/>
      <c r="N2" s="2367"/>
      <c r="O2" s="1576"/>
      <c r="P2" s="2367"/>
      <c r="Q2" s="2367"/>
      <c r="R2" s="2367"/>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0">
        <v>45013</v>
      </c>
      <c r="C3" s="2371" t="s">
        <v>2171</v>
      </c>
      <c r="D3" s="2370">
        <f>B3</f>
        <v>45013</v>
      </c>
      <c r="E3" s="2657"/>
      <c r="F3" s="2657"/>
      <c r="G3" s="2657"/>
      <c r="H3" s="2657"/>
      <c r="I3" s="2657"/>
      <c r="J3" s="2466"/>
      <c r="K3" s="2365"/>
      <c r="L3" s="2366"/>
      <c r="M3" s="2366"/>
      <c r="N3" s="2367"/>
      <c r="O3" s="1576"/>
      <c r="P3" s="2367"/>
      <c r="Q3" s="2367"/>
      <c r="R3" s="2367"/>
      <c r="S3" s="1682"/>
      <c r="T3" s="1745"/>
      <c r="U3" s="1745"/>
      <c r="V3" s="1745"/>
      <c r="W3" s="1745"/>
      <c r="X3" s="1745"/>
      <c r="Y3" s="1745"/>
      <c r="Z3" s="1745"/>
      <c r="AA3" s="1745"/>
      <c r="AB3" s="1745"/>
    </row>
    <row r="4" spans="1:30" ht="13.5" thickBot="1">
      <c r="A4" s="1090" t="s">
        <v>2172</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6"/>
      <c r="P4" s="2367"/>
      <c r="Q4" s="2367"/>
      <c r="R4" s="2367"/>
      <c r="S4" s="1682"/>
      <c r="T4" s="1745"/>
      <c r="U4" s="1745"/>
      <c r="V4" s="1745"/>
      <c r="W4" s="1745"/>
      <c r="X4" s="1745"/>
      <c r="Y4" s="1745"/>
      <c r="Z4" s="1745"/>
      <c r="AA4" s="1745"/>
      <c r="AB4" s="1745"/>
    </row>
    <row r="5" spans="1:30" ht="13.5" thickTop="1">
      <c r="A5" s="2376" t="s">
        <v>2173</v>
      </c>
      <c r="B5" s="2377"/>
      <c r="C5" s="2378"/>
      <c r="D5" s="2379"/>
      <c r="E5" s="2658"/>
      <c r="F5" s="2658"/>
      <c r="G5" s="2658"/>
      <c r="H5" s="2658"/>
      <c r="I5" s="2658"/>
      <c r="J5" s="2436"/>
      <c r="K5" s="2375" t="str">
        <f>IF(F4="——","",IF(H4="——",F4&amp;"（注册号："&amp;G4&amp;")",CONCATENATE(F4,"（注册号：",G4,")、",H4,"（注册号：",I4,")")))</f>
        <v>（注册号：0)、（注册号：0)</v>
      </c>
      <c r="L5" s="2366"/>
      <c r="M5" s="2366"/>
      <c r="N5" s="2367"/>
      <c r="O5" s="1576"/>
      <c r="P5" s="2367"/>
      <c r="Q5" s="2367"/>
      <c r="R5" s="2367"/>
      <c r="S5" s="1745"/>
      <c r="T5" s="1745"/>
      <c r="U5" s="1745"/>
      <c r="V5" s="1745"/>
      <c r="W5" s="1745"/>
      <c r="X5" s="1745"/>
      <c r="Y5" s="1745"/>
      <c r="Z5" s="1745"/>
      <c r="AA5" s="1745"/>
      <c r="AB5" s="1745"/>
    </row>
    <row r="6" spans="1:30">
      <c r="A6" s="2380" t="s">
        <v>2174</v>
      </c>
      <c r="B6" s="2381"/>
      <c r="C6" s="2382"/>
      <c r="D6" s="2383"/>
      <c r="E6" s="2656"/>
      <c r="F6" s="2658"/>
      <c r="G6" s="2658"/>
      <c r="H6" s="2658"/>
      <c r="I6" s="2658"/>
      <c r="J6" s="2436"/>
      <c r="K6" s="2609" t="str">
        <f>IF(COUNTIF(B6,"*上海银行*"),"上海银行","")</f>
        <v/>
      </c>
      <c r="L6" s="2607"/>
      <c r="M6" s="2607"/>
      <c r="N6" s="2436"/>
      <c r="O6" s="2447"/>
      <c r="P6" s="2436"/>
      <c r="Q6" s="2436"/>
      <c r="R6" s="2436"/>
    </row>
    <row r="7" spans="1:30">
      <c r="A7" s="2380" t="s">
        <v>2175</v>
      </c>
      <c r="B7" s="2384"/>
      <c r="C7" s="2382"/>
      <c r="D7" s="2383"/>
      <c r="E7" s="2656"/>
      <c r="F7" s="2658"/>
      <c r="G7" s="2658"/>
      <c r="H7" s="2658"/>
      <c r="I7" s="2658"/>
      <c r="J7" s="2436"/>
      <c r="K7" s="2610"/>
      <c r="L7" s="2607"/>
      <c r="M7" s="2607"/>
      <c r="N7" s="2436"/>
      <c r="O7" s="2447"/>
      <c r="P7" s="2436"/>
      <c r="Q7" s="2436"/>
      <c r="R7" s="2436"/>
    </row>
    <row r="8" spans="1:30">
      <c r="A8" s="2385" t="s">
        <v>2176</v>
      </c>
      <c r="B8" s="2386"/>
      <c r="C8" s="2387"/>
      <c r="D8" s="3507" t="s">
        <v>2177</v>
      </c>
      <c r="E8" s="2388"/>
      <c r="F8" s="2389"/>
      <c r="G8" s="2657"/>
      <c r="H8" s="2657"/>
      <c r="I8" s="2657"/>
      <c r="J8" s="2436"/>
      <c r="K8" s="2608"/>
      <c r="L8" s="2607"/>
      <c r="M8" s="2607"/>
      <c r="N8" s="2436"/>
      <c r="O8" s="2447"/>
      <c r="P8" s="2436"/>
      <c r="Q8" s="2436"/>
      <c r="R8" s="2436"/>
    </row>
    <row r="9" spans="1:30" ht="13.5" thickBot="1">
      <c r="A9" s="2390" t="s">
        <v>2178</v>
      </c>
      <c r="B9" s="2391"/>
      <c r="C9" s="2392"/>
      <c r="D9" s="3508"/>
      <c r="E9" s="2391"/>
      <c r="F9" s="2393"/>
      <c r="G9" s="2659"/>
      <c r="H9" s="2659"/>
      <c r="I9" s="2659"/>
      <c r="J9" s="2436"/>
      <c r="K9" s="2610"/>
      <c r="L9" s="2607"/>
      <c r="M9" s="2607"/>
      <c r="N9" s="2436"/>
      <c r="O9" s="2447"/>
      <c r="P9" s="2436"/>
      <c r="Q9" s="2436"/>
      <c r="R9" s="2436"/>
    </row>
    <row r="10" spans="1:30" ht="13.5" thickTop="1">
      <c r="A10" s="2394" t="s">
        <v>2179</v>
      </c>
      <c r="B10" s="2395" t="s">
        <v>3375</v>
      </c>
      <c r="C10" s="2396"/>
      <c r="D10" s="2379"/>
      <c r="E10" s="2397" t="s">
        <v>2180</v>
      </c>
      <c r="F10" s="2660"/>
      <c r="G10" s="2661"/>
      <c r="H10" s="2662"/>
      <c r="I10" s="2663"/>
      <c r="J10" s="2436"/>
      <c r="K10" s="2610"/>
      <c r="L10" s="2607"/>
      <c r="M10" s="2607"/>
      <c r="N10" s="2436"/>
      <c r="O10" s="2447"/>
      <c r="P10" s="2436"/>
      <c r="Q10" s="2436"/>
      <c r="R10" s="2436"/>
    </row>
    <row r="11" spans="1:30">
      <c r="A11" s="2398" t="s">
        <v>2181</v>
      </c>
      <c r="B11" s="2399" t="s">
        <v>3376</v>
      </c>
      <c r="C11" s="2400"/>
      <c r="D11" s="2401"/>
      <c r="E11" s="2367"/>
      <c r="F11" s="2367"/>
      <c r="G11" s="2367"/>
      <c r="H11" s="2367"/>
      <c r="I11" s="2367"/>
      <c r="J11" s="3055"/>
      <c r="K11" s="3054"/>
      <c r="L11" s="2607"/>
      <c r="M11" s="2607"/>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3" t="s">
        <v>2575</v>
      </c>
      <c r="J12" s="3056"/>
      <c r="K12" s="2607"/>
      <c r="L12" s="2607"/>
      <c r="M12" s="2436"/>
      <c r="N12" s="2447"/>
      <c r="O12" s="2436"/>
      <c r="P12" s="2436"/>
      <c r="Q12" s="2436"/>
      <c r="AD12" s="1745"/>
    </row>
    <row r="13" spans="1:30">
      <c r="A13" s="3417" t="s">
        <v>3335</v>
      </c>
      <c r="B13" s="2404" t="s">
        <v>2190</v>
      </c>
      <c r="C13" s="856"/>
      <c r="D13" s="856">
        <v>54003</v>
      </c>
      <c r="E13" s="856"/>
      <c r="F13" s="856"/>
      <c r="G13" s="856"/>
      <c r="H13" s="856"/>
      <c r="I13" s="856"/>
      <c r="J13" s="3056"/>
      <c r="K13" s="2607"/>
      <c r="L13" s="2607"/>
      <c r="M13" s="2436"/>
      <c r="N13" s="2447"/>
      <c r="O13" s="2436"/>
      <c r="P13" s="2436"/>
      <c r="Q13" s="2436"/>
      <c r="AD13" s="1745"/>
    </row>
    <row r="14" spans="1:30">
      <c r="A14" s="1081"/>
      <c r="B14" s="2404" t="s">
        <v>2191</v>
      </c>
      <c r="C14" s="2405"/>
      <c r="D14" s="2405">
        <v>40</v>
      </c>
      <c r="E14" s="2405">
        <v>50</v>
      </c>
      <c r="F14" s="2405"/>
      <c r="G14" s="2405"/>
      <c r="H14" s="2405"/>
      <c r="I14" s="2405"/>
      <c r="J14" s="3057"/>
      <c r="K14" s="2607"/>
      <c r="L14" s="2607"/>
      <c r="M14" s="2436"/>
      <c r="N14" s="2447"/>
      <c r="O14" s="2436"/>
      <c r="P14" s="2436"/>
      <c r="Q14" s="2436"/>
      <c r="AD14" s="1745"/>
    </row>
    <row r="15" spans="1:30">
      <c r="A15" s="320"/>
      <c r="B15" s="2406" t="s">
        <v>2192</v>
      </c>
      <c r="C15" s="2407" t="str">
        <f>IF(A13="出让",IF(C13="","",ROUNDDOWN(MIN((C13-$D$3)/365,C14),2)),C14)</f>
        <v/>
      </c>
      <c r="D15" s="2407">
        <f>IF(A13="出让",IF(D13="","",ROUNDDOWN(MIN((D13-$D$3)/365,D14),2)),D14)</f>
        <v>24.63</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8"/>
      <c r="K15" s="2448"/>
      <c r="L15" s="2448"/>
      <c r="M15" s="2503"/>
      <c r="N15" s="2448"/>
      <c r="O15" s="2503"/>
      <c r="P15" s="2436"/>
      <c r="Q15" s="2436"/>
      <c r="AD15" s="1745"/>
    </row>
    <row r="16" spans="1:30">
      <c r="A16" s="2397" t="s">
        <v>2193</v>
      </c>
      <c r="B16" s="3514"/>
      <c r="C16" s="3515"/>
      <c r="D16" s="3516"/>
      <c r="E16" s="2410" t="s">
        <v>2194</v>
      </c>
      <c r="F16" s="3517"/>
      <c r="G16" s="3518"/>
      <c r="H16" s="3518"/>
      <c r="I16" s="3519"/>
      <c r="J16" s="2436"/>
      <c r="K16" s="2611"/>
      <c r="L16" s="2448"/>
      <c r="M16" s="2448"/>
      <c r="N16" s="2503"/>
      <c r="O16" s="2448"/>
      <c r="P16" s="2503"/>
      <c r="Q16" s="2436"/>
      <c r="R16" s="2436"/>
    </row>
    <row r="17" spans="1:28">
      <c r="A17" s="313" t="s">
        <v>2195</v>
      </c>
      <c r="B17" s="302" t="s">
        <v>2196</v>
      </c>
      <c r="C17" s="8">
        <f>'数据-汇总表'!E3</f>
        <v>70.150000000000006</v>
      </c>
      <c r="D17" s="2319" t="s">
        <v>2197</v>
      </c>
      <c r="E17" s="3520" t="s">
        <v>2198</v>
      </c>
      <c r="F17" s="3521"/>
      <c r="G17" s="3521"/>
      <c r="H17" s="3521"/>
      <c r="I17" s="3522"/>
      <c r="J17" s="2436"/>
      <c r="K17" s="2612"/>
      <c r="L17" s="2448"/>
      <c r="M17" s="2448"/>
      <c r="N17" s="2503"/>
      <c r="O17" s="2448"/>
      <c r="P17" s="2503"/>
      <c r="Q17" s="2436"/>
      <c r="R17" s="2436"/>
      <c r="S17" s="2436"/>
      <c r="T17" s="2436"/>
      <c r="U17" s="2436"/>
      <c r="V17" s="2436"/>
    </row>
    <row r="18" spans="1:28" ht="24.75" thickBot="1">
      <c r="A18" s="2411" t="s">
        <v>2199</v>
      </c>
      <c r="B18" s="1090" t="s">
        <v>2200</v>
      </c>
      <c r="C18" s="2412">
        <f>'数据-汇总表'!D3</f>
        <v>0</v>
      </c>
      <c r="D18" s="1092" t="s">
        <v>2201</v>
      </c>
      <c r="E18" s="3523" t="s">
        <v>2202</v>
      </c>
      <c r="F18" s="3524"/>
      <c r="G18" s="3524"/>
      <c r="H18" s="3524"/>
      <c r="I18" s="3525"/>
      <c r="J18" s="2436"/>
      <c r="K18" s="2612"/>
      <c r="L18" s="2448"/>
      <c r="M18" s="2448"/>
      <c r="N18" s="2503"/>
      <c r="O18" s="2448"/>
      <c r="P18" s="2503"/>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58"/>
      <c r="I19" s="2658"/>
      <c r="J19" s="2436"/>
      <c r="K19" s="2610"/>
      <c r="L19" s="2607"/>
      <c r="M19" s="2607"/>
      <c r="N19" s="2503"/>
      <c r="O19" s="2448"/>
      <c r="P19" s="2503"/>
      <c r="Q19" s="2436"/>
      <c r="R19" s="2436"/>
      <c r="S19" s="2436"/>
      <c r="T19" s="2436"/>
      <c r="U19" s="2436"/>
      <c r="V19" s="2436"/>
    </row>
    <row r="20" spans="1:28">
      <c r="A20" s="2626" t="s">
        <v>2205</v>
      </c>
      <c r="B20" s="3510" t="s">
        <v>2206</v>
      </c>
      <c r="C20" s="3511"/>
      <c r="D20" s="3512" t="s">
        <v>2207</v>
      </c>
      <c r="E20" s="3513"/>
      <c r="F20" s="2641" t="s">
        <v>1056</v>
      </c>
      <c r="G20" s="2658"/>
      <c r="H20" s="2658"/>
      <c r="I20" s="2658"/>
      <c r="J20" s="2436"/>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5"/>
      <c r="X20" s="1745"/>
      <c r="Y20" s="1745"/>
      <c r="Z20" s="1745"/>
      <c r="AA20" s="1745"/>
      <c r="AB20" s="1745"/>
    </row>
    <row r="21" spans="1:28" ht="24.75" thickBot="1">
      <c r="A21" s="2626"/>
      <c r="B21" s="2627" t="s">
        <v>2209</v>
      </c>
      <c r="C21" s="2628" t="s">
        <v>1057</v>
      </c>
      <c r="D21" s="1568" t="s">
        <v>2210</v>
      </c>
      <c r="E21" s="2629" t="s">
        <v>1057</v>
      </c>
      <c r="F21" s="2642"/>
      <c r="G21" s="2658"/>
      <c r="H21" s="2658"/>
      <c r="I21" s="2658"/>
      <c r="J21" s="2436"/>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5"/>
      <c r="X21" s="1745"/>
      <c r="Y21" s="1745"/>
      <c r="Z21" s="1745"/>
      <c r="AA21" s="1745"/>
      <c r="AB21" s="1745"/>
    </row>
    <row r="22" spans="1:28" ht="24.75" thickBot="1">
      <c r="A22" s="2626"/>
      <c r="B22" s="2630" t="s">
        <v>2211</v>
      </c>
      <c r="C22" s="2628" t="s">
        <v>1058</v>
      </c>
      <c r="D22" s="2657"/>
      <c r="E22" s="2657"/>
      <c r="F22" s="2657"/>
      <c r="G22" s="2658"/>
      <c r="H22" s="2658"/>
      <c r="I22" s="2658"/>
      <c r="J22" s="2436"/>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5"/>
      <c r="X22" s="1745"/>
      <c r="Y22" s="1745"/>
      <c r="Z22" s="1745"/>
      <c r="AA22" s="1745"/>
      <c r="AB22" s="1745"/>
    </row>
    <row r="23" spans="1:28">
      <c r="A23" s="2631" t="s">
        <v>2212</v>
      </c>
      <c r="B23" s="2496" t="s">
        <v>2213</v>
      </c>
      <c r="C23" s="2632"/>
      <c r="D23" s="2633" t="s">
        <v>2213</v>
      </c>
      <c r="E23" s="2634"/>
      <c r="F23" s="2657"/>
      <c r="G23" s="2658"/>
      <c r="H23" s="2658"/>
      <c r="I23" s="2658"/>
      <c r="J23" s="2436"/>
      <c r="K23" s="2613"/>
      <c r="L23" s="2470"/>
      <c r="M23" s="2607"/>
      <c r="N23" s="2503"/>
      <c r="O23" s="2448"/>
      <c r="P23" s="2503"/>
      <c r="Q23" s="2436"/>
      <c r="R23" s="2436"/>
      <c r="S23" s="2436"/>
      <c r="T23" s="2436"/>
      <c r="U23" s="2436"/>
      <c r="V23" s="2436"/>
    </row>
    <row r="24" spans="1:28">
      <c r="A24" s="2631"/>
      <c r="B24" s="2496" t="s">
        <v>1059</v>
      </c>
      <c r="C24" s="2635"/>
      <c r="D24" s="2631" t="s">
        <v>1059</v>
      </c>
      <c r="E24" s="2636"/>
      <c r="F24" s="2657"/>
      <c r="G24" s="2658"/>
      <c r="H24" s="2658"/>
      <c r="I24" s="2658"/>
      <c r="J24" s="2436"/>
      <c r="K24" s="2613"/>
      <c r="L24" s="2470"/>
      <c r="M24" s="2607"/>
      <c r="N24" s="2503"/>
      <c r="O24" s="2448"/>
      <c r="P24" s="2503"/>
      <c r="Q24" s="2436"/>
      <c r="R24" s="2436"/>
      <c r="S24" s="2436"/>
      <c r="T24" s="2436"/>
      <c r="U24" s="2436"/>
      <c r="V24" s="2436"/>
    </row>
    <row r="25" spans="1:28">
      <c r="A25" s="2631"/>
      <c r="B25" s="2496" t="s">
        <v>1060</v>
      </c>
      <c r="C25" s="2635"/>
      <c r="D25" s="2631" t="s">
        <v>1060</v>
      </c>
      <c r="E25" s="2636"/>
      <c r="F25" s="2657"/>
      <c r="G25" s="2658"/>
      <c r="H25" s="2658"/>
      <c r="I25" s="2658"/>
      <c r="J25" s="2436"/>
      <c r="K25" s="2610"/>
      <c r="L25" s="2607"/>
      <c r="M25" s="2607"/>
      <c r="N25" s="2503"/>
      <c r="O25" s="2448"/>
      <c r="P25" s="2503"/>
      <c r="Q25" s="2436"/>
      <c r="R25" s="2436"/>
      <c r="S25" s="2436"/>
      <c r="T25" s="2436"/>
      <c r="U25" s="2436"/>
      <c r="V25" s="2436"/>
    </row>
    <row r="26" spans="1:28" ht="13.5" thickBot="1">
      <c r="A26" s="2637"/>
      <c r="B26" s="2638" t="s">
        <v>1061</v>
      </c>
      <c r="C26" s="2639"/>
      <c r="D26" s="2637" t="s">
        <v>1061</v>
      </c>
      <c r="E26" s="2640"/>
      <c r="F26" s="2659"/>
      <c r="G26" s="2659"/>
      <c r="H26" s="2659"/>
      <c r="I26" s="2659"/>
      <c r="J26" s="2436"/>
      <c r="K26" s="2610"/>
      <c r="L26" s="2607"/>
      <c r="M26" s="2607"/>
      <c r="N26" s="2503"/>
      <c r="O26" s="2448"/>
      <c r="P26" s="2503"/>
      <c r="Q26" s="2436"/>
      <c r="R26" s="2436"/>
      <c r="S26" s="2436"/>
      <c r="T26" s="2436"/>
      <c r="U26" s="2436"/>
      <c r="V26" s="2436"/>
    </row>
    <row r="27" spans="1:28" ht="13.5" thickTop="1">
      <c r="A27" s="3527" t="s">
        <v>2214</v>
      </c>
      <c r="B27" s="320" t="s">
        <v>2215</v>
      </c>
      <c r="C27" s="2413"/>
      <c r="D27" s="2414"/>
      <c r="E27" s="2658"/>
      <c r="F27" s="2658"/>
      <c r="G27" s="2658"/>
      <c r="H27" s="2658"/>
      <c r="I27" s="2658"/>
      <c r="J27" s="2436"/>
      <c r="K27" s="2611"/>
      <c r="L27" s="2448"/>
      <c r="M27" s="2448"/>
      <c r="N27" s="2503"/>
      <c r="O27" s="2448"/>
      <c r="P27" s="2503"/>
      <c r="Q27" s="2436"/>
      <c r="R27" s="2436"/>
      <c r="S27" s="2436"/>
      <c r="T27" s="2436"/>
      <c r="U27" s="2436"/>
      <c r="V27" s="2436"/>
    </row>
    <row r="28" spans="1:28">
      <c r="A28" s="3527"/>
      <c r="B28" s="302" t="s">
        <v>2216</v>
      </c>
      <c r="C28" s="2415"/>
      <c r="D28" s="2416"/>
      <c r="E28" s="2658"/>
      <c r="F28" s="2658"/>
      <c r="G28" s="2658"/>
      <c r="H28" s="2658"/>
      <c r="I28" s="2658"/>
      <c r="J28" s="2436"/>
      <c r="K28" s="2610"/>
      <c r="L28" s="2607"/>
      <c r="M28" s="2607"/>
      <c r="N28" s="2436"/>
      <c r="O28" s="2447"/>
      <c r="P28" s="2436"/>
      <c r="Q28" s="2436"/>
      <c r="R28" s="2436"/>
      <c r="S28" s="2436"/>
      <c r="T28" s="2436"/>
      <c r="U28" s="2436"/>
      <c r="V28" s="2436"/>
    </row>
    <row r="29" spans="1:28">
      <c r="A29" s="3527"/>
      <c r="B29" s="302" t="s">
        <v>2217</v>
      </c>
      <c r="C29" s="2417"/>
      <c r="D29" s="2418"/>
      <c r="E29" s="2658"/>
      <c r="F29" s="2658"/>
      <c r="G29" s="2658"/>
      <c r="H29" s="2658"/>
      <c r="I29" s="2658"/>
      <c r="J29" s="2436"/>
      <c r="K29" s="2610"/>
      <c r="L29" s="2607"/>
      <c r="M29" s="2607"/>
      <c r="N29" s="2436"/>
      <c r="O29" s="2447"/>
      <c r="P29" s="2436"/>
      <c r="Q29" s="2436"/>
      <c r="R29" s="2436"/>
      <c r="S29" s="2436"/>
      <c r="T29" s="2436"/>
      <c r="U29" s="2436"/>
      <c r="V29" s="2436"/>
    </row>
    <row r="30" spans="1:28">
      <c r="A30" s="3528"/>
      <c r="B30" s="302" t="s">
        <v>2218</v>
      </c>
      <c r="C30" s="3529"/>
      <c r="D30" s="3530"/>
      <c r="E30" s="2658"/>
      <c r="F30" s="2658"/>
      <c r="G30" s="2658"/>
      <c r="H30" s="2658"/>
      <c r="I30" s="2658"/>
      <c r="J30" s="2436"/>
      <c r="K30" s="2610"/>
      <c r="L30" s="2607"/>
      <c r="M30" s="2607"/>
      <c r="N30" s="2436"/>
      <c r="O30" s="2447"/>
      <c r="P30" s="2436"/>
      <c r="Q30" s="2436"/>
      <c r="R30" s="2436"/>
      <c r="S30" s="2436"/>
      <c r="T30" s="2436"/>
      <c r="U30" s="2436"/>
      <c r="V30" s="2436"/>
    </row>
    <row r="31" spans="1:28">
      <c r="A31" s="3531" t="s">
        <v>2219</v>
      </c>
      <c r="B31" s="2419"/>
      <c r="C31" s="2320" t="str">
        <f>IF(B31="现房","成新及维护状况正常否",IF(B31="在建","工程状态是否正常",IF(B31="土地","是否闲置","-")))</f>
        <v>-</v>
      </c>
      <c r="D31" s="1373"/>
      <c r="E31" s="2420"/>
      <c r="F31" s="2658"/>
      <c r="G31" s="2658"/>
      <c r="H31" s="2658"/>
      <c r="I31" s="2658"/>
      <c r="J31" s="2436"/>
      <c r="K31" s="2609"/>
      <c r="L31" s="2607"/>
      <c r="M31" s="2607"/>
      <c r="N31" s="2436"/>
      <c r="O31" s="2447"/>
      <c r="P31" s="2436"/>
      <c r="Q31" s="2436"/>
      <c r="R31" s="2436"/>
      <c r="S31" s="2436"/>
      <c r="T31" s="2436"/>
      <c r="U31" s="2436"/>
      <c r="V31" s="2436"/>
    </row>
    <row r="32" spans="1:28">
      <c r="A32" s="3532"/>
      <c r="B32" s="2419"/>
      <c r="C32" s="2320" t="str">
        <f>IF(B32="现房","成新及维护状况是否正常",IF(B32="在建","工程状态是否正常",IF(B32="土地","是否闲置","-")))</f>
        <v>-</v>
      </c>
      <c r="D32" s="1373"/>
      <c r="E32" s="2420"/>
      <c r="F32" s="2658"/>
      <c r="G32" s="2658"/>
      <c r="H32" s="2658"/>
      <c r="I32" s="2658"/>
      <c r="J32" s="2436"/>
      <c r="K32" s="2610"/>
      <c r="L32" s="2607"/>
      <c r="M32" s="2607"/>
      <c r="N32" s="2436"/>
      <c r="O32" s="2447"/>
      <c r="P32" s="2436"/>
      <c r="Q32" s="2436"/>
      <c r="R32" s="2436"/>
      <c r="S32" s="2436"/>
      <c r="T32" s="2436"/>
      <c r="U32" s="2436"/>
      <c r="V32" s="2436"/>
    </row>
    <row r="33" spans="1:30">
      <c r="A33" s="3532"/>
      <c r="B33" s="2422"/>
      <c r="C33" s="1590" t="str">
        <f>IF(B33="现房","成新及维护状况是否正常",IF(B33="在建","工程状态是否正常",IF(B33="土地","是否闲置","-")))</f>
        <v>-</v>
      </c>
      <c r="D33" s="1365"/>
      <c r="E33" s="2423"/>
      <c r="F33" s="2658"/>
      <c r="G33" s="2658"/>
      <c r="H33" s="2658"/>
      <c r="I33" s="2658"/>
      <c r="J33" s="2436"/>
      <c r="K33" s="2610"/>
      <c r="L33" s="2607"/>
      <c r="M33" s="2607"/>
      <c r="N33" s="2436"/>
      <c r="O33" s="2447"/>
      <c r="P33" s="2436"/>
      <c r="Q33" s="2436"/>
      <c r="R33" s="2436"/>
      <c r="S33" s="2436"/>
      <c r="T33" s="2436"/>
      <c r="U33" s="2436"/>
      <c r="V33" s="2436"/>
    </row>
    <row r="34" spans="1:30">
      <c r="A34" s="302" t="s">
        <v>2220</v>
      </c>
      <c r="B34" s="2023"/>
      <c r="C34" s="2023"/>
      <c r="D34" s="2023"/>
      <c r="E34" s="2023"/>
      <c r="F34" s="2023"/>
      <c r="G34" s="2023"/>
      <c r="H34" s="2023"/>
      <c r="I34" s="2658"/>
      <c r="J34" s="2436"/>
      <c r="K34" s="2424">
        <f>COUNTIF(B34:H34,"——")</f>
        <v>0</v>
      </c>
      <c r="L34" s="323" t="s">
        <v>2221</v>
      </c>
      <c r="M34" s="323" t="s">
        <v>2222</v>
      </c>
      <c r="N34" s="323" t="s">
        <v>2223</v>
      </c>
      <c r="O34" s="323" t="s">
        <v>2224</v>
      </c>
      <c r="P34" s="323" t="s">
        <v>2225</v>
      </c>
      <c r="Q34" s="323" t="s">
        <v>2226</v>
      </c>
      <c r="R34" s="323" t="s">
        <v>2227</v>
      </c>
      <c r="S34" s="3526" t="s">
        <v>2228</v>
      </c>
      <c r="T34" s="2425" t="str">
        <f>NUMBERSTRING(7-K34,1)&amp;"通"</f>
        <v>七通</v>
      </c>
      <c r="U34" s="2436"/>
      <c r="V34" s="2436"/>
    </row>
    <row r="35" spans="1:30">
      <c r="A35" s="2426"/>
      <c r="B35" s="3533" t="s">
        <v>2229</v>
      </c>
      <c r="C35" s="3533"/>
      <c r="D35" s="3533"/>
      <c r="E35" s="3533"/>
      <c r="F35" s="664">
        <f>C10</f>
        <v>0</v>
      </c>
      <c r="G35" s="2658"/>
      <c r="H35" s="2658"/>
      <c r="I35" s="2658"/>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6"/>
      <c r="V35" s="2436"/>
    </row>
    <row r="36" spans="1:30">
      <c r="A36" s="2427"/>
      <c r="B36" s="664" t="s">
        <v>2185</v>
      </c>
      <c r="C36" s="664" t="s">
        <v>2186</v>
      </c>
      <c r="D36" s="664" t="s">
        <v>2184</v>
      </c>
      <c r="E36" s="664" t="s">
        <v>2189</v>
      </c>
      <c r="F36" s="3059" t="s">
        <v>2578</v>
      </c>
      <c r="G36" s="2658"/>
      <c r="H36" s="2658"/>
      <c r="I36" s="2658"/>
      <c r="J36" s="2436"/>
      <c r="K36" s="2610"/>
      <c r="L36" s="2607"/>
      <c r="M36" s="2607"/>
      <c r="N36" s="2436"/>
      <c r="O36" s="2447"/>
      <c r="P36" s="2436"/>
      <c r="Q36" s="2436"/>
      <c r="R36" s="2436"/>
      <c r="S36" s="2436"/>
      <c r="T36" s="2436"/>
      <c r="U36" s="2436"/>
      <c r="V36" s="2436"/>
    </row>
    <row r="37" spans="1:30">
      <c r="A37" s="2624" t="s">
        <v>2230</v>
      </c>
      <c r="B37" s="2428" t="s">
        <v>110</v>
      </c>
      <c r="C37" s="2428"/>
      <c r="D37" s="2428"/>
      <c r="E37" s="2428"/>
      <c r="F37" s="2428"/>
      <c r="G37" s="2658"/>
      <c r="H37" s="2658"/>
      <c r="I37" s="2658"/>
      <c r="J37" s="2436"/>
      <c r="K37" s="2610"/>
      <c r="L37" s="2607"/>
      <c r="M37" s="2607"/>
      <c r="N37" s="2436"/>
      <c r="O37" s="2447"/>
      <c r="P37" s="2436"/>
      <c r="Q37" s="2436"/>
      <c r="R37" s="2436"/>
      <c r="S37" s="2436"/>
      <c r="T37" s="2436"/>
      <c r="U37" s="2436"/>
      <c r="V37" s="2436"/>
    </row>
    <row r="38" spans="1:30" ht="13.5" thickBot="1">
      <c r="A38" s="2625" t="s">
        <v>2231</v>
      </c>
      <c r="B38" s="2429" t="s">
        <v>281</v>
      </c>
      <c r="C38" s="2429"/>
      <c r="D38" s="2429"/>
      <c r="E38" s="2429"/>
      <c r="F38" s="2429"/>
      <c r="G38" s="2659"/>
      <c r="H38" s="2659"/>
      <c r="I38" s="2659"/>
      <c r="J38" s="2436"/>
      <c r="K38" s="2610"/>
      <c r="L38" s="2607"/>
      <c r="M38" s="2607"/>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7"/>
      <c r="B40" s="2367"/>
      <c r="C40" s="2367"/>
      <c r="D40" s="2367"/>
      <c r="E40" s="2367"/>
      <c r="F40" s="2367"/>
      <c r="G40" s="2367"/>
      <c r="H40" s="2367"/>
      <c r="I40" s="1578"/>
      <c r="J40" s="2503"/>
      <c r="K40" s="2609"/>
      <c r="L40" s="2448"/>
      <c r="M40" s="2448"/>
      <c r="N40" s="2503"/>
      <c r="O40" s="2448"/>
      <c r="P40" s="2436"/>
      <c r="Q40" s="2436"/>
      <c r="R40" s="2436"/>
      <c r="S40" s="2436"/>
      <c r="T40" s="2436"/>
      <c r="U40" s="2436"/>
      <c r="V40" s="2436"/>
    </row>
    <row r="41" spans="1:30">
      <c r="A41" s="2433" t="s">
        <v>2233</v>
      </c>
      <c r="B41" s="1757"/>
      <c r="C41" s="1373"/>
      <c r="D41" s="2367"/>
      <c r="E41" s="2367"/>
      <c r="F41" s="2367"/>
      <c r="G41" s="2367"/>
      <c r="H41" s="2367"/>
      <c r="I41" s="1576"/>
      <c r="J41" s="2436"/>
      <c r="K41" s="2610"/>
      <c r="L41" s="2607"/>
      <c r="M41" s="2607"/>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1" sqref="M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70.150000000000006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70.150000000000006</v>
      </c>
      <c r="H5" s="13">
        <f t="shared" ref="H5:AT5" si="0">SUM(H13:H656)</f>
        <v>70.150000000000006</v>
      </c>
      <c r="I5" s="13">
        <f t="shared" si="0"/>
        <v>70.150000000000006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70.150000000000006</v>
      </c>
      <c r="BA5" s="15">
        <f t="shared" si="1"/>
        <v>70.150000000000006</v>
      </c>
      <c r="BB5" s="15">
        <f t="shared" si="1"/>
        <v>70.150000000000006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3380</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公寓</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70.150000000000006</v>
      </c>
      <c r="H13" s="17">
        <f>SUMIF(I$12:AB$12,"总值",I13:AB13)</f>
        <v>70.150000000000006</v>
      </c>
      <c r="I13" s="1626">
        <v>70.150000000000006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70.150000000000006</v>
      </c>
      <c r="BA13" s="13">
        <f>SUM(BB13:BK13)</f>
        <v>70.150000000000006</v>
      </c>
      <c r="BB13" s="13">
        <f>IF($D13="是",I13-J13,0)</f>
        <v>70.150000000000006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3"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3"/>
      <c r="G2" s="2644"/>
      <c r="H2" s="2645"/>
      <c r="I2" s="2322" t="s">
        <v>1132</v>
      </c>
      <c r="J2" s="2653"/>
      <c r="K2" s="2653"/>
      <c r="L2" s="2653"/>
      <c r="M2" s="2653"/>
      <c r="N2" s="2655"/>
      <c r="O2" s="2653"/>
      <c r="P2" s="2653"/>
    </row>
    <row r="3" spans="1:16" ht="15.75" thickBot="1">
      <c r="A3" s="3544" t="s">
        <v>1105</v>
      </c>
      <c r="B3" s="3544"/>
      <c r="C3" s="3544"/>
      <c r="D3" s="43">
        <f>'数据-基础表'!AY6</f>
        <v>0</v>
      </c>
      <c r="E3" s="43">
        <f>'数据-基础表'!AZ5</f>
        <v>70.150000000000006</v>
      </c>
      <c r="F3" s="2653"/>
      <c r="G3" s="1145"/>
      <c r="H3" s="1026" t="s">
        <v>1106</v>
      </c>
      <c r="I3" s="855" t="e">
        <f>ROUND('数据-基础表'!B3/'数据-基础表'!A3,2)</f>
        <v>#DIV/0!</v>
      </c>
      <c r="J3" s="2653"/>
      <c r="K3" s="2653"/>
      <c r="L3" s="2653"/>
      <c r="M3" s="2653"/>
      <c r="N3" s="2655"/>
      <c r="O3" s="2653"/>
      <c r="P3" s="2653"/>
    </row>
    <row r="4" spans="1:16" ht="15">
      <c r="A4" s="3545"/>
      <c r="B4" s="3546"/>
      <c r="C4" s="3547"/>
      <c r="D4" s="1641" t="s">
        <v>1107</v>
      </c>
      <c r="E4" s="1642" t="s">
        <v>1108</v>
      </c>
      <c r="F4" s="2653"/>
      <c r="G4" s="2646" t="s">
        <v>1133</v>
      </c>
      <c r="H4" s="1026" t="s">
        <v>1113</v>
      </c>
      <c r="I4" s="855" t="e">
        <f>ROUND(SUMIF('数据-基础表'!I9:AS9,"地上",'数据-基础表'!I5:AS5)/'数据-基础表'!A3,2)</f>
        <v>#DIV/0!</v>
      </c>
      <c r="J4" s="2653"/>
      <c r="K4" s="2653"/>
      <c r="L4" s="2653"/>
      <c r="M4" s="2653"/>
      <c r="N4" s="2655"/>
      <c r="O4" s="2653"/>
      <c r="P4" s="2653"/>
    </row>
    <row r="5" spans="1:16">
      <c r="A5" s="44" t="s">
        <v>1109</v>
      </c>
      <c r="B5" s="3548" t="s">
        <v>1110</v>
      </c>
      <c r="C5" s="3548"/>
      <c r="D5" s="45">
        <f>ROUND($D$3*E5/$E$3,2)</f>
        <v>0</v>
      </c>
      <c r="E5" s="46">
        <f>SUMIF('数据-基础表'!$11:$11,"住宅",'数据-基础表'!$5:$5)</f>
        <v>0</v>
      </c>
      <c r="F5" s="2653"/>
      <c r="G5" s="1145"/>
      <c r="H5" s="1026" t="s">
        <v>1106</v>
      </c>
      <c r="I5" s="855" t="e">
        <f>ROUND(E31/D31,2)</f>
        <v>#DIV/0!</v>
      </c>
      <c r="J5" s="2653"/>
      <c r="K5" s="2653"/>
      <c r="L5" s="2653"/>
      <c r="M5" s="2653"/>
      <c r="N5" s="2653"/>
      <c r="O5" s="2653"/>
      <c r="P5" s="2653"/>
    </row>
    <row r="6" spans="1:16" ht="15" thickBot="1">
      <c r="A6" s="1644"/>
      <c r="B6" s="3548" t="s">
        <v>1111</v>
      </c>
      <c r="C6" s="3548"/>
      <c r="D6" s="45">
        <f>ROUND($D$3*E6/$E$3,2)</f>
        <v>0</v>
      </c>
      <c r="E6" s="46">
        <f>E3-E5</f>
        <v>70.150000000000006</v>
      </c>
      <c r="F6" s="2653"/>
      <c r="G6" s="2647" t="s">
        <v>1112</v>
      </c>
      <c r="H6" s="1146" t="s">
        <v>1113</v>
      </c>
      <c r="I6" s="2648" t="e">
        <f>ROUND(F31/D31,2)</f>
        <v>#DIV/0!</v>
      </c>
      <c r="J6" s="2653"/>
      <c r="K6" s="2653"/>
      <c r="L6" s="2653"/>
      <c r="M6" s="2653"/>
      <c r="N6" s="2653"/>
      <c r="O6" s="2653"/>
      <c r="P6" s="2653"/>
    </row>
    <row r="7" spans="1:16" ht="15.75" thickBot="1">
      <c r="A7" s="3540"/>
      <c r="B7" s="3541"/>
      <c r="C7" s="3542"/>
      <c r="D7" s="1641" t="s">
        <v>1107</v>
      </c>
      <c r="E7" s="1645" t="s">
        <v>1114</v>
      </c>
      <c r="F7" s="2653"/>
      <c r="G7" s="2649" t="s">
        <v>1115</v>
      </c>
      <c r="H7" s="2650"/>
      <c r="I7" s="2651">
        <v>3.5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70.150000000000006</v>
      </c>
      <c r="F8" s="2653"/>
      <c r="G8" s="2654"/>
      <c r="H8" s="2654"/>
      <c r="I8" s="2653"/>
      <c r="J8" s="2653"/>
      <c r="K8" s="2653"/>
      <c r="L8" s="2653"/>
      <c r="M8" s="2653"/>
      <c r="N8" s="2653"/>
      <c r="O8" s="2653"/>
      <c r="P8" s="2653"/>
    </row>
    <row r="9" spans="1:16">
      <c r="A9" s="1646"/>
      <c r="B9" s="1647"/>
      <c r="C9" s="45" t="s">
        <v>1119</v>
      </c>
      <c r="D9" s="45">
        <f t="shared" si="0"/>
        <v>0</v>
      </c>
      <c r="E9" s="49">
        <v>0</v>
      </c>
      <c r="F9" s="2653"/>
      <c r="G9" s="2654"/>
      <c r="H9" s="2654"/>
      <c r="I9" s="2653"/>
      <c r="J9" s="2653"/>
      <c r="K9" s="2653"/>
      <c r="L9" s="2653"/>
      <c r="M9" s="2653"/>
      <c r="N9" s="2653"/>
      <c r="O9" s="2653"/>
      <c r="P9" s="2653"/>
    </row>
    <row r="10" spans="1:16">
      <c r="A10" s="1646"/>
      <c r="B10" s="1647"/>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6"/>
      <c r="B11" s="1647"/>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6"/>
      <c r="B12" s="1647"/>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6"/>
      <c r="B13" s="1647"/>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6"/>
      <c r="B14" s="1647"/>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6"/>
      <c r="B15" s="1647"/>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44"/>
      <c r="B16" s="1647"/>
      <c r="C16" s="47" t="s">
        <v>1123</v>
      </c>
      <c r="D16" s="47">
        <f>SUM(D8:D15)</f>
        <v>0</v>
      </c>
      <c r="E16" s="50">
        <f>SUM(E8:E15)</f>
        <v>70.150000000000006</v>
      </c>
      <c r="F16" s="2653"/>
      <c r="G16" s="2654"/>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1" t="s">
        <v>3382</v>
      </c>
      <c r="D19" s="45">
        <f>ROUND($D$3*E19/$E$3,2)</f>
        <v>0</v>
      </c>
      <c r="E19" s="53">
        <f t="shared" ref="E19:E26" si="1">SUM(F19:G19)</f>
        <v>70.150000000000006</v>
      </c>
      <c r="F19" s="2789">
        <v>70.150000000000006</v>
      </c>
      <c r="G19" s="2790"/>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70.150000000000006</v>
      </c>
    </row>
    <row r="20" spans="1:19">
      <c r="A20" s="1670"/>
      <c r="B20" s="47" t="s">
        <v>1153</v>
      </c>
      <c r="C20" s="3411"/>
      <c r="D20" s="45">
        <f t="shared" ref="D20:D26" si="6">ROUND($D$3*E20/$E$3,2)</f>
        <v>0</v>
      </c>
      <c r="E20" s="53">
        <f t="shared" si="1"/>
        <v>0</v>
      </c>
      <c r="F20" s="2789"/>
      <c r="G20" s="2790"/>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1"/>
      <c r="D21" s="45">
        <f t="shared" si="6"/>
        <v>0</v>
      </c>
      <c r="E21" s="53">
        <f t="shared" si="1"/>
        <v>0</v>
      </c>
      <c r="F21" s="2789"/>
      <c r="G21" s="2790"/>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2"/>
      <c r="D22" s="45">
        <f t="shared" si="6"/>
        <v>0</v>
      </c>
      <c r="E22" s="53">
        <f t="shared" si="1"/>
        <v>0</v>
      </c>
      <c r="F22" s="2791"/>
      <c r="G22" s="2792"/>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2"/>
      <c r="D23" s="45">
        <f>ROUND($D$3*E23/$E$3,2)</f>
        <v>0</v>
      </c>
      <c r="E23" s="53">
        <f>SUM(F23:G23)</f>
        <v>0</v>
      </c>
      <c r="F23" s="2791"/>
      <c r="G23" s="2792"/>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2"/>
      <c r="D24" s="45">
        <f>ROUND($D$3*E24/$E$3,2)</f>
        <v>0</v>
      </c>
      <c r="E24" s="53">
        <f>SUM(F24:G24)</f>
        <v>0</v>
      </c>
      <c r="F24" s="2791"/>
      <c r="G24" s="2792"/>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2"/>
      <c r="D25" s="45">
        <f t="shared" si="6"/>
        <v>0</v>
      </c>
      <c r="E25" s="53">
        <f t="shared" si="1"/>
        <v>0</v>
      </c>
      <c r="F25" s="2791"/>
      <c r="G25" s="2792"/>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1"/>
      <c r="G26" s="2792"/>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70.150000000000006</v>
      </c>
      <c r="F27" s="1140">
        <f>IF(SUM(F19:F26)=E8,SUM(F19:F26),"地上面积有误")</f>
        <v>70.150000000000006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70.150000000000006</v>
      </c>
    </row>
    <row r="28" spans="1:19">
      <c r="A28" s="1670"/>
      <c r="B28" s="47" t="s">
        <v>1155</v>
      </c>
      <c r="C28" s="1038"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70"/>
      <c r="B29" s="47" t="s">
        <v>1155</v>
      </c>
      <c r="C29" s="1674"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70"/>
      <c r="B30" s="47"/>
      <c r="C30" s="1675" t="s">
        <v>1154</v>
      </c>
      <c r="D30" s="1140">
        <f>SUM(D28:D29)</f>
        <v>0</v>
      </c>
      <c r="E30" s="1140">
        <f>SUM(E28:E29)</f>
        <v>0</v>
      </c>
      <c r="F30" s="1140">
        <f>SUM(F28:F29)</f>
        <v>0</v>
      </c>
      <c r="G30" s="1142">
        <f>SUM(G28:G29)</f>
        <v>0</v>
      </c>
      <c r="H30" s="2653"/>
      <c r="I30" s="2653"/>
      <c r="J30" s="2653"/>
      <c r="K30" s="2653"/>
      <c r="L30" s="2653"/>
      <c r="M30" s="2653"/>
      <c r="N30" s="2653"/>
      <c r="O30" s="2653"/>
      <c r="P30" s="2653"/>
    </row>
    <row r="31" spans="1:19" ht="15.75" thickBot="1">
      <c r="A31" s="1676"/>
      <c r="B31" s="1677"/>
      <c r="C31" s="835" t="s">
        <v>1158</v>
      </c>
      <c r="D31" s="676">
        <f>D27+D30</f>
        <v>0</v>
      </c>
      <c r="E31" s="676">
        <f>E27+E30</f>
        <v>70.150000000000006</v>
      </c>
      <c r="F31" s="677">
        <f>F27+F30</f>
        <v>70.150000000000006</v>
      </c>
      <c r="G31" s="678">
        <f>G27+G30</f>
        <v>0</v>
      </c>
      <c r="H31" s="2653"/>
      <c r="I31" s="2653"/>
      <c r="J31" s="2653"/>
      <c r="K31" s="2653"/>
      <c r="L31" s="2653"/>
      <c r="M31" s="2653"/>
      <c r="N31" s="2653"/>
      <c r="O31" s="2653"/>
      <c r="P31" s="2653"/>
    </row>
    <row r="32" spans="1:19">
      <c r="A32" s="1643"/>
      <c r="B32" s="1643" t="s">
        <v>1159</v>
      </c>
      <c r="C32" s="1643"/>
      <c r="D32" s="1643"/>
      <c r="E32" s="1053">
        <f>SUMIF(C19:C26,"*住宅*",E19:E26)</f>
        <v>0</v>
      </c>
      <c r="F32" s="1643"/>
      <c r="G32" s="1643"/>
      <c r="H32" s="2653"/>
      <c r="I32" s="2653"/>
      <c r="J32" s="2653"/>
      <c r="K32" s="2653"/>
      <c r="L32" s="2653"/>
      <c r="M32" s="2653"/>
      <c r="N32" s="2653"/>
      <c r="O32" s="2653"/>
      <c r="P32" s="2653"/>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4" style="1682" bestFit="1"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5"/>
      <c r="AO1" s="2665"/>
      <c r="AP1" s="2665"/>
      <c r="AQ1" s="2665"/>
      <c r="AR1" s="2665"/>
    </row>
    <row r="2" spans="1:67" s="1559" customFormat="1" ht="15.75" thickBot="1">
      <c r="A2" s="1683" t="s">
        <v>1161</v>
      </c>
      <c r="B2" s="1045">
        <f>项目基本情况!D3</f>
        <v>45013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7"/>
      <c r="AO2" s="2667"/>
      <c r="AP2" s="2667"/>
      <c r="AQ2" s="2667"/>
      <c r="AR2" s="2667"/>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7"/>
      <c r="AO3" s="2667"/>
      <c r="AP3" s="2667"/>
      <c r="AQ3" s="2667"/>
      <c r="AR3" s="2667"/>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2"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7"/>
      <c r="AO4" s="2667"/>
      <c r="AP4" s="2667"/>
      <c r="AQ4" s="2667"/>
      <c r="AR4" s="2667"/>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文化办公</v>
      </c>
      <c r="B6" s="1713" t="str">
        <f>IF(A6=0,"","经营性")</f>
        <v>经营性</v>
      </c>
      <c r="C6" s="1714" t="s">
        <v>673</v>
      </c>
      <c r="D6" s="858">
        <f>SUMIF(项目基本情况!C$12:I$12,C6,项目基本情况!C$14:I$14)</f>
        <v>40</v>
      </c>
      <c r="E6" s="857">
        <f>IF(B6="","",SUMIF(项目基本情况!C$12:I$12,C6,项目基本情况!C$13:I$13))</f>
        <v>54003</v>
      </c>
      <c r="F6" s="64">
        <f>SUMIF(项目基本情况!C$12:I$12,C6,项目基本情况!C$15:I$15)</f>
        <v>24.63</v>
      </c>
      <c r="G6" s="65">
        <f>IF(ISERROR(ROUND(POWER(1+H6,D6-F6)*(POWER(1+H6,F6)-1)/(POWER(1+H6,D6)-1),3)),0,ROUND(POWER(1+H6,D6-F6)*(POWER(1+H6,F6)-1)/(POWER(1+H6,D6)-1),3))</f>
        <v>0.79900000000000004</v>
      </c>
      <c r="H6" s="732">
        <v>4.4999999999999998E-2</v>
      </c>
      <c r="I6" s="732">
        <v>4.4999999999999998E-2</v>
      </c>
      <c r="J6" s="66">
        <v>5.5E-2</v>
      </c>
      <c r="K6" s="1030">
        <f>SUMIF('数据-汇总表'!C$19:C$33,A6,'数据-汇总表'!E$19:E$33)</f>
        <v>70.150000000000006</v>
      </c>
      <c r="L6" s="733">
        <v>4000</v>
      </c>
      <c r="M6" s="67">
        <f t="shared" ref="M6:M14" si="0">ROUND(K6*L6/10000,0)</f>
        <v>28</v>
      </c>
      <c r="N6" s="731">
        <v>0.83499999999999996</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2">
        <v>8000</v>
      </c>
      <c r="V6" s="70">
        <v>0.03</v>
      </c>
      <c r="W6" s="70">
        <v>0.05</v>
      </c>
      <c r="X6" s="1040"/>
      <c r="Y6" s="71">
        <f>N6</f>
        <v>0.83499999999999996</v>
      </c>
      <c r="Z6" s="72"/>
      <c r="AA6" s="66"/>
      <c r="AB6" s="66"/>
      <c r="AC6" s="1040"/>
      <c r="AD6" s="73"/>
      <c r="AE6" s="1041">
        <f ca="1">IF(AN6="",0,SUMIF(INDIRECT("'"&amp;AN6&amp;"'"&amp;"!E:E"),$AE$5,INDIRECT("'"&amp;AN6&amp;"'"&amp;"!F:F")))</f>
        <v>24.63</v>
      </c>
      <c r="AF6" s="1348"/>
      <c r="AG6" s="138">
        <f>IF(AF6="",0,AE6-AF6)</f>
        <v>0</v>
      </c>
      <c r="AH6" s="74">
        <v>1</v>
      </c>
      <c r="AI6" s="76">
        <v>12</v>
      </c>
      <c r="AJ6" s="77"/>
      <c r="AK6" s="78">
        <v>5.0000000000000001E-3</v>
      </c>
      <c r="AL6" s="79">
        <v>1E-3</v>
      </c>
      <c r="AM6" s="80">
        <v>0.01</v>
      </c>
      <c r="AN6" s="1715" t="s">
        <v>3384</v>
      </c>
      <c r="AO6" s="52">
        <f ca="1">SUMIF(INDIRECT("'"&amp;AN6&amp;"'"&amp;"!A:A"),"总价",INDIRECT("'"&amp;AN6&amp;"'"&amp;"!B:B"))</f>
        <v>149.21719999999999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2"/>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3"/>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2"/>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2"/>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2"/>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2"/>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4"/>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5"/>
      <c r="AO14" s="2667"/>
      <c r="AP14" s="2667"/>
      <c r="AQ14" s="2667"/>
      <c r="AR14" s="2667"/>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5"/>
      <c r="AO15" s="2667"/>
      <c r="AP15" s="2667"/>
      <c r="AQ15" s="2667"/>
      <c r="AR15" s="2667"/>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0.79900000000000004</v>
      </c>
      <c r="H16" s="90">
        <f>ROUND(SUMPRODUCT(H6:H13,K6:K13)/SUMPRODUCT((H6:H13&gt;0)*(K6:K13)),3)</f>
        <v>4.4999999999999998E-2</v>
      </c>
      <c r="I16" s="91"/>
      <c r="J16" s="91"/>
      <c r="K16" s="92">
        <f>SUM(K6:K15)</f>
        <v>70.150000000000006</v>
      </c>
      <c r="L16" s="93">
        <f>ROUND(M16*10000/SUM(K6:K14),0)</f>
        <v>3991</v>
      </c>
      <c r="M16" s="93">
        <f>SUM(M6:M14)</f>
        <v>28</v>
      </c>
      <c r="N16" s="94">
        <f>ROUND(SUMPRODUCT(M6:M14,N6:N14)/M16,3)</f>
        <v>0.83499999999999996</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2012</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2" t="s">
        <v>1211</v>
      </c>
      <c r="B19" s="103">
        <v>0</v>
      </c>
      <c r="C19" s="2793" t="s">
        <v>2301</v>
      </c>
      <c r="D19" s="2670"/>
      <c r="E19" s="2667"/>
      <c r="F19" s="2667"/>
      <c r="G19" s="2667"/>
      <c r="H19" s="2667"/>
      <c r="I19" s="2667"/>
      <c r="J19" s="2667"/>
      <c r="K19" s="2666"/>
      <c r="L19" s="2666"/>
      <c r="M19" s="2665"/>
      <c r="N19" s="2665">
        <f>ROUND(1-(2023-N18)/60,2)</f>
        <v>0.82</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3" t="s">
        <v>1212</v>
      </c>
      <c r="B20" s="104">
        <v>2</v>
      </c>
      <c r="C20" s="2794" t="s">
        <v>2299</v>
      </c>
      <c r="D20" s="2670"/>
      <c r="E20" s="2667"/>
      <c r="F20" s="2667"/>
      <c r="G20" s="2667"/>
      <c r="H20" s="2667"/>
      <c r="I20" s="2667"/>
      <c r="J20" s="2667"/>
      <c r="K20" s="2666"/>
      <c r="L20" s="2666"/>
      <c r="M20" s="2665"/>
      <c r="N20" s="2665">
        <v>0.85</v>
      </c>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4"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3"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4"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5"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7"/>
      <c r="B25" s="1687"/>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3" t="s">
        <v>1217</v>
      </c>
      <c r="B26" s="1726"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8" customFormat="1" ht="27.75">
      <c r="A27" s="1727"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14030</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31" t="s">
        <v>1230</v>
      </c>
      <c r="B37" s="115">
        <v>0.02</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9" t="s">
        <v>1231</v>
      </c>
      <c r="B38" s="113">
        <v>0.02</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2"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29.25" thickBot="1">
      <c r="A40" s="2809" t="s">
        <v>3385</v>
      </c>
      <c r="B40" s="1078">
        <f ca="1">IF(A40="利息：取LPR",存贷款利率!G1,存贷款利率!G1+C40)</f>
        <v>4.7500000000000001E-2</v>
      </c>
      <c r="C40" s="2808">
        <v>1.0999999999999999E-2</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7"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3"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3"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4"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4"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4"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5" t="s">
        <v>1239</v>
      </c>
      <c r="B47" s="120"/>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6"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2"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7"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30"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7" t="s">
        <v>1244</v>
      </c>
      <c r="B52" s="124">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9" t="s">
        <v>1245</v>
      </c>
      <c r="B53" s="1738"/>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9"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9"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9"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9"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9"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9"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9"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9"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9"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40"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3"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3"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3"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3"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3"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7" sqref="F7"/>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4" customFormat="1" ht="18.75" thickBot="1">
      <c r="A1" s="3549" t="s">
        <v>2282</v>
      </c>
      <c r="B1" s="3550"/>
      <c r="C1" s="3550"/>
      <c r="D1" s="3550"/>
      <c r="E1" s="3550"/>
      <c r="F1" s="3550"/>
      <c r="G1" s="3550"/>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9"/>
      <c r="I2" s="799"/>
      <c r="J2" s="799"/>
      <c r="K2" s="799"/>
      <c r="L2" s="799"/>
      <c r="M2" s="799"/>
      <c r="N2" s="799"/>
      <c r="O2" s="799"/>
      <c r="P2" s="799"/>
      <c r="Q2" s="799"/>
      <c r="R2" s="799"/>
    </row>
    <row r="3" spans="1:29" ht="48">
      <c r="A3" s="2438" t="s">
        <v>2280</v>
      </c>
      <c r="B3" s="2460" t="s">
        <v>2252</v>
      </c>
      <c r="C3" s="3453" t="s">
        <v>3431</v>
      </c>
      <c r="D3" s="2461"/>
      <c r="E3" s="2439" t="s">
        <v>2280</v>
      </c>
      <c r="F3" s="2462" t="s">
        <v>2253</v>
      </c>
      <c r="G3" s="2463" t="s">
        <v>2281</v>
      </c>
      <c r="H3" s="799"/>
      <c r="I3" s="799"/>
      <c r="J3" s="799"/>
      <c r="K3" s="799"/>
      <c r="L3" s="799"/>
      <c r="M3" s="799"/>
      <c r="N3" s="799"/>
      <c r="O3" s="799"/>
      <c r="P3" s="799"/>
      <c r="Q3" s="799"/>
      <c r="R3" s="799"/>
    </row>
    <row r="4" spans="1:29" ht="36">
      <c r="A4" s="2439"/>
      <c r="B4" s="323" t="s">
        <v>2254</v>
      </c>
      <c r="C4" s="3455" t="s">
        <v>3436</v>
      </c>
      <c r="D4" s="2461"/>
      <c r="E4" s="2464"/>
      <c r="F4" s="1373" t="s">
        <v>2255</v>
      </c>
      <c r="G4" s="2465" t="s">
        <v>2256</v>
      </c>
      <c r="H4" s="799"/>
      <c r="I4" s="799"/>
      <c r="J4" s="799"/>
      <c r="K4" s="799"/>
      <c r="L4" s="799"/>
      <c r="M4" s="799"/>
      <c r="N4" s="799"/>
      <c r="O4" s="799"/>
      <c r="P4" s="799"/>
      <c r="Q4" s="799"/>
      <c r="R4" s="799"/>
    </row>
    <row r="5" spans="1:29" ht="36">
      <c r="A5" s="2439"/>
      <c r="B5" s="323" t="s">
        <v>2257</v>
      </c>
      <c r="C5" s="3455" t="s">
        <v>3440</v>
      </c>
      <c r="D5" s="2461"/>
      <c r="E5" s="2464"/>
      <c r="F5" s="323" t="s">
        <v>2258</v>
      </c>
      <c r="G5" s="2465" t="s">
        <v>2259</v>
      </c>
      <c r="H5" s="799"/>
      <c r="I5" s="799"/>
      <c r="J5" s="799"/>
      <c r="K5" s="799"/>
      <c r="L5" s="799"/>
      <c r="M5" s="799"/>
      <c r="N5" s="799"/>
      <c r="O5" s="799"/>
      <c r="P5" s="799"/>
      <c r="Q5" s="799"/>
      <c r="R5" s="799"/>
    </row>
    <row r="6" spans="1:29" ht="96">
      <c r="A6" s="2439"/>
      <c r="B6" s="323" t="s">
        <v>2260</v>
      </c>
      <c r="C6" s="3454" t="s">
        <v>3432</v>
      </c>
      <c r="D6" s="2461"/>
      <c r="E6" s="2464"/>
      <c r="F6" s="323" t="s">
        <v>2261</v>
      </c>
      <c r="G6" s="2465" t="s">
        <v>2262</v>
      </c>
      <c r="H6" s="799"/>
      <c r="I6" s="799"/>
      <c r="J6" s="799"/>
      <c r="K6" s="799"/>
      <c r="L6" s="799"/>
      <c r="M6" s="799"/>
      <c r="N6" s="799"/>
      <c r="O6" s="799"/>
      <c r="P6" s="799"/>
      <c r="Q6" s="799"/>
      <c r="R6" s="799"/>
    </row>
    <row r="7" spans="1:29" ht="144.75" thickBot="1">
      <c r="A7" s="2439"/>
      <c r="B7" s="323" t="s">
        <v>2258</v>
      </c>
      <c r="C7" s="3454" t="s">
        <v>3434</v>
      </c>
      <c r="D7" s="2466"/>
      <c r="E7" s="2467"/>
      <c r="F7" s="2468" t="s">
        <v>2263</v>
      </c>
      <c r="G7" s="2469" t="s">
        <v>2264</v>
      </c>
      <c r="H7" s="799"/>
      <c r="I7" s="799"/>
      <c r="J7" s="799"/>
      <c r="K7" s="799"/>
      <c r="L7" s="799"/>
      <c r="M7" s="799"/>
      <c r="N7" s="799"/>
      <c r="O7" s="799"/>
      <c r="P7" s="799"/>
      <c r="Q7" s="799"/>
      <c r="R7" s="799"/>
    </row>
    <row r="8" spans="1:29">
      <c r="A8" s="2439"/>
      <c r="B8" s="323" t="s">
        <v>2261</v>
      </c>
      <c r="C8" s="2465" t="s">
        <v>2262</v>
      </c>
      <c r="D8" s="2466"/>
      <c r="E8" s="2466"/>
      <c r="F8" s="2470"/>
      <c r="G8" s="2470"/>
      <c r="H8" s="799"/>
      <c r="I8" s="799"/>
      <c r="J8" s="799"/>
      <c r="K8" s="799"/>
      <c r="L8" s="799"/>
      <c r="M8" s="799"/>
      <c r="N8" s="799"/>
      <c r="O8" s="799"/>
      <c r="P8" s="799"/>
      <c r="Q8" s="799"/>
      <c r="R8" s="799"/>
    </row>
    <row r="9" spans="1:29" ht="48">
      <c r="A9" s="2439"/>
      <c r="B9" s="323" t="s">
        <v>2265</v>
      </c>
      <c r="C9" s="3455" t="s">
        <v>3433</v>
      </c>
      <c r="D9" s="2461"/>
      <c r="E9" s="2466"/>
      <c r="F9" s="2470"/>
      <c r="G9" s="2470"/>
      <c r="H9" s="799"/>
      <c r="I9" s="799"/>
      <c r="J9" s="799"/>
      <c r="K9" s="799"/>
      <c r="L9" s="799"/>
      <c r="M9" s="799"/>
      <c r="N9" s="799"/>
      <c r="O9" s="799"/>
      <c r="P9" s="799"/>
      <c r="Q9" s="799"/>
      <c r="R9" s="799"/>
    </row>
    <row r="10" spans="1:29" s="2475" customFormat="1" ht="15" thickBot="1">
      <c r="A10" s="2440"/>
      <c r="B10" s="2471" t="s">
        <v>2266</v>
      </c>
      <c r="C10" s="3456" t="s">
        <v>3435</v>
      </c>
      <c r="D10" s="2461"/>
      <c r="E10" s="2461"/>
      <c r="F10" s="2470"/>
      <c r="G10" s="2470"/>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6"/>
      <c r="C11" s="2461"/>
      <c r="D11" s="2461"/>
      <c r="E11" s="2461"/>
      <c r="F11" s="2466"/>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4" customFormat="1" ht="18">
      <c r="A12" s="2476"/>
      <c r="B12" s="2466"/>
      <c r="C12" s="2461"/>
      <c r="D12" s="2478"/>
      <c r="E12" s="2461"/>
      <c r="F12" s="2466"/>
      <c r="G12" s="2477"/>
      <c r="H12" s="2479"/>
      <c r="I12" s="2480"/>
      <c r="J12" s="2479"/>
      <c r="K12" s="2479"/>
      <c r="L12" s="2481"/>
      <c r="M12" s="2479"/>
      <c r="N12" s="2482"/>
      <c r="O12" s="2483"/>
      <c r="P12" s="2482"/>
      <c r="Q12" s="2482"/>
      <c r="R12" s="2452"/>
      <c r="S12" s="2453"/>
      <c r="T12" s="2453"/>
      <c r="U12" s="2453"/>
      <c r="V12" s="2453"/>
      <c r="W12" s="2453"/>
      <c r="X12" s="2453"/>
      <c r="Y12" s="2453"/>
      <c r="Z12" s="2453"/>
      <c r="AA12" s="2453"/>
      <c r="AB12" s="2453"/>
      <c r="AC12" s="2453"/>
    </row>
    <row r="13" spans="1:29" ht="15.75" thickBot="1">
      <c r="A13" s="2484" t="s">
        <v>2283</v>
      </c>
      <c r="B13" s="2478"/>
      <c r="C13" s="2478"/>
      <c r="D13" s="2476"/>
      <c r="E13" s="2478"/>
      <c r="F13" s="2478"/>
      <c r="G13" s="2478"/>
    </row>
    <row r="14" spans="1:29" ht="15" thickBot="1">
      <c r="A14" s="2488"/>
      <c r="B14" s="2488"/>
      <c r="C14" s="2489" t="s">
        <v>2267</v>
      </c>
      <c r="D14" s="2461"/>
      <c r="E14" s="2490"/>
      <c r="F14" s="2490"/>
      <c r="G14" s="2457" t="s">
        <v>2268</v>
      </c>
    </row>
    <row r="15" spans="1:29" ht="51">
      <c r="A15" s="2441" t="s">
        <v>2269</v>
      </c>
      <c r="B15" s="2491" t="s">
        <v>2252</v>
      </c>
      <c r="C15" s="2492" t="str">
        <f>C3</f>
        <v>周边有华鼎世家、望京西园、宝星园等住宅小区，居住小区规模较大，综合评价居住社区成熟度较好。</v>
      </c>
      <c r="D15" s="2461"/>
      <c r="E15" s="2442" t="s">
        <v>2270</v>
      </c>
      <c r="F15" s="2491" t="s">
        <v>2271</v>
      </c>
      <c r="G15" s="2493" t="str">
        <f>G3</f>
        <v>估价对象位于XX开发区，园区建设成熟度XX，产业集聚程度XX</v>
      </c>
    </row>
    <row r="16" spans="1:29" ht="51">
      <c r="A16" s="2443"/>
      <c r="B16" s="2494" t="s">
        <v>2254</v>
      </c>
      <c r="C16" s="2495" t="str">
        <f>C4</f>
        <v>估价对象位于望京商圈，周边商业氛围成熟，有望京SOHO、悠乐汇等，人流量大，商业繁华度好</v>
      </c>
      <c r="D16" s="2461"/>
      <c r="E16" s="2444"/>
      <c r="F16" s="2496" t="s">
        <v>2255</v>
      </c>
      <c r="G16" s="2497" t="str">
        <f>G4</f>
        <v>估价对象周边道路状况、公共交通通达情况、停车便捷程度，综合评价交通便捷度较好</v>
      </c>
    </row>
    <row r="17" spans="1:18" ht="38.25">
      <c r="A17" s="2443"/>
      <c r="B17" s="2494" t="s">
        <v>2257</v>
      </c>
      <c r="C17" s="2495" t="str">
        <f>C5</f>
        <v>估价对象周边有望京SOHO、悠乐汇等同类型项目，综合评价物业聚集程度较好</v>
      </c>
      <c r="D17" s="2466"/>
      <c r="E17" s="2444"/>
      <c r="F17" s="2496" t="s">
        <v>2272</v>
      </c>
      <c r="G17" s="2498"/>
    </row>
    <row r="18" spans="1:18" ht="102">
      <c r="A18" s="2443"/>
      <c r="B18" s="2496" t="s">
        <v>2260</v>
      </c>
      <c r="C18" s="2497" t="str">
        <f>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8" s="2466"/>
      <c r="E18" s="2444"/>
      <c r="F18" s="2496" t="s">
        <v>2263</v>
      </c>
      <c r="G18" s="2497" t="str">
        <f>G7</f>
        <v>该园区内是否有污染型企业，绿化情况，卫生条件，整体环境状况判断</v>
      </c>
    </row>
    <row r="19" spans="1:18" ht="25.5">
      <c r="A19" s="2443"/>
      <c r="B19" s="2496" t="s">
        <v>2273</v>
      </c>
      <c r="C19" s="2498"/>
      <c r="D19" s="2461"/>
      <c r="E19" s="2444"/>
      <c r="F19" s="323" t="s">
        <v>2258</v>
      </c>
      <c r="G19" s="2497" t="str">
        <f>G5</f>
        <v>估价对象所在区域公共配套设施齐备情况</v>
      </c>
    </row>
    <row r="20" spans="1:18" ht="51">
      <c r="A20" s="2443"/>
      <c r="B20" s="2496" t="s">
        <v>2274</v>
      </c>
      <c r="C20" s="2495" t="str">
        <f>C9</f>
        <v xml:space="preserve">有望京文化体育公园等自然、人文设施；
综上，自然及人文环境一般。
</v>
      </c>
      <c r="D20" s="2466"/>
      <c r="E20" s="2444"/>
      <c r="F20" s="323" t="s">
        <v>2261</v>
      </c>
      <c r="G20" s="2497" t="str">
        <f>G6</f>
        <v>估价对象所在区域基础设施水平</v>
      </c>
    </row>
    <row r="21" spans="1:18" ht="165.75">
      <c r="A21" s="2443"/>
      <c r="B21" s="323" t="s">
        <v>2258</v>
      </c>
      <c r="C21" s="2497" t="str">
        <f>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1" s="2461"/>
      <c r="E21" s="2444"/>
      <c r="F21" s="2496" t="s">
        <v>2275</v>
      </c>
      <c r="G21" s="2499"/>
    </row>
    <row r="22" spans="1:18" ht="13.5" customHeight="1">
      <c r="A22" s="2443"/>
      <c r="B22" s="323" t="s">
        <v>2261</v>
      </c>
      <c r="C22" s="2497" t="str">
        <f>C8</f>
        <v>估价对象所在区域基础设施水平</v>
      </c>
      <c r="D22" s="2461"/>
      <c r="E22" s="2444"/>
      <c r="F22" s="2496" t="s">
        <v>2266</v>
      </c>
      <c r="G22" s="2498"/>
    </row>
    <row r="23" spans="1:18" s="799" customFormat="1" ht="15" thickBot="1">
      <c r="A23" s="2443"/>
      <c r="B23" s="2496" t="s">
        <v>2275</v>
      </c>
      <c r="C23" s="2499"/>
      <c r="D23" s="1741"/>
      <c r="E23" s="2445"/>
      <c r="F23" s="2500" t="s">
        <v>2276</v>
      </c>
      <c r="G23" s="2501"/>
      <c r="H23" s="2485"/>
      <c r="I23" s="2486"/>
      <c r="J23" s="2485"/>
      <c r="K23" s="2485"/>
      <c r="L23" s="2486"/>
      <c r="M23" s="2485"/>
      <c r="N23" s="2485"/>
      <c r="O23" s="2486"/>
      <c r="P23" s="2485"/>
      <c r="Q23" s="2485"/>
      <c r="R23" s="2487"/>
    </row>
    <row r="24" spans="1:18" s="799" customFormat="1" ht="15" thickBot="1">
      <c r="A24" s="2446"/>
      <c r="B24" s="2500" t="s">
        <v>2277</v>
      </c>
      <c r="C24" s="2502" t="str">
        <f>C10</f>
        <v>主干道-望京街</v>
      </c>
      <c r="D24" s="1741"/>
      <c r="E24" s="2436"/>
      <c r="F24" s="2436"/>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70.150000000000006</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45013</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251.37549999999999</v>
      </c>
      <c r="C5" s="2506" t="e">
        <f ca="1">IF(B5=D14,结果表!H102,ROUND(B5*10000/$B$1,0))</f>
        <v>#VALUE!</v>
      </c>
      <c r="D5" s="2506" t="e">
        <f ca="1">ROUND(B5*10000/$B$2,0)</f>
        <v>#DIV/0!</v>
      </c>
      <c r="E5" s="2680"/>
      <c r="F5" s="2681"/>
      <c r="G5" s="2681"/>
      <c r="H5" s="2682"/>
      <c r="I5" s="2682"/>
      <c r="J5" s="2682"/>
      <c r="K5" s="2682"/>
    </row>
    <row r="6" spans="1:11" ht="16.5">
      <c r="A6" s="2506" t="s">
        <v>656</v>
      </c>
      <c r="B6" s="2506">
        <f>SUM(G14:G23)</f>
        <v>0</v>
      </c>
      <c r="C6" s="2506">
        <f ca="1">IF(B6=G14,结果表!H108,ROUND(B6*10000/$B$1,0))</f>
        <v>0</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3359</v>
      </c>
      <c r="D10" s="2506" t="s">
        <v>3360</v>
      </c>
      <c r="E10" s="3435"/>
      <c r="F10" s="3439" t="s">
        <v>3361</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'数据-汇总表'!F19</f>
        <v>70.150000000000006</v>
      </c>
      <c r="C14" s="2512"/>
      <c r="D14" s="2512">
        <f ca="1">结果表!G22/10000</f>
        <v>251.37549999999999</v>
      </c>
      <c r="E14" s="2512">
        <f ca="1">ROUND(D14*10000/B14,0)</f>
        <v>35834</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31"/>
      <c r="H15" s="1331"/>
      <c r="I15" s="2513"/>
      <c r="J15" s="2681"/>
      <c r="K15" s="2682"/>
    </row>
    <row r="16" spans="1:11" ht="16.5">
      <c r="A16" s="2511" t="s">
        <v>648</v>
      </c>
      <c r="B16" s="2513"/>
      <c r="C16" s="2513"/>
      <c r="D16" s="2513"/>
      <c r="E16" s="2512" t="e">
        <f t="shared" si="0"/>
        <v>#DIV/0!</v>
      </c>
      <c r="F16" s="2512" t="e">
        <f t="shared" si="1"/>
        <v>#DIV/0!</v>
      </c>
      <c r="G16" s="1331"/>
      <c r="H16" s="1331"/>
      <c r="I16" s="2513"/>
      <c r="J16" s="2682"/>
      <c r="K16" s="2682"/>
    </row>
    <row r="17" spans="1:11" ht="16.5">
      <c r="A17" s="2511" t="s">
        <v>647</v>
      </c>
      <c r="B17" s="2513"/>
      <c r="C17" s="2513"/>
      <c r="D17" s="2513"/>
      <c r="E17" s="2512" t="e">
        <f t="shared" si="0"/>
        <v>#DIV/0!</v>
      </c>
      <c r="F17" s="2512" t="e">
        <f t="shared" si="1"/>
        <v>#DIV/0!</v>
      </c>
      <c r="G17" s="1331"/>
      <c r="H17" s="1331"/>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I12" sqref="I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3384</v>
      </c>
      <c r="D4" s="1756" t="s">
        <v>3437</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2</v>
      </c>
      <c r="D14" s="3612">
        <f>10-C14</f>
        <v>8</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643" t="s">
        <v>2131</v>
      </c>
      <c r="F18" s="3644"/>
      <c r="G18" s="3644"/>
      <c r="H18" s="3644"/>
      <c r="I18" s="3644"/>
      <c r="K18" s="302" t="s">
        <v>1289</v>
      </c>
      <c r="L18" s="302">
        <f>IF(C1="",'数据-汇总表'!E3,SUMIF(项目类型,C1,'数据-汇总表'!E17:E26)+SUMIF(项目类型,C1,'数据-汇总表'!I17:I26))</f>
        <v>70.150000000000006</v>
      </c>
      <c r="M18" s="302">
        <f>IF(C1="",'数据-汇总表'!E3,SUMIF(项目类型,C1,'数据-汇总表'!E17:E26))</f>
        <v>70.150000000000006</v>
      </c>
    </row>
    <row r="19" spans="1:36" ht="15">
      <c r="A19" s="1761" t="s">
        <v>1290</v>
      </c>
      <c r="B19" s="1762" t="s">
        <v>1291</v>
      </c>
      <c r="C19" s="134">
        <f ca="1">SUMIF(INDIRECT("'"&amp;C4&amp;"'"&amp;"!A:A"),结果表!B19,INDIRECT("'"&amp;C4&amp;"'"&amp;"!B:B"))</f>
        <v>149.21719999999999</v>
      </c>
      <c r="D19" s="135">
        <f ca="1">SUMIF(INDIRECT("'"&amp;D4&amp;"'"&amp;"!A:A"),结果表!B19,INDIRECT("'"&amp;D4&amp;"'"&amp;"!B:B"))</f>
        <v>276.9171</v>
      </c>
      <c r="E19" s="1761" t="s">
        <v>1292</v>
      </c>
      <c r="F19" s="1762" t="s">
        <v>1291</v>
      </c>
      <c r="G19" s="136">
        <f ca="1">ROUND(C19*$C$18+D19*$D$18,0)</f>
        <v>251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21271</v>
      </c>
      <c r="D20" s="138">
        <f ca="1">SUMIF(INDIRECT("'"&amp;D4&amp;"'"&amp;"!A:A"),结果表!B20,INDIRECT("'"&amp;D4&amp;"'"&amp;"!B:B"))</f>
        <v>39475</v>
      </c>
      <c r="E20" s="1764"/>
      <c r="F20" s="1026" t="s">
        <v>1295</v>
      </c>
      <c r="G20" s="139">
        <f ca="1">ROUND(C20*$C$18+D20*$D$18,0)</f>
        <v>35834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0.85579879531314096</v>
      </c>
      <c r="E22" s="129"/>
      <c r="F22" s="129"/>
      <c r="G22" s="129">
        <f ca="1">ROUND(G20*'数据-汇总表'!F19,0)</f>
        <v>2513755</v>
      </c>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f>'比较法-公寓'!C48</f>
        <v>39475</v>
      </c>
      <c r="G24" s="129">
        <v>0.6</v>
      </c>
      <c r="H24" s="129">
        <f ca="1">F24*G24+F25*G25+F26*G26</f>
        <v>32803.199999999997</v>
      </c>
      <c r="I24" s="129"/>
    </row>
    <row r="25" spans="1:36" ht="14.25">
      <c r="A25" s="3637"/>
      <c r="B25" s="1026" t="s">
        <v>1295</v>
      </c>
      <c r="C25" s="141">
        <f>IF(B30=0,0,C30)</f>
        <v>0</v>
      </c>
      <c r="D25" s="1770"/>
      <c r="E25" s="129"/>
      <c r="F25" s="129">
        <f ca="1">'收益法 (元)'!B3</f>
        <v>21271</v>
      </c>
      <c r="G25" s="129">
        <v>0.2</v>
      </c>
      <c r="H25" s="129"/>
      <c r="I25" s="129"/>
    </row>
    <row r="26" spans="1:36" ht="13.5" customHeight="1">
      <c r="A26" s="1771" t="s">
        <v>1300</v>
      </c>
      <c r="B26" s="142" t="s">
        <v>1301</v>
      </c>
      <c r="C26" s="142" t="s">
        <v>1302</v>
      </c>
      <c r="D26" s="143" t="s">
        <v>1303</v>
      </c>
      <c r="E26" s="129"/>
      <c r="F26" s="129">
        <f ca="1">'成本法 (元)'!B3</f>
        <v>24320</v>
      </c>
      <c r="G26" s="129">
        <v>0.2</v>
      </c>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3"/>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3" t="s">
        <v>1305</v>
      </c>
      <c r="B32" s="1774"/>
      <c r="C32" s="144">
        <f ca="1">IF(D32="总价",G19-C24,G20-C25)</f>
        <v>35834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t="e">
        <f ca="1">ROUND(H101*F45,0)</f>
        <v>#REF!</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17">
        <v>1</v>
      </c>
      <c r="K46" s="3554" t="s">
        <v>1331</v>
      </c>
      <c r="L46" s="3554"/>
      <c r="M46" s="3555"/>
      <c r="N46" s="3555"/>
      <c r="O46" s="3555"/>
    </row>
    <row r="47" spans="1:15" ht="12" customHeight="1">
      <c r="A47" s="160" t="s">
        <v>1332</v>
      </c>
      <c r="B47" s="161"/>
      <c r="C47" s="162"/>
      <c r="D47" s="1087" t="s">
        <v>1333</v>
      </c>
      <c r="E47" s="302" t="s">
        <v>1334</v>
      </c>
      <c r="F47" s="163" t="s">
        <v>1335</v>
      </c>
      <c r="G47" s="2540" t="s">
        <v>1336</v>
      </c>
      <c r="H47" s="2541"/>
      <c r="I47" s="159"/>
      <c r="J47" s="2517">
        <v>2</v>
      </c>
      <c r="K47" s="3554" t="s">
        <v>1337</v>
      </c>
      <c r="L47" s="3554"/>
      <c r="M47" s="3556">
        <f>'数据-取费表'!B2</f>
        <v>45013</v>
      </c>
      <c r="N47" s="3556"/>
      <c r="O47" s="3556"/>
    </row>
    <row r="48" spans="1:15" ht="25.5">
      <c r="A48" s="3616" t="s">
        <v>1338</v>
      </c>
      <c r="B48" s="3617"/>
      <c r="C48" s="3617"/>
      <c r="D48" s="2321" t="b">
        <f>IF(H48="情况1",0,IF(H48="情况2",D52,IF(H48="情况3",D53,IF(H48="情况4",D54))))</f>
        <v>0</v>
      </c>
      <c r="E48" s="2331" t="str">
        <f>IF(H48="情况4","(销售额-原购置价)×税（费）率","销售额×税（费）率")</f>
        <v>销售额×税（费）率</v>
      </c>
      <c r="F48" s="2542">
        <f>IF(H48="情况1","免征",'数据-取费表'!B41)</f>
        <v>5.6000000000000001E-2</v>
      </c>
      <c r="G48" s="2543" t="s">
        <v>1339</v>
      </c>
      <c r="H48" s="2544"/>
      <c r="I48" s="1806"/>
      <c r="J48" s="2517">
        <v>3</v>
      </c>
      <c r="K48" s="3554" t="s">
        <v>1340</v>
      </c>
      <c r="L48" s="3554"/>
      <c r="M48" s="3557" t="e">
        <f ca="1">H101</f>
        <v>#REF!</v>
      </c>
      <c r="N48" s="3557"/>
      <c r="O48" s="3557"/>
    </row>
    <row r="49" spans="1:35" ht="25.5" customHeight="1">
      <c r="A49" s="2330" t="s">
        <v>1341</v>
      </c>
      <c r="B49" s="3602" t="s">
        <v>1342</v>
      </c>
      <c r="C49" s="3602"/>
      <c r="D49" s="1590">
        <v>0</v>
      </c>
      <c r="E49" s="324" t="s">
        <v>1343</v>
      </c>
      <c r="F49" s="2421" t="s">
        <v>28</v>
      </c>
      <c r="G49" s="3585"/>
      <c r="H49" s="2307" t="s">
        <v>2134</v>
      </c>
      <c r="I49" s="2308"/>
      <c r="J49" s="2517">
        <v>4</v>
      </c>
      <c r="K49" s="3554" t="str">
        <f>IF(项目基本情况!E8="房地产抵押价值","房地产抵押价值","抵押担保权已注销时的房地产抵押价值")</f>
        <v>抵押担保权已注销时的房地产抵押价值</v>
      </c>
      <c r="L49" s="3554"/>
      <c r="M49" s="3557" t="str">
        <f>IF(项目基本情况!E8="房地产抵押价值",H107,H109)</f>
        <v>——</v>
      </c>
      <c r="N49" s="3557"/>
      <c r="O49" s="3557"/>
    </row>
    <row r="50" spans="1:35" ht="25.5" customHeight="1">
      <c r="A50" s="2545"/>
      <c r="B50" s="3602" t="s">
        <v>1344</v>
      </c>
      <c r="C50" s="3602"/>
      <c r="D50" s="2546"/>
      <c r="E50" s="332"/>
      <c r="F50" s="2421"/>
      <c r="G50" s="3586"/>
      <c r="H50" s="2309" t="s">
        <v>2135</v>
      </c>
      <c r="I50" s="2308"/>
      <c r="J50" s="3553" t="s">
        <v>1345</v>
      </c>
      <c r="K50" s="3553"/>
      <c r="L50" s="3553"/>
      <c r="M50" s="3553"/>
      <c r="N50" s="3553"/>
      <c r="O50" s="3553"/>
    </row>
    <row r="51" spans="1:35" ht="20.45" customHeight="1">
      <c r="A51" s="2547"/>
      <c r="B51" s="3602" t="s">
        <v>1346</v>
      </c>
      <c r="C51" s="3602"/>
      <c r="D51" s="1087"/>
      <c r="E51" s="327"/>
      <c r="F51" s="2421"/>
      <c r="G51" s="3587"/>
      <c r="H51" s="2309" t="s">
        <v>2136</v>
      </c>
      <c r="I51" s="2308"/>
      <c r="J51" s="2518" t="s">
        <v>1347</v>
      </c>
      <c r="K51" s="3554" t="s">
        <v>1348</v>
      </c>
      <c r="L51" s="3554"/>
      <c r="M51" s="2518" t="s">
        <v>1349</v>
      </c>
      <c r="N51" s="2518" t="s">
        <v>1350</v>
      </c>
      <c r="O51" s="2518" t="s">
        <v>1351</v>
      </c>
    </row>
    <row r="52" spans="1:35" ht="24" customHeight="1">
      <c r="A52" s="2332" t="s">
        <v>1352</v>
      </c>
      <c r="B52" s="3602" t="s">
        <v>1353</v>
      </c>
      <c r="C52" s="3602"/>
      <c r="D52" s="1087" t="e">
        <f ca="1">ROUND(D45*'数据-取费表'!B41/(1+'数据-取费表'!C42),0)</f>
        <v>#REF!</v>
      </c>
      <c r="E52" s="2331" t="s">
        <v>1354</v>
      </c>
      <c r="F52" s="2548">
        <f>'数据-取费表'!B41</f>
        <v>5.6000000000000001E-2</v>
      </c>
      <c r="G52" s="2549"/>
      <c r="H52" s="2538"/>
      <c r="I52" s="1807"/>
      <c r="J52" s="2517">
        <v>1</v>
      </c>
      <c r="K52" s="3579" t="s">
        <v>1355</v>
      </c>
      <c r="L52" s="3579"/>
      <c r="M52" s="2519" t="b">
        <f>D48</f>
        <v>0</v>
      </c>
      <c r="N52" s="2517" t="str">
        <f>E48</f>
        <v>销售额×税（费）率</v>
      </c>
      <c r="O52" s="2520">
        <f>F48</f>
        <v>5.6000000000000001E-2</v>
      </c>
    </row>
    <row r="53" spans="1:35" ht="12" customHeight="1">
      <c r="A53" s="2332" t="s">
        <v>1356</v>
      </c>
      <c r="B53" s="3603" t="s">
        <v>2287</v>
      </c>
      <c r="C53" s="3604"/>
      <c r="D53" s="1087" t="e">
        <f ca="1">ROUND(D45*'数据-取费表'!B41/(1+'数据-取费表'!C42),0)</f>
        <v>#REF!</v>
      </c>
      <c r="E53" s="2331" t="s">
        <v>1354</v>
      </c>
      <c r="F53" s="2548">
        <f>'数据-取费表'!B41</f>
        <v>5.6000000000000001E-2</v>
      </c>
      <c r="G53" s="2549"/>
      <c r="H53" s="2538"/>
      <c r="I53" s="1807"/>
      <c r="J53" s="2517">
        <v>2</v>
      </c>
      <c r="K53" s="3579" t="s">
        <v>1357</v>
      </c>
      <c r="L53" s="3579"/>
      <c r="M53" s="2519" t="e">
        <f t="shared" ref="M53:O54" ca="1" si="0">D55</f>
        <v>#REF!</v>
      </c>
      <c r="N53" s="2517" t="str">
        <f t="shared" si="0"/>
        <v>销售额×税（费）率</v>
      </c>
      <c r="O53" s="2520" t="str">
        <f t="shared" si="0"/>
        <v>免征</v>
      </c>
    </row>
    <row r="54" spans="1:35" ht="12" customHeight="1">
      <c r="A54" s="2332" t="s">
        <v>1358</v>
      </c>
      <c r="B54" s="3603" t="s">
        <v>2288</v>
      </c>
      <c r="C54" s="3604"/>
      <c r="D54" s="1087" t="e">
        <f ca="1">C68</f>
        <v>#REF!</v>
      </c>
      <c r="E54" s="327" t="s">
        <v>1359</v>
      </c>
      <c r="F54" s="2548">
        <f>'数据-取费表'!B41</f>
        <v>5.6000000000000001E-2</v>
      </c>
      <c r="G54" s="2549"/>
      <c r="H54" s="2550"/>
      <c r="I54" s="1807"/>
      <c r="J54" s="2517">
        <v>3</v>
      </c>
      <c r="K54" s="3579" t="s">
        <v>1360</v>
      </c>
      <c r="L54" s="3579"/>
      <c r="M54" s="2519" t="e">
        <f t="shared" ca="1" si="0"/>
        <v>#REF!</v>
      </c>
      <c r="N54" s="2517" t="str">
        <f t="shared" si="0"/>
        <v>增值额×税（费）率</v>
      </c>
      <c r="O54" s="2521" t="str">
        <f t="shared" si="0"/>
        <v>免征</v>
      </c>
    </row>
    <row r="55" spans="1:35" ht="24" customHeight="1">
      <c r="A55" s="3639" t="s">
        <v>1361</v>
      </c>
      <c r="B55" s="3617"/>
      <c r="C55" s="3617"/>
      <c r="D55" s="2321" t="e">
        <f ca="1">IF(H55="个人住宅",0,ROUND(D45*I55,0))</f>
        <v>#REF!</v>
      </c>
      <c r="E55" s="2331" t="s">
        <v>1362</v>
      </c>
      <c r="F55" s="2548" t="str">
        <f>IF(H55="正常",I55,"免征")</f>
        <v>免征</v>
      </c>
      <c r="G55" s="2549"/>
      <c r="H55" s="2544"/>
      <c r="I55" s="165">
        <f>'数据-取费表'!B49</f>
        <v>5.0000000000000001E-4</v>
      </c>
      <c r="J55" s="2517">
        <f>IF(H59="非个人房产","",4)</f>
        <v>4</v>
      </c>
      <c r="K55" s="3579" t="str">
        <f>IF(H59="非个人房产","——","个人所得税")</f>
        <v>个人所得税</v>
      </c>
      <c r="L55" s="3579"/>
      <c r="M55" s="2522" t="e">
        <f ca="1">D59</f>
        <v>#REF!</v>
      </c>
      <c r="N55" s="2037" t="str">
        <f>E59</f>
        <v>差额计税</v>
      </c>
      <c r="O55" s="2523">
        <f>F59</f>
        <v>0.01</v>
      </c>
    </row>
    <row r="56" spans="1:35" ht="24.75">
      <c r="A56" s="3639" t="s">
        <v>1363</v>
      </c>
      <c r="B56" s="3617"/>
      <c r="C56" s="3617"/>
      <c r="D56" s="2321" t="e">
        <f ca="1">IF(H56="个人住宅",D57,D58)</f>
        <v>#REF!</v>
      </c>
      <c r="E56" s="2331" t="s">
        <v>1364</v>
      </c>
      <c r="F56" s="2548" t="str">
        <f>IF(H56="正常",F58,"免征")</f>
        <v>免征</v>
      </c>
      <c r="G56" s="2551" t="s">
        <v>1365</v>
      </c>
      <c r="H56" s="2552"/>
      <c r="I56" s="1808"/>
      <c r="J56" s="2517" t="str">
        <f>IF(项目基本情况!K6="上海银行",IF(J55="",4,J55+1),"")</f>
        <v/>
      </c>
      <c r="K56" s="3560" t="str">
        <f>IF(项目基本情况!K6="上海银行","其他处置费用","")</f>
        <v/>
      </c>
      <c r="L56" s="3561"/>
      <c r="M56" s="2519" t="str">
        <f>IF(项目基本情况!K6="上海银行",M69,"")</f>
        <v/>
      </c>
      <c r="N56" s="3560" t="str">
        <f>IF(项目基本情况!K6="上海银行","包含处置中涉及的律师、诉讼、拍卖、评估等费用","")</f>
        <v/>
      </c>
      <c r="O56" s="3563"/>
    </row>
    <row r="57" spans="1:35" ht="12.75">
      <c r="A57" s="2332" t="s">
        <v>1341</v>
      </c>
      <c r="B57" s="3603" t="s">
        <v>1366</v>
      </c>
      <c r="C57" s="3604"/>
      <c r="D57" s="1590">
        <v>0</v>
      </c>
      <c r="E57" s="324" t="s">
        <v>1343</v>
      </c>
      <c r="F57" s="302"/>
      <c r="G57" s="2549"/>
      <c r="H57" s="2553"/>
      <c r="I57" s="1808"/>
      <c r="J57" s="3579">
        <f>IF(AND(J55="",J56=""),4,IF(项目基本情况!K6="上海银行",结果表!J56+1,结果表!J55+1))</f>
        <v>5</v>
      </c>
      <c r="K57" s="3579" t="s">
        <v>1367</v>
      </c>
      <c r="L57" s="2524" t="s">
        <v>1368</v>
      </c>
      <c r="M57" s="2525"/>
      <c r="N57" s="2526">
        <f ca="1">SUMIF(M52:M56,"&lt;9e307")</f>
        <v>0</v>
      </c>
      <c r="O57" s="2527"/>
      <c r="P57" s="2684" t="e">
        <f ca="1">N57/M49</f>
        <v>#VALUE!</v>
      </c>
    </row>
    <row r="58" spans="1:35" ht="24.75">
      <c r="A58" s="2332" t="s">
        <v>1352</v>
      </c>
      <c r="B58" s="3603" t="s">
        <v>1369</v>
      </c>
      <c r="C58" s="3602"/>
      <c r="D58" s="2321" t="e">
        <f ca="1">IF(H58="转让取得",C81,C97)</f>
        <v>#REF!</v>
      </c>
      <c r="E58" s="2331" t="s">
        <v>1364</v>
      </c>
      <c r="F58" s="302" t="s">
        <v>28</v>
      </c>
      <c r="G58" s="2549"/>
      <c r="H58" s="2552"/>
      <c r="I58" s="1808"/>
      <c r="J58" s="3579"/>
      <c r="K58" s="3579"/>
      <c r="L58" s="2524" t="s">
        <v>1370</v>
      </c>
      <c r="M58" s="2528"/>
      <c r="N58" s="2529" t="str">
        <f ca="1">NUMBERSTRING(INT(N57*10000),2)&amp;"元整"</f>
        <v>零元整</v>
      </c>
      <c r="O58" s="2530"/>
    </row>
    <row r="59" spans="1:35" ht="24.75" thickBot="1">
      <c r="A59" s="3583" t="s">
        <v>1371</v>
      </c>
      <c r="B59" s="3584"/>
      <c r="C59" s="3584"/>
      <c r="D59" s="2554" t="e">
        <f ca="1">IF(H59="非个人房产","——",IF(H59="个人住宅（满五唯一有凭证）",0,IF(H59="个人其他（无凭证）",ROUND(D45*F59,0),ROUND(C67*F59,0))))</f>
        <v>#REF!</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11"/>
      <c r="I59" s="2310" t="s">
        <v>2137</v>
      </c>
      <c r="J59" s="3581">
        <f>J57+1</f>
        <v>6</v>
      </c>
      <c r="K59" s="3579" t="s">
        <v>1372</v>
      </c>
      <c r="L59" s="2517" t="s">
        <v>1368</v>
      </c>
      <c r="M59" s="2531"/>
      <c r="N59" s="2532" t="e">
        <f ca="1">M49-N57</f>
        <v>#VALUE!</v>
      </c>
      <c r="O59" s="2533"/>
    </row>
    <row r="60" spans="1:35" ht="12" customHeight="1">
      <c r="A60" s="1809"/>
      <c r="B60" s="1747"/>
      <c r="C60" s="1747"/>
      <c r="D60" s="1747"/>
      <c r="E60" s="1578"/>
      <c r="F60" s="1808"/>
      <c r="G60" s="1808"/>
      <c r="H60" s="1810"/>
      <c r="I60" s="129"/>
      <c r="J60" s="3582"/>
      <c r="K60" s="3579"/>
      <c r="L60" s="2524" t="s">
        <v>1370</v>
      </c>
      <c r="M60" s="2528"/>
      <c r="N60" s="2529" t="e">
        <f ca="1">NUMBERSTRING(INT(N59*10000),2)&amp;"元整"</f>
        <v>#VALUE!</v>
      </c>
      <c r="O60" s="2530"/>
    </row>
    <row r="61" spans="1:35" ht="13.5" thickBot="1">
      <c r="A61" s="3638" t="s">
        <v>1373</v>
      </c>
      <c r="B61" s="3638"/>
      <c r="C61" s="3638"/>
      <c r="D61" s="3638"/>
      <c r="E61" s="3638"/>
      <c r="F61" s="1808"/>
      <c r="G61" s="1808"/>
      <c r="H61" s="1810"/>
      <c r="I61" s="129"/>
      <c r="J61" s="2517">
        <f>J59+1</f>
        <v>7</v>
      </c>
      <c r="K61" s="3579" t="s">
        <v>1374</v>
      </c>
      <c r="L61" s="3579"/>
      <c r="M61" s="2534"/>
      <c r="N61" s="2535" t="e">
        <f ca="1">ROUND(N59*10000/'数据-汇总表'!E3,0)</f>
        <v>#VALUE!</v>
      </c>
      <c r="O61" s="2536"/>
    </row>
    <row r="62" spans="1:35" ht="12.75">
      <c r="A62" s="3598" t="s">
        <v>1375</v>
      </c>
      <c r="B62" s="3599"/>
      <c r="C62" s="2018"/>
      <c r="D62" s="2018" t="s">
        <v>1376</v>
      </c>
      <c r="E62" s="166" t="s">
        <v>1377</v>
      </c>
      <c r="F62" s="1808"/>
      <c r="G62" s="1808"/>
      <c r="H62" s="1810"/>
      <c r="I62" s="129"/>
    </row>
    <row r="63" spans="1:35" ht="12.75">
      <c r="A63" s="173" t="s">
        <v>330</v>
      </c>
      <c r="B63" s="167" t="s">
        <v>1378</v>
      </c>
      <c r="C63" s="2558" t="e">
        <f ca="1">ROUND((C64+C65)/(1+'数据-取费表'!C42),0)</f>
        <v>#REF!</v>
      </c>
      <c r="D63" s="167"/>
      <c r="E63" s="168"/>
      <c r="F63" s="1808"/>
      <c r="G63" s="1808"/>
      <c r="H63" s="1810"/>
      <c r="I63" s="129"/>
      <c r="J63" s="3562" t="s">
        <v>1379</v>
      </c>
      <c r="K63" s="1332" t="s">
        <v>1380</v>
      </c>
      <c r="L63" s="1332" t="e">
        <f>IF(M49&gt;10000,M49*0.5%,IF(AND(M49&gt;1000,M49&lt;=10000),M49*1%,IF(AND(M49&gt;100,M49&lt;=1000),M49*3%,IF(AND(M49&gt;10,M49&lt;=100),M49*5%,M49*8%))))</f>
        <v>#VALUE!</v>
      </c>
      <c r="M63" s="302" t="e">
        <f>ROUND(L63,1)</f>
        <v>#VALUE!</v>
      </c>
      <c r="N63" s="2537"/>
      <c r="Z63" s="1752"/>
      <c r="AI63" s="1753"/>
    </row>
    <row r="64" spans="1:35" ht="14.25" customHeight="1">
      <c r="A64" s="169" t="s">
        <v>325</v>
      </c>
      <c r="B64" s="170" t="s">
        <v>1381</v>
      </c>
      <c r="C64" s="2559" t="e">
        <f ca="1">D45</f>
        <v>#REF!</v>
      </c>
      <c r="D64" s="170" t="s">
        <v>26</v>
      </c>
      <c r="E64" s="172"/>
      <c r="F64" s="1808"/>
      <c r="G64" s="1808"/>
      <c r="H64" s="1810"/>
      <c r="I64" s="129"/>
      <c r="J64" s="356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8" t="s">
        <v>1383</v>
      </c>
      <c r="Z64" s="1752"/>
      <c r="AI64" s="1753"/>
    </row>
    <row r="65" spans="1:35" ht="14.25" customHeight="1">
      <c r="A65" s="169" t="s">
        <v>326</v>
      </c>
      <c r="B65" s="170" t="s">
        <v>1384</v>
      </c>
      <c r="C65" s="2560"/>
      <c r="D65" s="170"/>
      <c r="E65" s="172"/>
      <c r="F65" s="1808"/>
      <c r="G65" s="1808"/>
      <c r="H65" s="1810"/>
      <c r="I65" s="129"/>
      <c r="J65" s="3562"/>
      <c r="K65" s="1332" t="s">
        <v>1385</v>
      </c>
      <c r="L65" s="1332" t="e">
        <f>IF(M49&gt;1000,M49*0.1%,IF(AND(M49&gt;500,M49&lt;=1000),M49*0.5%,IF(AND(M49&gt;50,M49&lt;=500),M49*1%,IF(AND(M49&gt;1,M49&lt;=50),M49*1.5%))))</f>
        <v>#VALUE!</v>
      </c>
      <c r="M65" s="302" t="e">
        <f t="shared" si="1"/>
        <v>#VALUE!</v>
      </c>
      <c r="N65" s="2538" t="s">
        <v>1383</v>
      </c>
      <c r="Z65" s="1752"/>
      <c r="AI65" s="1753"/>
    </row>
    <row r="66" spans="1:35" ht="14.25" customHeight="1">
      <c r="A66" s="173" t="s">
        <v>327</v>
      </c>
      <c r="B66" s="174" t="s">
        <v>1386</v>
      </c>
      <c r="C66" s="2561"/>
      <c r="D66" s="174" t="s">
        <v>26</v>
      </c>
      <c r="E66" s="1338" t="s">
        <v>671</v>
      </c>
      <c r="F66" s="1808"/>
      <c r="G66" s="1808"/>
      <c r="H66" s="1810"/>
      <c r="I66" s="129"/>
      <c r="J66" s="3562"/>
      <c r="K66" s="1332" t="s">
        <v>1387</v>
      </c>
      <c r="L66" s="1332" t="e">
        <f>M49*0.5%</f>
        <v>#VALUE!</v>
      </c>
      <c r="M66" s="302" t="e">
        <f>IF(L66&gt;0.5,0.5,ROUND(L66,0))</f>
        <v>#VALUE!</v>
      </c>
      <c r="N66" s="2538" t="s">
        <v>1388</v>
      </c>
      <c r="Z66" s="1752"/>
      <c r="AI66" s="1753"/>
    </row>
    <row r="67" spans="1:35" ht="14.25" customHeight="1">
      <c r="A67" s="173" t="s">
        <v>328</v>
      </c>
      <c r="B67" s="174" t="s">
        <v>1389</v>
      </c>
      <c r="C67" s="2562" t="e">
        <f ca="1">C63-C66</f>
        <v>#REF!</v>
      </c>
      <c r="D67" s="170" t="s">
        <v>26</v>
      </c>
      <c r="E67" s="172"/>
      <c r="F67" s="1808"/>
      <c r="G67" s="1808"/>
      <c r="H67" s="1810"/>
      <c r="I67" s="129"/>
      <c r="J67" s="356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7"/>
      <c r="Z67" s="1752"/>
      <c r="AI67" s="1753"/>
    </row>
    <row r="68" spans="1:35" ht="14.25" customHeight="1" thickBot="1">
      <c r="A68" s="176" t="s">
        <v>329</v>
      </c>
      <c r="B68" s="177" t="s">
        <v>1391</v>
      </c>
      <c r="C68" s="2563" t="e">
        <f ca="1">IF(C67&lt;=0,0,ROUND(C67*D68,0))</f>
        <v>#REF!</v>
      </c>
      <c r="D68" s="2564">
        <f>'数据-取费表'!B41</f>
        <v>5.6000000000000001E-2</v>
      </c>
      <c r="E68" s="178"/>
      <c r="F68" s="1808"/>
      <c r="G68" s="1808"/>
      <c r="H68" s="1810"/>
      <c r="I68" s="129"/>
      <c r="J68" s="3562"/>
      <c r="K68" s="1332" t="s">
        <v>1392</v>
      </c>
      <c r="L68" s="1332" t="e">
        <f>IF(M49&gt;10000,M49*0.5%,IF(AND(M49&gt;5000,M49&lt;=10000),M49*1%,IF(AND(M49&gt;1000,M49&lt;=5000),M49*2%,IF(AND(M49&gt;200,M49&lt;=1000),M49*3%,M49*5%))))</f>
        <v>#VALUE!</v>
      </c>
      <c r="M68" s="302" t="e">
        <f>ROUND(L68,1)</f>
        <v>#VALUE!</v>
      </c>
      <c r="N68" s="2537"/>
      <c r="Z68" s="1752"/>
      <c r="AI68" s="1753"/>
    </row>
    <row r="69" spans="1:35" s="1772" customFormat="1" ht="16.5" customHeight="1">
      <c r="A69" s="1811"/>
      <c r="B69" s="1812"/>
      <c r="C69" s="1813"/>
      <c r="D69" s="1814"/>
      <c r="E69" s="1815"/>
      <c r="F69" s="1578"/>
      <c r="G69" s="1578"/>
      <c r="H69" s="1577"/>
      <c r="I69" s="1747"/>
      <c r="J69" s="3562"/>
      <c r="K69" s="1332" t="s">
        <v>1393</v>
      </c>
      <c r="L69" s="1332"/>
      <c r="M69" s="302" t="e">
        <f>ROUND(SUM(M63:M68),0)</f>
        <v>#VALUE!</v>
      </c>
      <c r="N69" s="2539"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85"/>
      <c r="K70" s="2685"/>
      <c r="L70" s="2685"/>
      <c r="M70" s="2685"/>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18"/>
      <c r="D71" s="2018" t="s">
        <v>1376</v>
      </c>
      <c r="E71" s="179" t="s">
        <v>1377</v>
      </c>
      <c r="F71" s="180"/>
      <c r="G71" s="180"/>
      <c r="H71" s="181"/>
      <c r="I71" s="1820"/>
      <c r="J71" s="2685"/>
      <c r="K71" s="2685"/>
      <c r="L71" s="2685"/>
      <c r="M71" s="2685"/>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2" t="e">
        <f ca="1">ROUND(D45/(1+'数据-取费表'!C42),0)</f>
        <v>#REF!</v>
      </c>
      <c r="D72" s="170" t="s">
        <v>26</v>
      </c>
      <c r="E72" s="2328"/>
      <c r="F72" s="2327"/>
      <c r="G72" s="2327"/>
      <c r="H72" s="182"/>
      <c r="I72" s="1820"/>
      <c r="J72" s="2685"/>
      <c r="K72" s="2685"/>
      <c r="L72" s="2685"/>
      <c r="M72" s="2685"/>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2" t="e">
        <f ca="1">C74+C78</f>
        <v>#REF!</v>
      </c>
      <c r="D73" s="170" t="s">
        <v>26</v>
      </c>
      <c r="E73" s="2328"/>
      <c r="F73" s="2327"/>
      <c r="G73" s="2327"/>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8"/>
      <c r="F74" s="2327"/>
      <c r="G74" s="2327"/>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5"/>
      <c r="D75" s="170" t="s">
        <v>26</v>
      </c>
      <c r="E75" s="184" t="s">
        <v>1399</v>
      </c>
      <c r="F75" s="2566"/>
      <c r="G75" s="184" t="s">
        <v>1400</v>
      </c>
      <c r="H75" s="2567"/>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68">
        <v>0.05</v>
      </c>
      <c r="E76" s="3603" t="s">
        <v>1402</v>
      </c>
      <c r="F76" s="3602"/>
      <c r="G76" s="3602"/>
      <c r="H76" s="360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69">
        <f>'数据-取费表'!B48+'数据-取费表'!B49</f>
        <v>3.0499999999999999E-2</v>
      </c>
      <c r="E77" s="2321" t="s">
        <v>1404</v>
      </c>
      <c r="F77" s="186"/>
      <c r="G77" s="1822"/>
      <c r="H77" s="2329"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0" t="e">
        <f ca="1">ROUND(D45*D78/(1+'数据-取费表'!C42),0)</f>
        <v>#REF!</v>
      </c>
      <c r="D78" s="2571">
        <f>'数据-取费表'!B43</f>
        <v>6.000000000000001E-3</v>
      </c>
      <c r="E78" s="3595" t="s">
        <v>1406</v>
      </c>
      <c r="F78" s="3596"/>
      <c r="G78" s="3596"/>
      <c r="H78" s="359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2" t="e">
        <f ca="1">C72-C73</f>
        <v>#REF!</v>
      </c>
      <c r="D79" s="170" t="s">
        <v>26</v>
      </c>
      <c r="E79" s="2328"/>
      <c r="F79" s="2327"/>
      <c r="G79" s="2327"/>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2"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3" t="e">
        <f ca="1">ROUND(IF(C79&lt;=0,0,IF(C80&gt;=200%,C79*60%-C73*35%,IF(C80&gt;=100%,C79*50%-C73*15%,IF(C80&gt;=50%,C79*40%-C73*5%,IF(C80&lt;50%,C79*30%,0))))),0)</f>
        <v>#REF!</v>
      </c>
      <c r="D81" s="2574"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18"/>
      <c r="D84" s="2018"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2" t="e">
        <f ca="1">ROUND(D45/(1+'数据-取费表'!C42),0)</f>
        <v>#REF!</v>
      </c>
      <c r="D85" s="170" t="s">
        <v>26</v>
      </c>
      <c r="E85" s="2328"/>
      <c r="F85" s="2327"/>
      <c r="G85" s="2327"/>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2" t="e">
        <f ca="1">IF(H88="仅含出让金",C87+C90+C91+C92+C93+C94,C87+C91+C92+C93+C94)</f>
        <v>#REF!</v>
      </c>
      <c r="D86" s="2575"/>
      <c r="E86" s="2328"/>
      <c r="F86" s="2327"/>
      <c r="G86" s="2327"/>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0">
        <f>C88+C89</f>
        <v>0</v>
      </c>
      <c r="D87" s="2571"/>
      <c r="E87" s="2323"/>
      <c r="F87" s="2324"/>
      <c r="G87" s="2324"/>
      <c r="H87" s="2325"/>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6"/>
      <c r="D88" s="2571"/>
      <c r="E88" s="193" t="s">
        <v>1413</v>
      </c>
      <c r="F88" s="2324"/>
      <c r="G88" s="194" t="s">
        <v>1414</v>
      </c>
      <c r="H88" s="1824"/>
      <c r="I88" s="1821"/>
      <c r="J88" s="2515"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0">
        <f>ROUND(C88*D89,0)</f>
        <v>0</v>
      </c>
      <c r="D89" s="2571">
        <f>'数据-取费表'!B48+'数据-取费表'!B49</f>
        <v>3.0499999999999999E-2</v>
      </c>
      <c r="E89" s="193" t="s">
        <v>1415</v>
      </c>
      <c r="F89" s="2324"/>
      <c r="G89" s="2324"/>
      <c r="H89" s="2325"/>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6"/>
      <c r="D90" s="2571"/>
      <c r="E90" s="193" t="str">
        <f>IF(H88="-","土地取得成本中已包含该笔费用"," ")</f>
        <v xml:space="preserve"> </v>
      </c>
      <c r="F90" s="2324"/>
      <c r="G90" s="3564" t="s">
        <v>2129</v>
      </c>
      <c r="H90" s="3565"/>
      <c r="I90" s="1821"/>
      <c r="J90" s="2515"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0">
        <f>IF(H91="——",成本法!C33,I91)</f>
        <v>0</v>
      </c>
      <c r="D91" s="2571"/>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0">
        <f>ROUND((C87+C90+C91)*D92,0)</f>
        <v>0</v>
      </c>
      <c r="D92" s="2577"/>
      <c r="E92" s="3595" t="s">
        <v>1422</v>
      </c>
      <c r="F92" s="3596"/>
      <c r="G92" s="3596"/>
      <c r="H92" s="3597"/>
      <c r="I92" s="1821"/>
      <c r="J92" s="2516"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0" t="e">
        <f ca="1">ROUND(D45*D93/(1+'数据-取费表'!C42),0)</f>
        <v>#REF!</v>
      </c>
      <c r="D93" s="2571">
        <f>'数据-取费表'!B43</f>
        <v>6.000000000000001E-3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6">
        <f>ROUND((C87+C90+C91)*D94,0)</f>
        <v>0</v>
      </c>
      <c r="D94" s="2571">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2" t="e">
        <f ca="1">ROUND(C85-C86,0)</f>
        <v>#REF!</v>
      </c>
      <c r="D95" s="170" t="s">
        <v>26</v>
      </c>
      <c r="E95" s="2328"/>
      <c r="F95" s="2327"/>
      <c r="G95" s="2327"/>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2"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3" t="e">
        <f ca="1">ROUND(IF(C95&lt;=0,0,IF(C96&gt;=200%,C95*60%-C86*35%,IF(C96&gt;=100%,C95*50%-C86*15%,IF(C96&gt;=50%,C95*40%-C86*5%,IF(C96&lt;50%,C95*30%,0))))),0)</f>
        <v>#REF!</v>
      </c>
      <c r="D97" s="2574"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79" t="str">
        <f>C4</f>
        <v>收益法 (元)</v>
      </c>
      <c r="D101" s="2580" t="str">
        <f>D4</f>
        <v>比较法-公寓</v>
      </c>
      <c r="E101" s="3558" t="s">
        <v>1431</v>
      </c>
      <c r="F101" s="3559"/>
      <c r="G101" s="1827" t="s">
        <v>1432</v>
      </c>
      <c r="H101" s="2589" t="e">
        <f ca="1">H118</f>
        <v>#REF!</v>
      </c>
      <c r="I101" s="129"/>
    </row>
    <row r="102" spans="1:35" ht="18.75" customHeight="1">
      <c r="A102" s="3590" t="s">
        <v>1433</v>
      </c>
      <c r="B102" s="2578" t="s">
        <v>1432</v>
      </c>
      <c r="C102" s="2579">
        <f ca="1">IF(D32="楼面单价",ROUND(C19,0),C19)</f>
        <v>149.21719999999999</v>
      </c>
      <c r="D102" s="2580">
        <f ca="1">IF(D32="楼面单价",ROUND(D19,0),D19)</f>
        <v>276.9171</v>
      </c>
      <c r="E102" s="3558"/>
      <c r="F102" s="3559"/>
      <c r="G102" s="1827" t="s">
        <v>1434</v>
      </c>
      <c r="H102" s="2549" t="e">
        <f ca="1">I118</f>
        <v>#REF!</v>
      </c>
      <c r="I102" s="129"/>
    </row>
    <row r="103" spans="1:35" ht="42.75" customHeight="1">
      <c r="A103" s="3590"/>
      <c r="B103" s="2578" t="s">
        <v>1434</v>
      </c>
      <c r="C103" s="2581">
        <f ca="1">C20</f>
        <v>21271</v>
      </c>
      <c r="D103" s="2582">
        <f ca="1">D20</f>
        <v>39475</v>
      </c>
      <c r="E103" s="3551" t="s">
        <v>1435</v>
      </c>
      <c r="F103" s="3552"/>
      <c r="G103" s="1828" t="s">
        <v>1436</v>
      </c>
      <c r="H103" s="2589">
        <f>IF(D36="正常操作",H104+H105+H106,H105+H106)</f>
        <v>0</v>
      </c>
      <c r="I103" s="129"/>
    </row>
    <row r="104" spans="1:35" ht="18.75" customHeight="1">
      <c r="A104" s="3590" t="s">
        <v>1437</v>
      </c>
      <c r="B104" s="2583" t="s">
        <v>1432</v>
      </c>
      <c r="C104" s="2584" t="e">
        <f ca="1">H118</f>
        <v>#REF!</v>
      </c>
      <c r="D104" s="2585"/>
      <c r="E104" s="1674" t="s">
        <v>1438</v>
      </c>
      <c r="F104" s="1666"/>
      <c r="G104" s="1828" t="s">
        <v>1436</v>
      </c>
      <c r="H104" s="2590">
        <f>IF(D36="同一抵押权人同一抵押物续贷",C36&amp;"（续贷，未扣减，详见特别提示）",C36)</f>
        <v>0</v>
      </c>
      <c r="I104" s="129"/>
    </row>
    <row r="105" spans="1:35" ht="18.75" customHeight="1" thickBot="1">
      <c r="A105" s="3600"/>
      <c r="B105" s="2586" t="s">
        <v>1434</v>
      </c>
      <c r="C105" s="2587" t="e">
        <f ca="1">I118</f>
        <v>#REF!</v>
      </c>
      <c r="D105" s="2588"/>
      <c r="E105" s="1674" t="s">
        <v>1439</v>
      </c>
      <c r="F105" s="1666"/>
      <c r="G105" s="1828" t="s">
        <v>1436</v>
      </c>
      <c r="H105" s="2591">
        <f>C37</f>
        <v>0</v>
      </c>
      <c r="I105" s="129"/>
    </row>
    <row r="106" spans="1:35" ht="18.75" customHeight="1">
      <c r="A106" s="1747" t="s">
        <v>1440</v>
      </c>
      <c r="B106" s="1747"/>
      <c r="C106" s="1747"/>
      <c r="D106" s="1747"/>
      <c r="E106" s="1829" t="s">
        <v>1441</v>
      </c>
      <c r="F106" s="1666"/>
      <c r="G106" s="1828" t="s">
        <v>1436</v>
      </c>
      <c r="H106" s="2591">
        <f>C38</f>
        <v>0</v>
      </c>
      <c r="I106" s="129"/>
    </row>
    <row r="107" spans="1:35" ht="18.75" customHeight="1">
      <c r="A107" s="129"/>
      <c r="B107" s="129"/>
      <c r="C107" s="129"/>
      <c r="D107" s="129"/>
      <c r="E107" s="3591" t="str">
        <f>IF(项目基本情况!E8="已注销","——","3.房地产抵押价值")</f>
        <v>3.房地产抵押价值</v>
      </c>
      <c r="F107" s="3559"/>
      <c r="G107" s="1827" t="s">
        <v>1432</v>
      </c>
      <c r="H107" s="2589" t="e">
        <f ca="1">IF(E107="——","——",H101-H103)</f>
        <v>#REF!</v>
      </c>
      <c r="I107" s="129"/>
    </row>
    <row r="108" spans="1:35" ht="18.75" customHeight="1">
      <c r="A108" s="129"/>
      <c r="B108" s="129"/>
      <c r="C108" s="129"/>
      <c r="D108" s="129"/>
      <c r="E108" s="3591"/>
      <c r="F108" s="3559"/>
      <c r="G108" s="1827" t="s">
        <v>1434</v>
      </c>
      <c r="H108" s="2549">
        <f ca="1">IF(H107=H101,H102,ROUND(H107*10000/'数据-汇总表'!E3,0))</f>
        <v>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2" t="str">
        <f>IF(E109="——","——",H101-H105-H106)</f>
        <v>——</v>
      </c>
      <c r="I109" s="129"/>
    </row>
    <row r="110" spans="1:35" ht="18.75" customHeight="1">
      <c r="A110" s="129"/>
      <c r="B110" s="129"/>
      <c r="C110" s="129"/>
      <c r="D110" s="129"/>
      <c r="E110" s="3591"/>
      <c r="F110" s="3559"/>
      <c r="G110" s="1827" t="s">
        <v>1434</v>
      </c>
      <c r="H110" s="2549"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v>
      </c>
      <c r="F111" s="3578"/>
      <c r="G111" s="1827" t="s">
        <v>1432</v>
      </c>
      <c r="H111" s="2589" t="str">
        <f>IF(E111="——","——",N59)</f>
        <v>——</v>
      </c>
      <c r="I111" s="129"/>
    </row>
    <row r="112" spans="1:35" ht="18.75" customHeight="1" thickBot="1">
      <c r="A112" s="129"/>
      <c r="B112" s="129"/>
      <c r="C112" s="129"/>
      <c r="D112" s="129"/>
      <c r="E112" s="3593"/>
      <c r="F112" s="3594"/>
      <c r="G112" s="1830" t="s">
        <v>1434</v>
      </c>
      <c r="H112" s="2593"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6" t="s">
        <v>1449</v>
      </c>
      <c r="E117" s="2326" t="s">
        <v>1450</v>
      </c>
      <c r="F117" s="2326" t="s">
        <v>1449</v>
      </c>
      <c r="G117" s="2326" t="s">
        <v>1451</v>
      </c>
      <c r="H117" s="2326" t="s">
        <v>1449</v>
      </c>
      <c r="I117" s="2326" t="s">
        <v>1451</v>
      </c>
    </row>
    <row r="118" spans="1:27" ht="24.75" customHeight="1">
      <c r="A118" s="2594" t="str">
        <f>项目基本情况!S2</f>
        <v>北京市房地产</v>
      </c>
      <c r="B118" s="2326">
        <f>M18</f>
        <v>70.150000000000006</v>
      </c>
      <c r="C118" s="2326">
        <f>M19</f>
        <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566" t="s">
        <v>1452</v>
      </c>
      <c r="B119" s="3566"/>
      <c r="C119" s="3566"/>
      <c r="D119" s="3572" t="e">
        <f ca="1">NUMBERSTRING(INT(D118*10000),2)&amp;"元整"</f>
        <v>#REF!</v>
      </c>
      <c r="E119" s="3573"/>
      <c r="F119" s="3572" t="e">
        <f ca="1">NUMBERSTRING(INT(F118*10000),2)&amp;"元整"</f>
        <v>#REF!</v>
      </c>
      <c r="G119" s="3573"/>
      <c r="H119" s="3572" t="e">
        <f ca="1">NUMBERSTRING(INT(H118*10000),2)&amp;"元整"</f>
        <v>#REF!</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t="e">
        <f ca="1">H107</f>
        <v>#REF!</v>
      </c>
      <c r="E122" s="3568"/>
      <c r="F122" s="3568"/>
      <c r="G122" s="3568"/>
      <c r="H122" s="3568"/>
      <c r="I122" s="3569"/>
      <c r="AA122" s="725"/>
    </row>
    <row r="123" spans="1:27" ht="18.75" customHeight="1">
      <c r="A123" s="3566" t="s">
        <v>1452</v>
      </c>
      <c r="B123" s="3566"/>
      <c r="C123" s="3566"/>
      <c r="D123" s="3572" t="e">
        <f ca="1">NUMBERSTRING(INT(D122*10000),2)&amp;"元整"</f>
        <v>#REF!</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
      </c>
      <c r="B126" s="3578"/>
      <c r="C126" s="3578"/>
      <c r="D126" s="3567" t="str">
        <f>H111</f>
        <v>——</v>
      </c>
      <c r="E126" s="3568"/>
      <c r="F126" s="3568"/>
      <c r="G126" s="3568"/>
      <c r="H126" s="3568"/>
      <c r="I126" s="3569"/>
      <c r="AA126" s="725"/>
    </row>
    <row r="127" spans="1:27" ht="18.75" customHeight="1">
      <c r="A127" s="3566" t="s">
        <v>1452</v>
      </c>
      <c r="B127" s="3566"/>
      <c r="C127" s="3566"/>
      <c r="D127" s="3572" t="e">
        <f>NUMBERSTRING(INT(D126*10000),2)&amp;"元整"</f>
        <v>#VALUE!</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19364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2760371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14030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14030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70.150000000000006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70.150000000000006</v>
      </c>
      <c r="E19" s="211">
        <f>'数据-取费表'!B31</f>
        <v>200</v>
      </c>
      <c r="F19" s="231"/>
      <c r="G19" s="1856"/>
    </row>
    <row r="20" spans="1:7" s="214" customFormat="1" ht="13.5" customHeight="1">
      <c r="A20" s="255" t="s">
        <v>1493</v>
      </c>
      <c r="B20" s="210" t="s">
        <v>1494</v>
      </c>
      <c r="C20" s="232">
        <f ca="1">ROUND((C5+C19)*F20,0)</f>
        <v>281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1378</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13</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2147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2147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70.150000000000006</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1E-3</v>
      </c>
      <c r="D44" s="238"/>
      <c r="E44" s="238"/>
      <c r="F44" s="239"/>
      <c r="G44" s="3647"/>
    </row>
    <row r="45" spans="1:7" s="214" customFormat="1" ht="13.5" customHeight="1">
      <c r="A45" s="255" t="s">
        <v>1547</v>
      </c>
      <c r="B45" s="244" t="s">
        <v>1513</v>
      </c>
      <c r="C45" s="245">
        <f ca="1">C46</f>
        <v>5</v>
      </c>
      <c r="D45" s="235">
        <f ca="1">C47</f>
        <v>3.0000000000000001E-3</v>
      </c>
      <c r="E45" s="236" t="s">
        <v>1539</v>
      </c>
      <c r="F45" s="246">
        <f ca="1">F27</f>
        <v>0.15</v>
      </c>
      <c r="G45" s="247" t="s">
        <v>1548</v>
      </c>
    </row>
    <row r="46" spans="1:7" s="214" customFormat="1" ht="13.5" customHeight="1">
      <c r="A46" s="780" t="s">
        <v>346</v>
      </c>
      <c r="B46" s="248" t="s">
        <v>1549</v>
      </c>
      <c r="C46" s="249">
        <f ca="1">ROUND((C33+C39)*F27,0)</f>
        <v>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40</v>
      </c>
      <c r="D49" s="232"/>
      <c r="E49" s="232"/>
      <c r="F49" s="264"/>
      <c r="G49" s="234" t="s">
        <v>1554</v>
      </c>
    </row>
    <row r="50" spans="1:7" s="258" customFormat="1" ht="24">
      <c r="A50" s="255" t="s">
        <v>1555</v>
      </c>
      <c r="B50" s="210" t="s">
        <v>1556</v>
      </c>
      <c r="C50" s="232"/>
      <c r="D50" s="232"/>
      <c r="E50" s="232"/>
      <c r="F50" s="264">
        <f>IF('数据-取费表'!B24=0,'数据-取费表'!N16,1)</f>
        <v>0.83499999999999996</v>
      </c>
      <c r="G50" s="247" t="s">
        <v>1557</v>
      </c>
    </row>
    <row r="51" spans="1:7" ht="16.5" customHeight="1">
      <c r="A51" s="255" t="s">
        <v>1558</v>
      </c>
      <c r="B51" s="210" t="s">
        <v>1559</v>
      </c>
      <c r="C51" s="232">
        <f ca="1">ROUND(C49*F50,0)</f>
        <v>33</v>
      </c>
      <c r="D51" s="232"/>
      <c r="E51" s="232"/>
      <c r="F51" s="264"/>
      <c r="G51" s="234" t="s">
        <v>1560</v>
      </c>
    </row>
    <row r="52" spans="1:7" s="208" customFormat="1" ht="16.5" thickBot="1">
      <c r="A52" s="265" t="s">
        <v>1561</v>
      </c>
      <c r="B52" s="266"/>
      <c r="C52" s="267">
        <f ca="1">C31+C51</f>
        <v>19364</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rgb="FF92D050"/>
    <pageSetUpPr fitToPage="1"/>
  </sheetPr>
  <dimension ref="A1:AC148"/>
  <sheetViews>
    <sheetView view="pageBreakPreview" topLeftCell="C11" zoomScale="80" zoomScaleNormal="60" zoomScaleSheetLayoutView="80" workbookViewId="0">
      <selection activeCell="E47" sqref="E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3381</v>
      </c>
      <c r="E1" s="3420" t="s">
        <v>3398</v>
      </c>
      <c r="F1" s="1879" t="s">
        <v>3397</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1">
        <f>IF(E1="项目模式",IF(C2="——",ROUND(C49*D3/10000,0),ROUND(C49*D3/10000,0)-D2),IF(E1="单套模式",IF(C2="——",ROUND(C49*D3/10000,4),ROUND(C49*D3/10000,4)-D2)))</f>
        <v>276.9171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7"/>
      <c r="M2" s="2708"/>
      <c r="N2" s="2708"/>
      <c r="O2" s="2708"/>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39475</v>
      </c>
      <c r="C3" s="354" t="s">
        <v>1665</v>
      </c>
      <c r="D3" s="353">
        <f>IF(D1="",'数据-汇总表'!E3,SUMIF('数据-汇总表'!$C19:$C33,D1,'数据-汇总表'!$E19:$E33))</f>
        <v>70.150000000000006</v>
      </c>
      <c r="E3" s="907"/>
      <c r="F3" s="1888"/>
      <c r="G3" s="907"/>
      <c r="H3" s="907"/>
      <c r="I3" s="907"/>
      <c r="J3" s="907"/>
      <c r="K3" s="1884"/>
      <c r="L3" s="2707"/>
      <c r="M3" s="2708"/>
      <c r="N3" s="2708"/>
      <c r="O3" s="2708"/>
      <c r="P3" s="1885"/>
      <c r="Q3" s="1886"/>
      <c r="R3" s="1886"/>
      <c r="S3" s="1886"/>
      <c r="T3" s="1886"/>
      <c r="U3" s="1886"/>
      <c r="V3" s="1886"/>
      <c r="W3" s="1886"/>
      <c r="X3" s="1886"/>
      <c r="Y3" s="1886"/>
      <c r="Z3" s="1886"/>
      <c r="AA3" s="1886"/>
      <c r="AB3" s="1886"/>
      <c r="AC3" s="1061"/>
    </row>
    <row r="4" spans="1:29" ht="15">
      <c r="A4" s="355" t="s">
        <v>1666</v>
      </c>
      <c r="B4" s="356"/>
      <c r="C4" s="3666" t="s">
        <v>1667</v>
      </c>
      <c r="D4" s="3667"/>
      <c r="E4" s="3668" t="s">
        <v>1668</v>
      </c>
      <c r="F4" s="3669"/>
      <c r="G4" s="3666" t="s">
        <v>1669</v>
      </c>
      <c r="H4" s="3667"/>
      <c r="I4" s="3666" t="s">
        <v>1670</v>
      </c>
      <c r="J4" s="3667"/>
      <c r="K4" s="1889" t="s">
        <v>1671</v>
      </c>
      <c r="L4" s="2709"/>
      <c r="M4" s="2710"/>
      <c r="N4" s="2710"/>
      <c r="O4" s="2710"/>
      <c r="P4" s="3670" t="s">
        <v>1672</v>
      </c>
      <c r="Q4" s="3671"/>
      <c r="R4" s="3653" t="s">
        <v>1668</v>
      </c>
      <c r="S4" s="3654"/>
      <c r="T4" s="3653" t="s">
        <v>1669</v>
      </c>
      <c r="U4" s="3654"/>
      <c r="V4" s="3678" t="s">
        <v>1670</v>
      </c>
      <c r="W4" s="3678"/>
      <c r="X4" s="1355"/>
      <c r="Y4" s="3653" t="s">
        <v>1672</v>
      </c>
      <c r="Z4" s="3654"/>
      <c r="AA4" s="3648" t="s">
        <v>1668</v>
      </c>
      <c r="AB4" s="3648" t="s">
        <v>1669</v>
      </c>
      <c r="AC4" s="3648" t="s">
        <v>1670</v>
      </c>
    </row>
    <row r="5" spans="1:29" ht="15">
      <c r="A5" s="358"/>
      <c r="B5" s="359"/>
      <c r="C5" s="3659" t="s">
        <v>1673</v>
      </c>
      <c r="D5" s="3660"/>
      <c r="E5" s="3657" t="s">
        <v>1674</v>
      </c>
      <c r="F5" s="3658"/>
      <c r="G5" s="3659" t="s">
        <v>1675</v>
      </c>
      <c r="H5" s="3660"/>
      <c r="I5" s="3659" t="s">
        <v>1676</v>
      </c>
      <c r="J5" s="3660"/>
      <c r="K5" s="1890"/>
      <c r="L5" s="2709"/>
      <c r="M5" s="2710"/>
      <c r="N5" s="2710"/>
      <c r="O5" s="2710"/>
      <c r="P5" s="3672"/>
      <c r="Q5" s="3673"/>
      <c r="R5" s="3655"/>
      <c r="S5" s="3656"/>
      <c r="T5" s="3655"/>
      <c r="U5" s="3656"/>
      <c r="V5" s="3678"/>
      <c r="W5" s="3678"/>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1890" t="s">
        <v>1678</v>
      </c>
      <c r="L6" s="2709"/>
      <c r="M6" s="2710"/>
      <c r="N6" s="2710"/>
      <c r="O6" s="2710"/>
      <c r="P6" s="3674"/>
      <c r="Q6" s="3675"/>
      <c r="R6" s="3655"/>
      <c r="S6" s="3656"/>
      <c r="T6" s="3676"/>
      <c r="U6" s="3677"/>
      <c r="V6" s="3678"/>
      <c r="W6" s="3678"/>
      <c r="X6" s="1355"/>
      <c r="Y6" s="3676"/>
      <c r="Z6" s="3677"/>
      <c r="AA6" s="3650"/>
      <c r="AB6" s="3650"/>
      <c r="AC6" s="3650"/>
    </row>
    <row r="7" spans="1:29" s="108" customFormat="1" ht="15.75" thickBot="1">
      <c r="A7" s="362" t="s">
        <v>1679</v>
      </c>
      <c r="B7" s="363"/>
      <c r="C7" s="364">
        <f>'数据-取费表'!B2</f>
        <v>45013</v>
      </c>
      <c r="D7" s="365">
        <v>100</v>
      </c>
      <c r="E7" s="366">
        <v>44986</v>
      </c>
      <c r="F7" s="367">
        <f>SUMIF(58:58,YEAR(E7)&amp;"-"&amp;MONTH(E7),59:59)</f>
        <v>100</v>
      </c>
      <c r="G7" s="366">
        <v>44986</v>
      </c>
      <c r="H7" s="365">
        <f>SUMIF(58:58,YEAR(G7)&amp;"-"&amp;MONTH(G7),59:59)</f>
        <v>100</v>
      </c>
      <c r="I7" s="366">
        <v>44713</v>
      </c>
      <c r="J7" s="365">
        <f>SUMIF(58:58,YEAR(I7)&amp;"-"&amp;MONTH(I7),59:59)</f>
        <v>99.4</v>
      </c>
      <c r="K7" s="1891"/>
      <c r="L7" s="2711"/>
      <c r="M7" s="2712"/>
      <c r="N7" s="2712"/>
      <c r="O7" s="2712"/>
      <c r="P7" s="3651" t="s">
        <v>1680</v>
      </c>
      <c r="Q7" s="3679"/>
      <c r="R7" s="701" t="s">
        <v>20</v>
      </c>
      <c r="S7" s="702">
        <f t="shared" ref="S7:S15" si="0">F7</f>
        <v>100</v>
      </c>
      <c r="T7" s="701" t="s">
        <v>20</v>
      </c>
      <c r="U7" s="702">
        <f t="shared" ref="U7:U15" si="1">H7</f>
        <v>100</v>
      </c>
      <c r="V7" s="701" t="s">
        <v>20</v>
      </c>
      <c r="W7" s="702">
        <f t="shared" ref="W7:W15" si="2">J7</f>
        <v>99.4</v>
      </c>
      <c r="X7" s="703"/>
      <c r="Y7" s="3651" t="s">
        <v>1680</v>
      </c>
      <c r="Z7" s="3652"/>
      <c r="AA7" s="704">
        <f>D7/F7</f>
        <v>1</v>
      </c>
      <c r="AB7" s="704">
        <f>D7/H7</f>
        <v>1</v>
      </c>
      <c r="AC7" s="704">
        <f>D7/J7</f>
        <v>1.0060362173038229</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1891"/>
      <c r="L8" s="2711"/>
      <c r="M8" s="2712"/>
      <c r="N8" s="2712"/>
      <c r="O8" s="2712"/>
      <c r="P8" s="3651" t="s">
        <v>1683</v>
      </c>
      <c r="Q8" s="3652"/>
      <c r="R8" s="701" t="s">
        <v>20</v>
      </c>
      <c r="S8" s="702">
        <f t="shared" si="0"/>
        <v>100</v>
      </c>
      <c r="T8" s="701" t="s">
        <v>20</v>
      </c>
      <c r="U8" s="702">
        <f t="shared" si="1"/>
        <v>100</v>
      </c>
      <c r="V8" s="701" t="s">
        <v>20</v>
      </c>
      <c r="W8" s="702">
        <f t="shared" si="2"/>
        <v>100</v>
      </c>
      <c r="X8" s="703"/>
      <c r="Y8" s="3651" t="s">
        <v>1683</v>
      </c>
      <c r="Z8" s="365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1"/>
      <c r="M9" s="2712"/>
      <c r="N9" s="2712"/>
      <c r="O9" s="2712"/>
      <c r="P9" s="3665"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91"/>
      <c r="L10" s="2713"/>
      <c r="M10" s="2714"/>
      <c r="N10" s="2714"/>
      <c r="O10" s="2714"/>
      <c r="P10" s="366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5"/>
      <c r="M11" s="2710"/>
      <c r="N11" s="2710"/>
      <c r="O11" s="2710"/>
      <c r="P11" s="3665"/>
      <c r="Q11" s="1343" t="str">
        <f t="shared" si="6"/>
        <v>容积率</v>
      </c>
      <c r="R11" s="701" t="s">
        <v>18</v>
      </c>
      <c r="S11" s="702">
        <f t="shared" si="0"/>
        <v>100</v>
      </c>
      <c r="T11" s="701" t="s">
        <v>18</v>
      </c>
      <c r="U11" s="702">
        <f t="shared" si="1"/>
        <v>100</v>
      </c>
      <c r="V11" s="701" t="s">
        <v>18</v>
      </c>
      <c r="W11" s="702">
        <f t="shared" si="2"/>
        <v>100</v>
      </c>
      <c r="X11" s="703"/>
      <c r="Y11" s="3621"/>
      <c r="Z11" s="52" t="str">
        <f t="shared" si="7"/>
        <v>容积率</v>
      </c>
      <c r="AA11" s="704">
        <f t="shared" si="3"/>
        <v>1</v>
      </c>
      <c r="AB11" s="704">
        <f t="shared" si="4"/>
        <v>1</v>
      </c>
      <c r="AC11" s="704">
        <f t="shared" si="5"/>
        <v>1</v>
      </c>
    </row>
    <row r="12" spans="1:29" s="108" customFormat="1" ht="15" hidden="1">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1"/>
      <c r="M12" s="2712"/>
      <c r="N12" s="2712"/>
      <c r="O12" s="2712"/>
      <c r="P12" s="3665"/>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hidden="1">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6"/>
      <c r="M13" s="2710"/>
      <c r="N13" s="2710"/>
      <c r="O13" s="2710"/>
      <c r="P13" s="3665"/>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hidden="1"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6"/>
      <c r="M14" s="2710"/>
      <c r="N14" s="2710"/>
      <c r="O14" s="2710"/>
      <c r="P14" s="3665"/>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35.25" customHeight="1">
      <c r="A15" s="391" t="s">
        <v>1690</v>
      </c>
      <c r="B15" s="61" t="s">
        <v>1257</v>
      </c>
      <c r="C15" s="1895" t="str">
        <f>估价对象房地状况!C3</f>
        <v>周边有华鼎世家、望京西园、宝星园等住宅小区，居住小区规模较大，综合评价居住社区成熟度较好。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v>2</v>
      </c>
      <c r="L15" s="2716"/>
      <c r="M15" s="2710"/>
      <c r="N15" s="2710"/>
      <c r="O15" s="2710"/>
      <c r="P15" s="3692" t="s">
        <v>1691</v>
      </c>
      <c r="Q15" s="1352" t="str">
        <f t="shared" si="6"/>
        <v>居住社区成熟度</v>
      </c>
      <c r="R15" s="705" t="s">
        <v>18</v>
      </c>
      <c r="S15" s="706">
        <f t="shared" si="0"/>
        <v>100</v>
      </c>
      <c r="T15" s="705" t="s">
        <v>18</v>
      </c>
      <c r="U15" s="706">
        <f t="shared" si="1"/>
        <v>100</v>
      </c>
      <c r="V15" s="705" t="s">
        <v>18</v>
      </c>
      <c r="W15" s="706">
        <f t="shared" si="2"/>
        <v>100</v>
      </c>
      <c r="X15" s="1355"/>
      <c r="Y15" s="3685" t="s">
        <v>1691</v>
      </c>
      <c r="Z15" s="1356" t="str">
        <f t="shared" si="7"/>
        <v>居住社区成熟度</v>
      </c>
      <c r="AA15" s="1353">
        <f t="shared" si="3"/>
        <v>1</v>
      </c>
      <c r="AB15" s="1353">
        <f t="shared" si="4"/>
        <v>1</v>
      </c>
      <c r="AC15" s="1353">
        <f t="shared" si="5"/>
        <v>1</v>
      </c>
    </row>
    <row r="16" spans="1:29" ht="15">
      <c r="A16" s="379"/>
      <c r="B16" s="397"/>
      <c r="C16" s="398" t="s">
        <v>3408</v>
      </c>
      <c r="D16" s="399"/>
      <c r="E16" s="398" t="s">
        <v>3408</v>
      </c>
      <c r="F16" s="399"/>
      <c r="G16" s="398" t="s">
        <v>3408</v>
      </c>
      <c r="H16" s="401"/>
      <c r="I16" s="398" t="s">
        <v>3408</v>
      </c>
      <c r="J16" s="399"/>
      <c r="K16" s="1898"/>
      <c r="L16" s="2716"/>
      <c r="M16" s="2710"/>
      <c r="N16" s="2710"/>
      <c r="O16" s="2710"/>
      <c r="P16" s="3693"/>
      <c r="Q16" s="1352"/>
      <c r="R16" s="705"/>
      <c r="S16" s="706"/>
      <c r="T16" s="705"/>
      <c r="U16" s="706"/>
      <c r="V16" s="705"/>
      <c r="W16" s="706"/>
      <c r="X16" s="1355"/>
      <c r="Y16" s="3686"/>
      <c r="Z16" s="1356"/>
      <c r="AA16" s="1353">
        <v>1</v>
      </c>
      <c r="AB16" s="1353">
        <v>1</v>
      </c>
      <c r="AC16" s="1353">
        <v>1</v>
      </c>
    </row>
    <row r="17" spans="1:29" ht="28.5" customHeight="1">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6"/>
      <c r="M17" s="2710"/>
      <c r="N17" s="2710"/>
      <c r="O17" s="2710"/>
      <c r="P17" s="3693"/>
      <c r="Q17" s="1352" t="str">
        <f>B17</f>
        <v>交通便捷度</v>
      </c>
      <c r="R17" s="705" t="s">
        <v>18</v>
      </c>
      <c r="S17" s="706">
        <f>F17</f>
        <v>100</v>
      </c>
      <c r="T17" s="705" t="s">
        <v>18</v>
      </c>
      <c r="U17" s="706">
        <f>H17</f>
        <v>100</v>
      </c>
      <c r="V17" s="705" t="s">
        <v>18</v>
      </c>
      <c r="W17" s="706">
        <f>J17</f>
        <v>100</v>
      </c>
      <c r="X17" s="1355"/>
      <c r="Y17" s="3686"/>
      <c r="Z17" s="1356" t="str">
        <f>Q17</f>
        <v>交通便捷度</v>
      </c>
      <c r="AA17" s="1353">
        <f t="shared" si="3"/>
        <v>1</v>
      </c>
      <c r="AB17" s="1353">
        <f t="shared" si="4"/>
        <v>1</v>
      </c>
      <c r="AC17" s="1353">
        <f t="shared" si="5"/>
        <v>1</v>
      </c>
    </row>
    <row r="18" spans="1:29" ht="15">
      <c r="A18" s="379"/>
      <c r="B18" s="407"/>
      <c r="C18" s="1900" t="s">
        <v>3408</v>
      </c>
      <c r="D18" s="401"/>
      <c r="E18" s="1900" t="s">
        <v>3408</v>
      </c>
      <c r="F18" s="401"/>
      <c r="G18" s="1900" t="s">
        <v>3408</v>
      </c>
      <c r="H18" s="399"/>
      <c r="I18" s="1900" t="s">
        <v>3408</v>
      </c>
      <c r="J18" s="399"/>
      <c r="K18" s="1898"/>
      <c r="L18" s="2716"/>
      <c r="M18" s="2710"/>
      <c r="N18" s="2710"/>
      <c r="O18" s="2710"/>
      <c r="P18" s="3693"/>
      <c r="Q18" s="1352"/>
      <c r="R18" s="705"/>
      <c r="S18" s="706"/>
      <c r="T18" s="705"/>
      <c r="U18" s="706"/>
      <c r="V18" s="705"/>
      <c r="W18" s="706"/>
      <c r="X18" s="1355"/>
      <c r="Y18" s="3686"/>
      <c r="Z18" s="1356"/>
      <c r="AA18" s="1353">
        <v>1</v>
      </c>
      <c r="AB18" s="1353">
        <v>1</v>
      </c>
      <c r="AC18" s="1353">
        <v>1</v>
      </c>
    </row>
    <row r="19" spans="1:29" ht="28.5" customHeight="1">
      <c r="A19" s="379"/>
      <c r="B19" s="402" t="s">
        <v>1258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SUMIF(80:80,E20,81:81)-SUMIF(80:80,C20,81:81)+100</f>
        <v>100</v>
      </c>
      <c r="G19" s="408"/>
      <c r="H19" s="401">
        <f>SUMIF(80:80,G20,81:81)-SUMIF(80:80,C20,81:81)+100</f>
        <v>100</v>
      </c>
      <c r="I19" s="408"/>
      <c r="J19" s="401">
        <f>SUMIF(80:80,I20,81:81)-SUMIF(80:80,C20,81:81)+100</f>
        <v>100</v>
      </c>
      <c r="K19" s="396">
        <v>2</v>
      </c>
      <c r="L19" s="2716"/>
      <c r="M19" s="2710"/>
      <c r="N19" s="2710"/>
      <c r="O19" s="2710"/>
      <c r="P19" s="3693"/>
      <c r="Q19" s="1352" t="str">
        <f>B19</f>
        <v>公共配套设施</v>
      </c>
      <c r="R19" s="705" t="s">
        <v>18</v>
      </c>
      <c r="S19" s="706">
        <f>F19</f>
        <v>100</v>
      </c>
      <c r="T19" s="705" t="s">
        <v>18</v>
      </c>
      <c r="U19" s="706">
        <f>H19</f>
        <v>100</v>
      </c>
      <c r="V19" s="705" t="s">
        <v>18</v>
      </c>
      <c r="W19" s="706">
        <f>J19</f>
        <v>100</v>
      </c>
      <c r="X19" s="1355"/>
      <c r="Y19" s="3686"/>
      <c r="Z19" s="1356" t="str">
        <f>Q19</f>
        <v>公共配套设施</v>
      </c>
      <c r="AA19" s="1353">
        <f t="shared" si="3"/>
        <v>1</v>
      </c>
      <c r="AB19" s="1353">
        <f t="shared" si="4"/>
        <v>1</v>
      </c>
      <c r="AC19" s="1353">
        <f t="shared" si="5"/>
        <v>1</v>
      </c>
    </row>
    <row r="20" spans="1:29" ht="15">
      <c r="A20" s="379"/>
      <c r="B20" s="407"/>
      <c r="C20" s="398" t="s">
        <v>3408</v>
      </c>
      <c r="D20" s="399"/>
      <c r="E20" s="398" t="s">
        <v>3408</v>
      </c>
      <c r="F20" s="399"/>
      <c r="G20" s="398" t="s">
        <v>3408</v>
      </c>
      <c r="H20" s="399"/>
      <c r="I20" s="398" t="s">
        <v>3408</v>
      </c>
      <c r="J20" s="399"/>
      <c r="K20" s="1898"/>
      <c r="L20" s="2716"/>
      <c r="M20" s="2710"/>
      <c r="N20" s="2710"/>
      <c r="O20" s="2710"/>
      <c r="P20" s="3693"/>
      <c r="Q20" s="1352"/>
      <c r="R20" s="705"/>
      <c r="S20" s="706"/>
      <c r="T20" s="705"/>
      <c r="U20" s="706"/>
      <c r="V20" s="705"/>
      <c r="W20" s="706"/>
      <c r="X20" s="1355"/>
      <c r="Y20" s="3686"/>
      <c r="Z20" s="1356"/>
      <c r="AA20" s="1353">
        <v>1</v>
      </c>
      <c r="AB20" s="1353">
        <v>1</v>
      </c>
      <c r="AC20" s="1353">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2</v>
      </c>
      <c r="L21" s="2716"/>
      <c r="M21" s="2710"/>
      <c r="N21" s="2710"/>
      <c r="O21" s="2710"/>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0" t="s">
        <v>3410</v>
      </c>
      <c r="D22" s="399"/>
      <c r="E22" s="1900" t="s">
        <v>3410</v>
      </c>
      <c r="F22" s="399"/>
      <c r="G22" s="1900" t="s">
        <v>3410</v>
      </c>
      <c r="H22" s="399"/>
      <c r="I22" s="1900" t="s">
        <v>3410</v>
      </c>
      <c r="J22" s="399"/>
      <c r="K22" s="1904"/>
      <c r="L22" s="2716"/>
      <c r="M22" s="2710"/>
      <c r="N22" s="2710"/>
      <c r="O22" s="2710"/>
      <c r="P22" s="3693"/>
      <c r="Q22" s="1352"/>
      <c r="R22" s="705"/>
      <c r="S22" s="706"/>
      <c r="T22" s="705"/>
      <c r="U22" s="706"/>
      <c r="V22" s="705"/>
      <c r="W22" s="706"/>
      <c r="X22" s="1355"/>
      <c r="Y22" s="3686"/>
      <c r="Z22" s="1356"/>
      <c r="AA22" s="1353">
        <v>1</v>
      </c>
      <c r="AB22" s="1353">
        <v>1</v>
      </c>
      <c r="AC22" s="1353">
        <v>1</v>
      </c>
    </row>
    <row r="23" spans="1:29" ht="85.5">
      <c r="A23" s="379"/>
      <c r="B23" s="402" t="s">
        <v>1261</v>
      </c>
      <c r="C23" s="1899" t="str">
        <f>估价对象房地状况!C9</f>
        <v xml:space="preserve">有望京文化体育公园等自然、人文设施；
综上，自然及人文环境一般。
</v>
      </c>
      <c r="D23" s="401">
        <v>100</v>
      </c>
      <c r="E23" s="405"/>
      <c r="F23" s="401">
        <f>SUMIF(84:84,E24,85:85)-SUMIF(84:84,C24,85:85)+100</f>
        <v>100</v>
      </c>
      <c r="G23" s="403"/>
      <c r="H23" s="401">
        <f>SUMIF(84:84,G24,85:85)-SUMIF(84:84,C24,85:85)+100</f>
        <v>100</v>
      </c>
      <c r="I23" s="403"/>
      <c r="J23" s="401">
        <f>SUMIF(84:84,I24,85:85)-SUMIF(84:84,C24,85:85)+100</f>
        <v>100</v>
      </c>
      <c r="K23" s="396">
        <v>2</v>
      </c>
      <c r="L23" s="2716"/>
      <c r="M23" s="2710"/>
      <c r="N23" s="2710"/>
      <c r="O23" s="2710"/>
      <c r="P23" s="3693"/>
      <c r="Q23" s="1352" t="str">
        <f>B23</f>
        <v>自然及人文环境</v>
      </c>
      <c r="R23" s="705" t="s">
        <v>18</v>
      </c>
      <c r="S23" s="706">
        <f>F23</f>
        <v>100</v>
      </c>
      <c r="T23" s="705" t="s">
        <v>18</v>
      </c>
      <c r="U23" s="706">
        <f>H23</f>
        <v>100</v>
      </c>
      <c r="V23" s="705" t="s">
        <v>18</v>
      </c>
      <c r="W23" s="706">
        <f>J23</f>
        <v>100</v>
      </c>
      <c r="X23" s="1355"/>
      <c r="Y23" s="3686"/>
      <c r="Z23" s="1356" t="str">
        <f>Q23</f>
        <v>自然及人文环境</v>
      </c>
      <c r="AA23" s="1353">
        <f>D23/F23</f>
        <v>1</v>
      </c>
      <c r="AB23" s="1353">
        <f>D23/H23</f>
        <v>1</v>
      </c>
      <c r="AC23" s="1353">
        <f>D23/J23</f>
        <v>1</v>
      </c>
    </row>
    <row r="24" spans="1:29" ht="15">
      <c r="A24" s="379"/>
      <c r="B24" s="407"/>
      <c r="C24" s="398" t="s">
        <v>3409</v>
      </c>
      <c r="D24" s="399"/>
      <c r="E24" s="398" t="s">
        <v>3409</v>
      </c>
      <c r="F24" s="399"/>
      <c r="G24" s="398" t="s">
        <v>3409</v>
      </c>
      <c r="H24" s="399"/>
      <c r="I24" s="398" t="s">
        <v>3409</v>
      </c>
      <c r="J24" s="399"/>
      <c r="K24" s="1898"/>
      <c r="L24" s="2716"/>
      <c r="M24" s="2710"/>
      <c r="N24" s="2710"/>
      <c r="O24" s="2710"/>
      <c r="P24" s="3693"/>
      <c r="Q24" s="1352"/>
      <c r="R24" s="705"/>
      <c r="S24" s="706"/>
      <c r="T24" s="705"/>
      <c r="U24" s="706"/>
      <c r="V24" s="705"/>
      <c r="W24" s="706"/>
      <c r="X24" s="1355"/>
      <c r="Y24" s="3686"/>
      <c r="Z24" s="1356"/>
      <c r="AA24" s="1353">
        <v>1</v>
      </c>
      <c r="AB24" s="1353">
        <v>1</v>
      </c>
      <c r="AC24" s="1353">
        <v>1</v>
      </c>
    </row>
    <row r="25" spans="1:29" ht="15" hidden="1">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6"/>
      <c r="M25" s="2710"/>
      <c r="N25" s="2710"/>
      <c r="O25" s="2710"/>
      <c r="P25" s="369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6"/>
      <c r="Z25" s="1356" t="str">
        <f>Q25</f>
        <v>楼层-1</v>
      </c>
      <c r="AA25" s="1353">
        <f t="shared" ref="AA25:AA46" si="15">D25/F25</f>
        <v>1</v>
      </c>
      <c r="AB25" s="1353">
        <f t="shared" ref="AB25:AB46" si="16">D25/H25</f>
        <v>1</v>
      </c>
      <c r="AC25" s="1353">
        <f t="shared" ref="AC25:AC46" si="17">D25/J25</f>
        <v>1</v>
      </c>
    </row>
    <row r="26" spans="1:29" ht="15">
      <c r="A26" s="379"/>
      <c r="B26" s="375" t="s">
        <v>1693</v>
      </c>
      <c r="C26" s="411" t="s">
        <v>3427</v>
      </c>
      <c r="D26" s="386">
        <v>100</v>
      </c>
      <c r="E26" s="1905" t="s">
        <v>3429</v>
      </c>
      <c r="F26" s="386">
        <f>SUMIF(88:88,E26,89:89)-SUMIF(88:88,C26,89:89)+100</f>
        <v>97</v>
      </c>
      <c r="G26" s="1905" t="s">
        <v>3429</v>
      </c>
      <c r="H26" s="386">
        <f>SUMIF(88:88,G26,89:89)-SUMIF(88:88,C26,89:89)+100</f>
        <v>97</v>
      </c>
      <c r="I26" s="1905" t="s">
        <v>3429</v>
      </c>
      <c r="J26" s="386">
        <f>SUMIF(88:88,I26,89:89)-SUMIF(88:88,C26,89:89)+100</f>
        <v>97</v>
      </c>
      <c r="K26" s="377">
        <v>3</v>
      </c>
      <c r="L26" s="2716"/>
      <c r="M26" s="2710"/>
      <c r="N26" s="2710"/>
      <c r="O26" s="2710"/>
      <c r="P26" s="3693"/>
      <c r="Q26" s="1352" t="str">
        <f t="shared" si="11"/>
        <v>朝向</v>
      </c>
      <c r="R26" s="705" t="s">
        <v>18</v>
      </c>
      <c r="S26" s="706">
        <f t="shared" si="12"/>
        <v>97</v>
      </c>
      <c r="T26" s="705" t="s">
        <v>18</v>
      </c>
      <c r="U26" s="706">
        <f t="shared" si="13"/>
        <v>97</v>
      </c>
      <c r="V26" s="705" t="s">
        <v>18</v>
      </c>
      <c r="W26" s="706">
        <f t="shared" si="14"/>
        <v>97</v>
      </c>
      <c r="X26" s="1355"/>
      <c r="Y26" s="3686"/>
      <c r="Z26" s="1356" t="str">
        <f>Q26</f>
        <v>朝向</v>
      </c>
      <c r="AA26" s="1353">
        <f t="shared" si="15"/>
        <v>1.0309278350515463</v>
      </c>
      <c r="AB26" s="1353">
        <f t="shared" si="16"/>
        <v>1.0309278350515463</v>
      </c>
      <c r="AC26" s="1353">
        <f t="shared" si="17"/>
        <v>1.0309278350515463</v>
      </c>
    </row>
    <row r="27" spans="1:29" s="108" customFormat="1" ht="15.75" thickBot="1">
      <c r="A27" s="382"/>
      <c r="B27" s="3448" t="s">
        <v>3423</v>
      </c>
      <c r="C27" s="3449" t="s">
        <v>3424</v>
      </c>
      <c r="D27" s="413">
        <v>100</v>
      </c>
      <c r="E27" s="3450" t="s">
        <v>3426</v>
      </c>
      <c r="F27" s="413">
        <f>SUMIF(90:90,E27,91:91)-SUMIF(90:90,C27,91:91)+100</f>
        <v>96</v>
      </c>
      <c r="G27" s="3451" t="s">
        <v>3425</v>
      </c>
      <c r="H27" s="413">
        <f>SUMIF(90:90,G27,91:91)-SUMIF(90:90,C27,91:91)+100</f>
        <v>98</v>
      </c>
      <c r="I27" s="3451" t="s">
        <v>3424</v>
      </c>
      <c r="J27" s="413">
        <f>SUMIF(90:90,I27,91:91)-SUMIF(90:90,C27,91:91)+100</f>
        <v>100</v>
      </c>
      <c r="K27" s="1893"/>
      <c r="L27" s="2711"/>
      <c r="M27" s="2712"/>
      <c r="N27" s="2712"/>
      <c r="O27" s="2712"/>
      <c r="P27" s="3693"/>
      <c r="Q27" s="1343" t="str">
        <f t="shared" si="11"/>
        <v>楼层</v>
      </c>
      <c r="R27" s="701" t="s">
        <v>18</v>
      </c>
      <c r="S27" s="702">
        <f t="shared" si="12"/>
        <v>96</v>
      </c>
      <c r="T27" s="701" t="s">
        <v>18</v>
      </c>
      <c r="U27" s="702">
        <f t="shared" si="13"/>
        <v>98</v>
      </c>
      <c r="V27" s="701" t="s">
        <v>18</v>
      </c>
      <c r="W27" s="702">
        <f t="shared" si="14"/>
        <v>100</v>
      </c>
      <c r="X27" s="703"/>
      <c r="Y27" s="3686"/>
      <c r="Z27" s="52" t="str">
        <f>Q27</f>
        <v>楼层</v>
      </c>
      <c r="AA27" s="1353">
        <f t="shared" si="15"/>
        <v>1.0416666666666667</v>
      </c>
      <c r="AB27" s="1353">
        <f t="shared" si="16"/>
        <v>1.0204081632653061</v>
      </c>
      <c r="AC27" s="1353">
        <f t="shared" si="17"/>
        <v>1</v>
      </c>
    </row>
    <row r="28" spans="1:29" ht="15" hidden="1">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6"/>
      <c r="M28" s="2710"/>
      <c r="N28" s="2710"/>
      <c r="O28" s="2710"/>
      <c r="P28" s="3693"/>
      <c r="Q28" s="1352">
        <f t="shared" si="11"/>
        <v>111</v>
      </c>
      <c r="R28" s="705" t="s">
        <v>18</v>
      </c>
      <c r="S28" s="706">
        <f t="shared" si="12"/>
        <v>100</v>
      </c>
      <c r="T28" s="705" t="s">
        <v>18</v>
      </c>
      <c r="U28" s="706">
        <f t="shared" si="13"/>
        <v>100</v>
      </c>
      <c r="V28" s="705" t="s">
        <v>18</v>
      </c>
      <c r="W28" s="706">
        <f t="shared" si="14"/>
        <v>100</v>
      </c>
      <c r="X28" s="1355"/>
      <c r="Y28" s="3686"/>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6"/>
      <c r="M29" s="2710"/>
      <c r="N29" s="2710"/>
      <c r="O29" s="2710"/>
      <c r="P29" s="3693"/>
      <c r="Q29" s="1352">
        <f t="shared" si="11"/>
        <v>111</v>
      </c>
      <c r="R29" s="705" t="s">
        <v>18</v>
      </c>
      <c r="S29" s="706">
        <f t="shared" si="12"/>
        <v>100</v>
      </c>
      <c r="T29" s="705" t="s">
        <v>18</v>
      </c>
      <c r="U29" s="706">
        <f t="shared" si="13"/>
        <v>100</v>
      </c>
      <c r="V29" s="705" t="s">
        <v>18</v>
      </c>
      <c r="W29" s="706">
        <f t="shared" si="14"/>
        <v>100</v>
      </c>
      <c r="X29" s="1355"/>
      <c r="Y29" s="3686"/>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6"/>
      <c r="M30" s="2710"/>
      <c r="N30" s="2710"/>
      <c r="O30" s="2710"/>
      <c r="P30" s="3693"/>
      <c r="Q30" s="1352">
        <f t="shared" si="11"/>
        <v>111</v>
      </c>
      <c r="R30" s="705" t="s">
        <v>18</v>
      </c>
      <c r="S30" s="706">
        <f t="shared" si="12"/>
        <v>100</v>
      </c>
      <c r="T30" s="705" t="s">
        <v>18</v>
      </c>
      <c r="U30" s="706">
        <f t="shared" si="13"/>
        <v>100</v>
      </c>
      <c r="V30" s="705" t="s">
        <v>18</v>
      </c>
      <c r="W30" s="706">
        <f t="shared" si="14"/>
        <v>100</v>
      </c>
      <c r="X30" s="1355"/>
      <c r="Y30" s="3686"/>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6"/>
      <c r="M31" s="2710"/>
      <c r="N31" s="2710"/>
      <c r="O31" s="2710"/>
      <c r="P31" s="3693"/>
      <c r="Q31" s="1352">
        <f t="shared" si="11"/>
        <v>111</v>
      </c>
      <c r="R31" s="705" t="s">
        <v>18</v>
      </c>
      <c r="S31" s="706">
        <f t="shared" si="12"/>
        <v>100</v>
      </c>
      <c r="T31" s="705" t="s">
        <v>18</v>
      </c>
      <c r="U31" s="706">
        <f t="shared" si="13"/>
        <v>100</v>
      </c>
      <c r="V31" s="705" t="s">
        <v>18</v>
      </c>
      <c r="W31" s="706">
        <f t="shared" si="14"/>
        <v>100</v>
      </c>
      <c r="X31" s="1355"/>
      <c r="Y31" s="3686"/>
      <c r="Z31" s="1356">
        <f t="shared" si="18"/>
        <v>111</v>
      </c>
      <c r="AA31" s="1353">
        <f t="shared" si="15"/>
        <v>1</v>
      </c>
      <c r="AB31" s="1353">
        <f t="shared" si="16"/>
        <v>1</v>
      </c>
      <c r="AC31" s="1353">
        <f t="shared" si="17"/>
        <v>1</v>
      </c>
    </row>
    <row r="32" spans="1:29" ht="15">
      <c r="A32" s="391" t="s">
        <v>1694</v>
      </c>
      <c r="B32" s="63" t="s">
        <v>1695</v>
      </c>
      <c r="C32" s="1909" t="s">
        <v>3411</v>
      </c>
      <c r="D32" s="418">
        <v>100</v>
      </c>
      <c r="E32" s="1909" t="s">
        <v>3411</v>
      </c>
      <c r="F32" s="412">
        <f>SUMIF(100:100,E32,101:101)-SUMIF(100:100,C32,101:101)+100</f>
        <v>100</v>
      </c>
      <c r="G32" s="1909" t="s">
        <v>3411</v>
      </c>
      <c r="H32" s="418">
        <f>SUMIF(100:100,G32,101:101)-SUMIF(100:100,C32,101:101)+100</f>
        <v>100</v>
      </c>
      <c r="I32" s="1909" t="s">
        <v>3411</v>
      </c>
      <c r="J32" s="386">
        <f>SUMIF(100:100,I32,101:101)-SUMIF(100:100,C32,101:101)+100</f>
        <v>100</v>
      </c>
      <c r="K32" s="377">
        <v>2</v>
      </c>
      <c r="L32" s="2716"/>
      <c r="M32" s="2710"/>
      <c r="N32" s="2710"/>
      <c r="O32" s="2710"/>
      <c r="P32" s="3687" t="s">
        <v>1696</v>
      </c>
      <c r="Q32" s="1352" t="str">
        <f t="shared" si="11"/>
        <v>建筑类型</v>
      </c>
      <c r="R32" s="705" t="s">
        <v>18</v>
      </c>
      <c r="S32" s="706">
        <f t="shared" si="12"/>
        <v>100</v>
      </c>
      <c r="T32" s="705" t="s">
        <v>18</v>
      </c>
      <c r="U32" s="706">
        <f t="shared" si="13"/>
        <v>100</v>
      </c>
      <c r="V32" s="705" t="s">
        <v>18</v>
      </c>
      <c r="W32" s="706">
        <f t="shared" si="14"/>
        <v>100</v>
      </c>
      <c r="X32" s="1355"/>
      <c r="Y32" s="3690"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70.150000000000006</v>
      </c>
      <c r="D33" s="127">
        <v>100</v>
      </c>
      <c r="E33" s="3457">
        <v>66.84</v>
      </c>
      <c r="F33" s="3458">
        <f>LOOKUP(E33,103:103,104:104)-LOOKUP(C33,103:103,104:104)+100</f>
        <v>100</v>
      </c>
      <c r="G33" s="3459">
        <v>66.84</v>
      </c>
      <c r="H33" s="3460">
        <f>LOOKUP(G33,103:103,104:104)-LOOKUP(C33,103:103,104:104)+100</f>
        <v>100</v>
      </c>
      <c r="I33" s="3457">
        <v>63.91</v>
      </c>
      <c r="J33" s="127">
        <f>LOOKUP(I33,103:103,104:104)-LOOKUP(C33,103:103,104:104)+100</f>
        <v>100</v>
      </c>
      <c r="K33" s="1893"/>
      <c r="L33" s="2715"/>
      <c r="M33" s="2717"/>
      <c r="N33" s="2717"/>
      <c r="O33" s="2717"/>
      <c r="P33" s="3688"/>
      <c r="Q33" s="707" t="str">
        <f t="shared" si="11"/>
        <v>项目建筑规模</v>
      </c>
      <c r="R33" s="708" t="s">
        <v>18</v>
      </c>
      <c r="S33" s="709">
        <f t="shared" si="12"/>
        <v>100</v>
      </c>
      <c r="T33" s="708" t="s">
        <v>18</v>
      </c>
      <c r="U33" s="709">
        <f t="shared" si="13"/>
        <v>100</v>
      </c>
      <c r="V33" s="708" t="s">
        <v>18</v>
      </c>
      <c r="W33" s="709">
        <f t="shared" si="14"/>
        <v>100</v>
      </c>
      <c r="X33" s="710"/>
      <c r="Y33" s="3690"/>
      <c r="Z33" s="711" t="str">
        <f t="shared" si="18"/>
        <v>项目建筑规模</v>
      </c>
      <c r="AA33" s="1353">
        <f t="shared" si="15"/>
        <v>1</v>
      </c>
      <c r="AB33" s="1353">
        <f t="shared" si="16"/>
        <v>1</v>
      </c>
      <c r="AC33" s="1353">
        <f t="shared" si="17"/>
        <v>1</v>
      </c>
    </row>
    <row r="34" spans="1:29" ht="15">
      <c r="A34" s="423"/>
      <c r="B34" s="375" t="s">
        <v>1698</v>
      </c>
      <c r="C34" s="1910" t="s">
        <v>3387</v>
      </c>
      <c r="D34" s="386">
        <v>100</v>
      </c>
      <c r="E34" s="1910" t="s">
        <v>3387</v>
      </c>
      <c r="F34" s="412">
        <f>SUMIF(105:105,E34,106:106)-SUMIF(105:105,C34,106:106)+100</f>
        <v>100</v>
      </c>
      <c r="G34" s="1910" t="s">
        <v>3387</v>
      </c>
      <c r="H34" s="386">
        <f>SUMIF(105:105,G34,106:106)-SUMIF(105:105,C34,106:106)+100</f>
        <v>100</v>
      </c>
      <c r="I34" s="1910" t="s">
        <v>3387</v>
      </c>
      <c r="J34" s="386">
        <f>SUMIF(105:105,I34,106:106)-SUMIF(105:105,C34,106:106)+100</f>
        <v>100</v>
      </c>
      <c r="K34" s="377">
        <v>2</v>
      </c>
      <c r="L34" s="2716"/>
      <c r="M34" s="2710"/>
      <c r="N34" s="2710"/>
      <c r="O34" s="2710"/>
      <c r="P34" s="3688"/>
      <c r="Q34" s="1352" t="str">
        <f t="shared" si="11"/>
        <v>建筑结构</v>
      </c>
      <c r="R34" s="705" t="s">
        <v>18</v>
      </c>
      <c r="S34" s="706">
        <f t="shared" si="12"/>
        <v>100</v>
      </c>
      <c r="T34" s="705" t="s">
        <v>18</v>
      </c>
      <c r="U34" s="706">
        <f t="shared" si="13"/>
        <v>100</v>
      </c>
      <c r="V34" s="705" t="s">
        <v>18</v>
      </c>
      <c r="W34" s="706">
        <f t="shared" si="14"/>
        <v>100</v>
      </c>
      <c r="X34" s="1355"/>
      <c r="Y34" s="3690"/>
      <c r="Z34" s="1356" t="str">
        <f t="shared" si="18"/>
        <v>建筑结构</v>
      </c>
      <c r="AA34" s="1353">
        <f t="shared" si="15"/>
        <v>1</v>
      </c>
      <c r="AB34" s="1353">
        <f t="shared" si="16"/>
        <v>1</v>
      </c>
      <c r="AC34" s="1353">
        <f t="shared" si="17"/>
        <v>1</v>
      </c>
    </row>
    <row r="35" spans="1:29" ht="15" hidden="1">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c r="L35" s="2716"/>
      <c r="M35" s="2710"/>
      <c r="N35" s="2710"/>
      <c r="O35" s="2710"/>
      <c r="P35" s="3688"/>
      <c r="Q35" s="1352" t="str">
        <f t="shared" si="11"/>
        <v>建筑品质</v>
      </c>
      <c r="R35" s="705" t="s">
        <v>18</v>
      </c>
      <c r="S35" s="706">
        <f t="shared" si="12"/>
        <v>100</v>
      </c>
      <c r="T35" s="705" t="s">
        <v>18</v>
      </c>
      <c r="U35" s="706">
        <f t="shared" si="13"/>
        <v>100</v>
      </c>
      <c r="V35" s="705" t="s">
        <v>18</v>
      </c>
      <c r="W35" s="706">
        <f t="shared" si="14"/>
        <v>100</v>
      </c>
      <c r="X35" s="1355"/>
      <c r="Y35" s="3690"/>
      <c r="Z35" s="1356" t="str">
        <f t="shared" si="18"/>
        <v>建筑品质</v>
      </c>
      <c r="AA35" s="1353">
        <f t="shared" si="15"/>
        <v>1</v>
      </c>
      <c r="AB35" s="1353">
        <f t="shared" si="16"/>
        <v>1</v>
      </c>
      <c r="AC35" s="1353">
        <f t="shared" si="17"/>
        <v>1</v>
      </c>
    </row>
    <row r="36" spans="1:29" ht="15">
      <c r="A36" s="423"/>
      <c r="B36" s="375" t="s">
        <v>1700</v>
      </c>
      <c r="C36" s="1905" t="s">
        <v>3414</v>
      </c>
      <c r="D36" s="386">
        <v>100</v>
      </c>
      <c r="E36" s="1905" t="s">
        <v>3414</v>
      </c>
      <c r="F36" s="412">
        <f>SUMIF(109:109,E36,110:110)-SUMIF(109:109,C36,110:110)+100</f>
        <v>100</v>
      </c>
      <c r="G36" s="1905" t="s">
        <v>3414</v>
      </c>
      <c r="H36" s="386">
        <f>SUMIF(109:109,G36,110:110)-SUMIF(109:109,C36,110:110)+100</f>
        <v>100</v>
      </c>
      <c r="I36" s="1905" t="s">
        <v>3414</v>
      </c>
      <c r="J36" s="386">
        <f>SUMIF(109:109,I36,110:110)-SUMIF(109:109,C36,110:110)+100</f>
        <v>100</v>
      </c>
      <c r="K36" s="377">
        <v>2</v>
      </c>
      <c r="L36" s="2716"/>
      <c r="M36" s="2710"/>
      <c r="N36" s="2710"/>
      <c r="O36" s="2710"/>
      <c r="P36" s="3688"/>
      <c r="Q36" s="1352" t="str">
        <f t="shared" si="11"/>
        <v>公共部分装修</v>
      </c>
      <c r="R36" s="705" t="s">
        <v>18</v>
      </c>
      <c r="S36" s="706">
        <f t="shared" si="12"/>
        <v>100</v>
      </c>
      <c r="T36" s="705" t="s">
        <v>18</v>
      </c>
      <c r="U36" s="706">
        <f t="shared" si="13"/>
        <v>100</v>
      </c>
      <c r="V36" s="705" t="s">
        <v>18</v>
      </c>
      <c r="W36" s="706">
        <f t="shared" si="14"/>
        <v>100</v>
      </c>
      <c r="X36" s="1355"/>
      <c r="Y36" s="3690"/>
      <c r="Z36" s="1356" t="str">
        <f t="shared" si="18"/>
        <v>公共部分装修</v>
      </c>
      <c r="AA36" s="1353">
        <f t="shared" si="15"/>
        <v>1</v>
      </c>
      <c r="AB36" s="1353">
        <f t="shared" si="16"/>
        <v>1</v>
      </c>
      <c r="AC36" s="1353">
        <f t="shared" si="17"/>
        <v>1</v>
      </c>
    </row>
    <row r="37" spans="1:29" s="108" customFormat="1" ht="15">
      <c r="A37" s="424"/>
      <c r="B37" s="375" t="s">
        <v>1701</v>
      </c>
      <c r="C37" s="3452">
        <f>'数据-取费表'!N6</f>
        <v>0.83499999999999996</v>
      </c>
      <c r="D37" s="127">
        <v>100</v>
      </c>
      <c r="E37" s="3452">
        <f>C37</f>
        <v>0.83499999999999996</v>
      </c>
      <c r="F37" s="376">
        <f>LOOKUP(E37,112:112,113:113)-LOOKUP(C37,112:112,113:113)+100</f>
        <v>100</v>
      </c>
      <c r="G37" s="3452">
        <f>C37</f>
        <v>0.83499999999999996</v>
      </c>
      <c r="H37" s="127">
        <f>LOOKUP(G37,112:112,113:113)-LOOKUP(C37,112:112,113:113)+100</f>
        <v>100</v>
      </c>
      <c r="I37" s="3452">
        <f>C37</f>
        <v>0.83499999999999996</v>
      </c>
      <c r="J37" s="127">
        <f>LOOKUP(I37,112:112,113:113)-LOOKUP(C37,112:112,113:113)+100</f>
        <v>100</v>
      </c>
      <c r="K37" s="377">
        <v>2</v>
      </c>
      <c r="L37" s="2711"/>
      <c r="M37" s="2712"/>
      <c r="N37" s="2712"/>
      <c r="O37" s="2712"/>
      <c r="P37" s="3688"/>
      <c r="Q37" s="1343" t="str">
        <f t="shared" si="11"/>
        <v>成新度</v>
      </c>
      <c r="R37" s="701" t="s">
        <v>18</v>
      </c>
      <c r="S37" s="702">
        <f t="shared" si="12"/>
        <v>100</v>
      </c>
      <c r="T37" s="701" t="s">
        <v>18</v>
      </c>
      <c r="U37" s="702">
        <f t="shared" si="13"/>
        <v>100</v>
      </c>
      <c r="V37" s="701" t="s">
        <v>18</v>
      </c>
      <c r="W37" s="702">
        <f t="shared" si="14"/>
        <v>100</v>
      </c>
      <c r="X37" s="703"/>
      <c r="Y37" s="3690"/>
      <c r="Z37" s="52" t="str">
        <f t="shared" si="18"/>
        <v>成新度</v>
      </c>
      <c r="AA37" s="704">
        <f t="shared" si="15"/>
        <v>1</v>
      </c>
      <c r="AB37" s="704">
        <f t="shared" si="16"/>
        <v>1</v>
      </c>
      <c r="AC37" s="704">
        <f t="shared" si="17"/>
        <v>1</v>
      </c>
    </row>
    <row r="38" spans="1:29" ht="15">
      <c r="A38" s="423"/>
      <c r="B38" s="375" t="s">
        <v>1702</v>
      </c>
      <c r="C38" s="1905" t="s">
        <v>3416</v>
      </c>
      <c r="D38" s="386">
        <v>100</v>
      </c>
      <c r="E38" s="1905" t="s">
        <v>3416</v>
      </c>
      <c r="F38" s="412">
        <f>SUMIF(114:114,E38,115:115)-SUMIF(114:114,C38,115:115)+100</f>
        <v>100</v>
      </c>
      <c r="G38" s="1905" t="s">
        <v>3416</v>
      </c>
      <c r="H38" s="386">
        <f>SUMIF(114:114,G38,115:115)-SUMIF(114:114,C38,115:115)+100</f>
        <v>100</v>
      </c>
      <c r="I38" s="1905" t="s">
        <v>3416</v>
      </c>
      <c r="J38" s="386">
        <f>SUMIF(114:114,I38,115:115)-SUMIF(114:114,C38,115:115)+100</f>
        <v>100</v>
      </c>
      <c r="K38" s="377">
        <v>2</v>
      </c>
      <c r="L38" s="2716"/>
      <c r="M38" s="2710"/>
      <c r="N38" s="2710"/>
      <c r="O38" s="2710"/>
      <c r="P38" s="3688" t="s">
        <v>1696</v>
      </c>
      <c r="Q38" s="1352" t="str">
        <f t="shared" si="11"/>
        <v>物业管理</v>
      </c>
      <c r="R38" s="705" t="s">
        <v>18</v>
      </c>
      <c r="S38" s="706">
        <f t="shared" si="12"/>
        <v>100</v>
      </c>
      <c r="T38" s="705" t="s">
        <v>18</v>
      </c>
      <c r="U38" s="706">
        <f t="shared" si="13"/>
        <v>100</v>
      </c>
      <c r="V38" s="705" t="s">
        <v>18</v>
      </c>
      <c r="W38" s="706">
        <f t="shared" si="14"/>
        <v>100</v>
      </c>
      <c r="X38" s="1355"/>
      <c r="Y38" s="3690" t="s">
        <v>1696</v>
      </c>
      <c r="Z38" s="1356" t="str">
        <f t="shared" si="18"/>
        <v>物业管理</v>
      </c>
      <c r="AA38" s="1353">
        <f t="shared" si="15"/>
        <v>1</v>
      </c>
      <c r="AB38" s="1353">
        <f t="shared" si="16"/>
        <v>1</v>
      </c>
      <c r="AC38" s="1353">
        <f t="shared" si="17"/>
        <v>1</v>
      </c>
    </row>
    <row r="39" spans="1:29" ht="15">
      <c r="A39" s="423"/>
      <c r="B39" s="375" t="s">
        <v>1703</v>
      </c>
      <c r="C39" s="1905" t="s">
        <v>3419</v>
      </c>
      <c r="D39" s="386">
        <v>100</v>
      </c>
      <c r="E39" s="1905" t="s">
        <v>3419</v>
      </c>
      <c r="F39" s="412">
        <f>SUMIF(116:116,E39,117:117)-SUMIF(116:116,C39,117:117)+100</f>
        <v>100</v>
      </c>
      <c r="G39" s="1905" t="s">
        <v>3419</v>
      </c>
      <c r="H39" s="386">
        <f>SUMIF(116:116,G39,117:117)-SUMIF(116:116,C39,117:117)+100</f>
        <v>100</v>
      </c>
      <c r="I39" s="1905" t="s">
        <v>3419</v>
      </c>
      <c r="J39" s="386">
        <f>SUMIF(116:116,I39,117:117)-SUMIF(116:116,C39,117:117)+100</f>
        <v>100</v>
      </c>
      <c r="K39" s="377">
        <v>2</v>
      </c>
      <c r="L39" s="2716"/>
      <c r="M39" s="2710"/>
      <c r="N39" s="2710"/>
      <c r="O39" s="2710"/>
      <c r="P39" s="3688"/>
      <c r="Q39" s="1352" t="str">
        <f t="shared" si="11"/>
        <v>市政基础设施</v>
      </c>
      <c r="R39" s="705" t="s">
        <v>18</v>
      </c>
      <c r="S39" s="706">
        <f t="shared" si="12"/>
        <v>100</v>
      </c>
      <c r="T39" s="705" t="s">
        <v>18</v>
      </c>
      <c r="U39" s="706">
        <f t="shared" si="13"/>
        <v>100</v>
      </c>
      <c r="V39" s="705" t="s">
        <v>18</v>
      </c>
      <c r="W39" s="706">
        <f t="shared" si="14"/>
        <v>100</v>
      </c>
      <c r="X39" s="1355"/>
      <c r="Y39" s="3690"/>
      <c r="Z39" s="1356" t="str">
        <f t="shared" si="18"/>
        <v>市政基础设施</v>
      </c>
      <c r="AA39" s="1353">
        <f t="shared" si="15"/>
        <v>1</v>
      </c>
      <c r="AB39" s="1353">
        <f t="shared" si="16"/>
        <v>1</v>
      </c>
      <c r="AC39" s="1353">
        <f t="shared" si="17"/>
        <v>1</v>
      </c>
    </row>
    <row r="40" spans="1:29" ht="15" hidden="1">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6"/>
      <c r="M40" s="2710"/>
      <c r="N40" s="2710"/>
      <c r="O40" s="2710"/>
      <c r="P40" s="3688"/>
      <c r="Q40" s="1352" t="str">
        <f t="shared" si="11"/>
        <v>房型</v>
      </c>
      <c r="R40" s="705" t="s">
        <v>18</v>
      </c>
      <c r="S40" s="706">
        <f t="shared" si="12"/>
        <v>100</v>
      </c>
      <c r="T40" s="705" t="s">
        <v>18</v>
      </c>
      <c r="U40" s="706">
        <f t="shared" si="13"/>
        <v>100</v>
      </c>
      <c r="V40" s="705" t="s">
        <v>18</v>
      </c>
      <c r="W40" s="706">
        <f t="shared" si="14"/>
        <v>100</v>
      </c>
      <c r="X40" s="1355"/>
      <c r="Y40" s="3690"/>
      <c r="Z40" s="1356" t="str">
        <f t="shared" si="18"/>
        <v>房型</v>
      </c>
      <c r="AA40" s="1353">
        <f t="shared" si="15"/>
        <v>1</v>
      </c>
      <c r="AB40" s="1353">
        <f t="shared" si="16"/>
        <v>1</v>
      </c>
      <c r="AC40" s="1353">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5"/>
      <c r="M41" s="2717"/>
      <c r="N41" s="2717"/>
      <c r="O41" s="2717"/>
      <c r="P41" s="3688"/>
      <c r="Q41" s="707" t="str">
        <f t="shared" si="11"/>
        <v>单套/主力户型建筑面积</v>
      </c>
      <c r="R41" s="708" t="s">
        <v>18</v>
      </c>
      <c r="S41" s="709">
        <f t="shared" si="12"/>
        <v>100</v>
      </c>
      <c r="T41" s="708" t="s">
        <v>18</v>
      </c>
      <c r="U41" s="709">
        <f t="shared" si="13"/>
        <v>100</v>
      </c>
      <c r="V41" s="708" t="s">
        <v>18</v>
      </c>
      <c r="W41" s="709">
        <f t="shared" si="14"/>
        <v>100</v>
      </c>
      <c r="X41" s="710"/>
      <c r="Y41" s="3690"/>
      <c r="Z41" s="711" t="str">
        <f t="shared" si="18"/>
        <v>单套/主力户型建筑面积</v>
      </c>
      <c r="AA41" s="1353">
        <f t="shared" si="15"/>
        <v>1</v>
      </c>
      <c r="AB41" s="1353">
        <f t="shared" si="16"/>
        <v>1</v>
      </c>
      <c r="AC41" s="1353">
        <f t="shared" si="17"/>
        <v>1</v>
      </c>
    </row>
    <row r="42" spans="1:29" ht="15.75" thickBot="1">
      <c r="A42" s="423"/>
      <c r="B42" s="375" t="s">
        <v>1706</v>
      </c>
      <c r="C42" s="1905" t="s">
        <v>3421</v>
      </c>
      <c r="D42" s="386">
        <v>100</v>
      </c>
      <c r="E42" s="1905" t="s">
        <v>3421</v>
      </c>
      <c r="F42" s="412">
        <f>SUMIF(122:122,E42,123:123)-SUMIF(122:122,C42,123:123)+100</f>
        <v>100</v>
      </c>
      <c r="G42" s="1905" t="s">
        <v>3421</v>
      </c>
      <c r="H42" s="386">
        <f>SUMIF(122:122,G42,123:123)-SUMIF(122:122,C42,123:123)+100</f>
        <v>100</v>
      </c>
      <c r="I42" s="1905" t="s">
        <v>3421</v>
      </c>
      <c r="J42" s="386">
        <f>SUMIF(122:122,I42,123:123)-SUMIF(122:122,C42,123:123)+100</f>
        <v>100</v>
      </c>
      <c r="K42" s="377">
        <v>2</v>
      </c>
      <c r="L42" s="2716"/>
      <c r="M42" s="2710"/>
      <c r="N42" s="2710"/>
      <c r="O42" s="2710"/>
      <c r="P42" s="3688"/>
      <c r="Q42" s="1352" t="str">
        <f t="shared" si="11"/>
        <v>内部装修</v>
      </c>
      <c r="R42" s="705" t="s">
        <v>18</v>
      </c>
      <c r="S42" s="706">
        <f t="shared" si="12"/>
        <v>100</v>
      </c>
      <c r="T42" s="705" t="s">
        <v>18</v>
      </c>
      <c r="U42" s="706">
        <f t="shared" si="13"/>
        <v>100</v>
      </c>
      <c r="V42" s="705" t="s">
        <v>18</v>
      </c>
      <c r="W42" s="706">
        <f t="shared" si="14"/>
        <v>100</v>
      </c>
      <c r="X42" s="1355"/>
      <c r="Y42" s="3690"/>
      <c r="Z42" s="1356" t="str">
        <f t="shared" si="18"/>
        <v>内部装修</v>
      </c>
      <c r="AA42" s="1353">
        <f t="shared" si="15"/>
        <v>1</v>
      </c>
      <c r="AB42" s="1353">
        <f t="shared" si="16"/>
        <v>1</v>
      </c>
      <c r="AC42" s="1353">
        <f t="shared" si="17"/>
        <v>1</v>
      </c>
    </row>
    <row r="43" spans="1:29" ht="15.75" hidden="1" thickBot="1">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377">
        <v>2</v>
      </c>
      <c r="L43" s="2716"/>
      <c r="M43" s="2710"/>
      <c r="N43" s="2710"/>
      <c r="O43" s="2710"/>
      <c r="P43" s="3688"/>
      <c r="Q43" s="1352" t="str">
        <f t="shared" si="11"/>
        <v>内部装修维护情况</v>
      </c>
      <c r="R43" s="705" t="s">
        <v>18</v>
      </c>
      <c r="S43" s="706">
        <f t="shared" si="12"/>
        <v>100</v>
      </c>
      <c r="T43" s="705" t="s">
        <v>18</v>
      </c>
      <c r="U43" s="706">
        <f t="shared" si="13"/>
        <v>100</v>
      </c>
      <c r="V43" s="705" t="s">
        <v>18</v>
      </c>
      <c r="W43" s="706">
        <f t="shared" si="14"/>
        <v>100</v>
      </c>
      <c r="X43" s="1355"/>
      <c r="Y43" s="3690"/>
      <c r="Z43" s="1356" t="str">
        <f t="shared" si="18"/>
        <v>内部装修维护情况</v>
      </c>
      <c r="AA43" s="1353">
        <f t="shared" si="15"/>
        <v>1</v>
      </c>
      <c r="AB43" s="1353">
        <f t="shared" si="16"/>
        <v>1</v>
      </c>
      <c r="AC43" s="1353">
        <f t="shared" si="17"/>
        <v>1</v>
      </c>
    </row>
    <row r="44" spans="1:29" s="108" customFormat="1" ht="15" hidden="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1"/>
      <c r="M44" s="2712"/>
      <c r="N44" s="2712"/>
      <c r="O44" s="2712"/>
      <c r="P44" s="3688"/>
      <c r="Q44" s="1343">
        <f t="shared" si="11"/>
        <v>111</v>
      </c>
      <c r="R44" s="701" t="s">
        <v>18</v>
      </c>
      <c r="S44" s="702">
        <f t="shared" si="12"/>
        <v>100</v>
      </c>
      <c r="T44" s="701" t="s">
        <v>18</v>
      </c>
      <c r="U44" s="702">
        <f t="shared" si="13"/>
        <v>100</v>
      </c>
      <c r="V44" s="701" t="s">
        <v>18</v>
      </c>
      <c r="W44" s="702">
        <f t="shared" si="14"/>
        <v>100</v>
      </c>
      <c r="X44" s="703"/>
      <c r="Y44" s="3690"/>
      <c r="Z44" s="52">
        <f t="shared" si="18"/>
        <v>111</v>
      </c>
      <c r="AA44" s="704">
        <f t="shared" si="15"/>
        <v>1</v>
      </c>
      <c r="AB44" s="704">
        <f t="shared" si="16"/>
        <v>1</v>
      </c>
      <c r="AC44" s="704">
        <f t="shared" si="17"/>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6"/>
      <c r="M45" s="2710"/>
      <c r="N45" s="2710"/>
      <c r="O45" s="2710"/>
      <c r="P45" s="3688"/>
      <c r="Q45" s="1352">
        <f t="shared" si="11"/>
        <v>111</v>
      </c>
      <c r="R45" s="705" t="s">
        <v>18</v>
      </c>
      <c r="S45" s="706">
        <f t="shared" si="12"/>
        <v>100</v>
      </c>
      <c r="T45" s="705" t="s">
        <v>18</v>
      </c>
      <c r="U45" s="706">
        <f t="shared" si="13"/>
        <v>100</v>
      </c>
      <c r="V45" s="705" t="s">
        <v>18</v>
      </c>
      <c r="W45" s="706">
        <f t="shared" si="14"/>
        <v>100</v>
      </c>
      <c r="X45" s="1355"/>
      <c r="Y45" s="3690"/>
      <c r="Z45" s="1356">
        <f t="shared" si="18"/>
        <v>111</v>
      </c>
      <c r="AA45" s="1353">
        <f t="shared" si="15"/>
        <v>1</v>
      </c>
      <c r="AB45" s="1353">
        <f t="shared" si="16"/>
        <v>1</v>
      </c>
      <c r="AC45" s="1353">
        <f t="shared" si="17"/>
        <v>1</v>
      </c>
    </row>
    <row r="46" spans="1:29" ht="15.75" hidden="1"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6"/>
      <c r="M46" s="2710"/>
      <c r="N46" s="2710"/>
      <c r="O46" s="2710"/>
      <c r="P46" s="3689"/>
      <c r="Q46" s="1352">
        <f t="shared" si="11"/>
        <v>111</v>
      </c>
      <c r="R46" s="705" t="s">
        <v>17</v>
      </c>
      <c r="S46" s="706">
        <f t="shared" si="12"/>
        <v>100</v>
      </c>
      <c r="T46" s="705" t="s">
        <v>17</v>
      </c>
      <c r="U46" s="706">
        <f t="shared" si="13"/>
        <v>100</v>
      </c>
      <c r="V46" s="705" t="s">
        <v>17</v>
      </c>
      <c r="W46" s="706">
        <f t="shared" si="14"/>
        <v>100</v>
      </c>
      <c r="X46" s="1355"/>
      <c r="Y46" s="3691"/>
      <c r="Z46" s="1356">
        <f t="shared" si="18"/>
        <v>111</v>
      </c>
      <c r="AA46" s="1353">
        <f t="shared" si="15"/>
        <v>1</v>
      </c>
      <c r="AB46" s="1353">
        <f t="shared" si="16"/>
        <v>1</v>
      </c>
      <c r="AC46" s="1353">
        <f t="shared" si="17"/>
        <v>1</v>
      </c>
    </row>
    <row r="47" spans="1:29" ht="15">
      <c r="A47" s="430" t="s">
        <v>1708</v>
      </c>
      <c r="B47" s="431"/>
      <c r="C47" s="1154" t="s">
        <v>16</v>
      </c>
      <c r="D47" s="1155"/>
      <c r="E47" s="1156">
        <v>36281</v>
      </c>
      <c r="F47" s="1157"/>
      <c r="G47" s="1158">
        <v>35428</v>
      </c>
      <c r="H47" s="1159"/>
      <c r="I47" s="1156">
        <v>40682</v>
      </c>
      <c r="J47" s="1159"/>
      <c r="K47" s="1911"/>
      <c r="L47" s="2718"/>
      <c r="M47" s="2719"/>
      <c r="N47" s="2710"/>
      <c r="O47" s="2719"/>
      <c r="P47" s="3683" t="str">
        <f>A47</f>
        <v>成交单价（元/平方米）</v>
      </c>
      <c r="Q47" s="3683"/>
      <c r="R47" s="3684">
        <f>E47</f>
        <v>36281</v>
      </c>
      <c r="S47" s="3684"/>
      <c r="T47" s="3684">
        <f>G47</f>
        <v>35428</v>
      </c>
      <c r="U47" s="3684"/>
      <c r="V47" s="3684">
        <f>I47</f>
        <v>40682</v>
      </c>
      <c r="W47" s="3684"/>
      <c r="X47" s="690"/>
      <c r="Y47" s="712"/>
      <c r="Z47" s="690"/>
      <c r="AA47" s="690"/>
      <c r="AB47" s="690"/>
      <c r="AC47" s="690"/>
    </row>
    <row r="48" spans="1:29" ht="15.75" thickBot="1">
      <c r="A48" s="437" t="s">
        <v>1709</v>
      </c>
      <c r="B48" s="438"/>
      <c r="C48" s="1160">
        <f>R49</f>
        <v>39475</v>
      </c>
      <c r="D48" s="2314" t="s">
        <v>2138</v>
      </c>
      <c r="E48" s="1161">
        <f>R48</f>
        <v>38962</v>
      </c>
      <c r="F48" s="2315"/>
      <c r="G48" s="1160">
        <f>T48</f>
        <v>37269</v>
      </c>
      <c r="H48" s="2315"/>
      <c r="I48" s="1161">
        <f>V48</f>
        <v>42193</v>
      </c>
      <c r="J48" s="2315"/>
      <c r="K48" s="2316">
        <f>F48+H48+J48</f>
        <v>0</v>
      </c>
      <c r="L48" s="2718"/>
      <c r="M48" s="2719"/>
      <c r="N48" s="2719"/>
      <c r="O48" s="2719"/>
      <c r="P48" s="3683" t="str">
        <f>A48</f>
        <v>比较价值（元/平方米）</v>
      </c>
      <c r="Q48" s="3683"/>
      <c r="R48" s="3684">
        <f>IF(F1="售价",ROUND(PRODUCT(R47,AA7:AA46),0),ROUND(PRODUCT(R47,AA7:AA46),1))</f>
        <v>38962</v>
      </c>
      <c r="S48" s="3684"/>
      <c r="T48" s="3684">
        <f>IF(F1="售价",ROUND(PRODUCT(T47,AB7:AB46),0),ROUND(PRODUCT(T47,AB7:AB46),1))</f>
        <v>37269</v>
      </c>
      <c r="U48" s="3684"/>
      <c r="V48" s="3684">
        <f>IF(F1="售价",ROUND(PRODUCT(V47,AC7:AC46),0),ROUND(PRODUCT(V47,AC7:AC46),1))</f>
        <v>42193</v>
      </c>
      <c r="W48" s="3684"/>
      <c r="X48" s="690"/>
      <c r="Y48" s="690"/>
      <c r="Z48" s="690"/>
      <c r="AA48" s="690"/>
      <c r="AB48" s="690"/>
      <c r="AC48" s="690"/>
    </row>
    <row r="49" spans="1:29" ht="15.75" thickBot="1">
      <c r="A49" s="441" t="s">
        <v>1710</v>
      </c>
      <c r="B49" s="442"/>
      <c r="C49" s="1162">
        <f>R49</f>
        <v>39475</v>
      </c>
      <c r="D49" s="1163"/>
      <c r="E49" s="1163"/>
      <c r="F49" s="1163"/>
      <c r="G49" s="1163"/>
      <c r="H49" s="1163"/>
      <c r="I49" s="1163"/>
      <c r="J49" s="1163"/>
      <c r="K49" s="1912"/>
      <c r="L49" s="2718"/>
      <c r="M49" s="2719"/>
      <c r="N49" s="2719"/>
      <c r="O49" s="2719"/>
      <c r="P49" s="3680" t="str">
        <f>A49</f>
        <v>估价对象XX用房的比较价值（楼面单价，元/平方米）</v>
      </c>
      <c r="Q49" s="3681"/>
      <c r="R49" s="3682">
        <f>IF(F1="售价",ROUND(IF(D48="简单平均",AVERAGE(R48:V48),R48*F48+T48*H48+V48*J48),0),ROUND(IF(D48="简单平均",AVERAGE(R48:V48),R48*F48+T48*H48+V48*J48),1))</f>
        <v>39475</v>
      </c>
      <c r="S49" s="3682"/>
      <c r="T49" s="3682"/>
      <c r="U49" s="3682"/>
      <c r="V49" s="3682"/>
      <c r="W49" s="368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f>IF(E47&lt;E48,E48/E47-1,E47/E48-1)</f>
        <v>7.3895427358672494E-2</v>
      </c>
      <c r="F52" s="449" t="str">
        <f>IF(OR(E52&gt;=0.3,E52&lt;=-0.3),"超过30%","")</f>
        <v/>
      </c>
      <c r="G52" s="448">
        <f>IF(G47&lt;G48,G48/G47-1,G47/G48-1)</f>
        <v>5.1964547815287254E-2</v>
      </c>
      <c r="H52" s="449" t="str">
        <f>IF(OR(G52&gt;=0.3,G52&lt;=-0.3),"超过30%","")</f>
        <v/>
      </c>
      <c r="I52" s="448">
        <f>IF(I47&lt;I48,I48/I47-1,I47/I48-1)</f>
        <v>3.7141733444766789E-2</v>
      </c>
      <c r="J52" s="449" t="str">
        <f>IF(OR(I52&gt;=0.3,I52&lt;=-0.3),"超过30%","")</f>
        <v/>
      </c>
      <c r="K52" s="2724"/>
      <c r="L52" s="2720"/>
      <c r="M52" s="2719"/>
      <c r="N52" s="2719"/>
      <c r="O52" s="2719"/>
    </row>
    <row r="53" spans="1:29" ht="13.5" customHeight="1">
      <c r="A53" s="2719"/>
      <c r="B53" s="2719"/>
      <c r="C53" s="446" t="s">
        <v>1712</v>
      </c>
      <c r="D53" s="450"/>
      <c r="E53" s="448">
        <f>IF(E48&lt;G48,G48/E48-1,E48/G48-1)</f>
        <v>4.5426493868899076E-2</v>
      </c>
      <c r="F53" s="449" t="str">
        <f>IF(OR(E53&gt;=0.2,E53&lt;=-0.2),"超过20%","")</f>
        <v/>
      </c>
      <c r="G53" s="448">
        <f>IF(G48&lt;I48,I48/G48-1,G48/I48-1)</f>
        <v>0.13212052912608341</v>
      </c>
      <c r="H53" s="449" t="str">
        <f>IF(OR(G53&gt;=0.2,G53&lt;=-0.2),"超过20%","")</f>
        <v/>
      </c>
      <c r="I53" s="448">
        <f>IF(I48&lt;E48,E48/I48-1,I48/E48-1)</f>
        <v>8.2926954468456548E-2</v>
      </c>
      <c r="J53" s="449" t="str">
        <f>IF(OR(I53&gt;=0.2,I53&lt;=-0.2),"超过20%","")</f>
        <v/>
      </c>
      <c r="K53" s="2724"/>
      <c r="L53" s="2720"/>
      <c r="M53" s="2719"/>
      <c r="N53" s="2719"/>
      <c r="O53" s="2719"/>
    </row>
    <row r="54" spans="1:29" s="451" customFormat="1" ht="13.5" customHeight="1">
      <c r="A54" s="2722"/>
      <c r="B54" s="2722"/>
      <c r="C54" s="446" t="s">
        <v>1713</v>
      </c>
      <c r="D54" s="450"/>
      <c r="E54" s="448">
        <f>IF(E47&lt;G47,G47/E47-1,E47/G47-1)</f>
        <v>2.4077001241955553E-2</v>
      </c>
      <c r="F54" s="449" t="str">
        <f>IF(OR(E54&gt;=0.3,E54&lt;=-0.3),"超过30%","")</f>
        <v/>
      </c>
      <c r="G54" s="448">
        <f>IF(G47&lt;I47,I47/G47-1,G47/I47-1)</f>
        <v>0.14830077904482319</v>
      </c>
      <c r="H54" s="449" t="str">
        <f>IF(OR(G54&gt;=0.3,G54&lt;=-0.3),"超过30%","")</f>
        <v/>
      </c>
      <c r="I54" s="448">
        <f>IF(I47&lt;E47,E47/I47-1,I47/E47-1)</f>
        <v>0.1213031614343596</v>
      </c>
      <c r="J54" s="449" t="str">
        <f>IF(OR(I54&gt;=0.3,I54&lt;=-0.3),"超过30%","")</f>
        <v/>
      </c>
      <c r="K54" s="2727"/>
      <c r="L54" s="2721"/>
      <c r="M54" s="2722"/>
      <c r="N54" s="2722"/>
      <c r="O54" s="2722"/>
      <c r="P54" s="1914"/>
    </row>
    <row r="55" spans="1:29" s="451" customFormat="1">
      <c r="A55" s="2722"/>
      <c r="B55" s="2725"/>
      <c r="C55" s="2726"/>
      <c r="D55" s="2722"/>
      <c r="E55" s="2722"/>
      <c r="F55" s="2722"/>
      <c r="G55" s="2722"/>
      <c r="H55" s="2722"/>
      <c r="I55" s="2722"/>
      <c r="J55" s="2722"/>
      <c r="K55" s="2727"/>
      <c r="L55" s="2721"/>
      <c r="M55" s="2722"/>
      <c r="N55" s="2722"/>
      <c r="O55" s="2722"/>
      <c r="P55" s="1914"/>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6"/>
      <c r="C59" s="1183">
        <v>100</v>
      </c>
      <c r="D59" s="460">
        <v>100</v>
      </c>
      <c r="E59" s="461">
        <v>100</v>
      </c>
      <c r="F59" s="461">
        <v>99.8</v>
      </c>
      <c r="G59" s="461">
        <v>99.8</v>
      </c>
      <c r="H59" s="461">
        <v>99.8</v>
      </c>
      <c r="I59" s="461">
        <v>99.6</v>
      </c>
      <c r="J59" s="461">
        <v>99.6</v>
      </c>
      <c r="K59" s="461">
        <v>99.6</v>
      </c>
      <c r="L59" s="461">
        <v>99.4</v>
      </c>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0（含）-1</v>
      </c>
      <c r="D67" s="496" t="str">
        <f t="shared" ref="D67:L67" si="20">D68&amp;"（含）"&amp;"-"&amp;E68</f>
        <v>1（含）-2</v>
      </c>
      <c r="E67" s="496" t="str">
        <f t="shared" si="20"/>
        <v>2（含）-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v>0</v>
      </c>
      <c r="D68" s="498">
        <v>1</v>
      </c>
      <c r="E68" s="498">
        <v>2</v>
      </c>
      <c r="F68" s="498"/>
      <c r="G68" s="498"/>
      <c r="H68" s="498"/>
      <c r="I68" s="498"/>
      <c r="J68" s="498"/>
      <c r="K68" s="499"/>
      <c r="L68" s="500"/>
      <c r="M68" s="501"/>
      <c r="N68" s="933"/>
      <c r="O68" s="933"/>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98</v>
      </c>
      <c r="E83" s="608">
        <f t="shared" ref="E83:G83" si="22">D83-$K21</f>
        <v>96</v>
      </c>
      <c r="F83" s="608">
        <f t="shared" si="22"/>
        <v>94</v>
      </c>
      <c r="G83" s="608">
        <f t="shared" si="22"/>
        <v>92</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3447" t="s">
        <v>3428</v>
      </c>
      <c r="D88" s="3447" t="s">
        <v>3430</v>
      </c>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97</v>
      </c>
      <c r="E89" s="493">
        <f t="shared" si="24"/>
        <v>94</v>
      </c>
      <c r="F89" s="493">
        <f t="shared" si="24"/>
        <v>91</v>
      </c>
      <c r="G89" s="493">
        <f t="shared" si="24"/>
        <v>88</v>
      </c>
      <c r="H89" s="493">
        <f t="shared" si="24"/>
        <v>85</v>
      </c>
      <c r="I89" s="493">
        <f t="shared" si="24"/>
        <v>82</v>
      </c>
      <c r="J89" s="493">
        <f t="shared" si="24"/>
        <v>79</v>
      </c>
      <c r="K89" s="493">
        <f t="shared" si="24"/>
        <v>76</v>
      </c>
      <c r="L89" s="493">
        <f t="shared" si="24"/>
        <v>73</v>
      </c>
      <c r="M89" s="493">
        <f t="shared" si="24"/>
        <v>70</v>
      </c>
      <c r="N89" s="934"/>
      <c r="O89" s="934"/>
      <c r="P89" s="1919"/>
      <c r="Q89" s="453"/>
    </row>
    <row r="90" spans="1:17" s="422" customFormat="1" ht="15.75" thickTop="1">
      <c r="A90" s="502"/>
      <c r="B90" s="487" t="str">
        <f>B27</f>
        <v>楼层</v>
      </c>
      <c r="C90" s="3447" t="s">
        <v>3424</v>
      </c>
      <c r="D90" s="3447" t="s">
        <v>3425</v>
      </c>
      <c r="E90" s="3447" t="s">
        <v>3426</v>
      </c>
      <c r="F90" s="503"/>
      <c r="G90" s="503"/>
      <c r="H90" s="504"/>
      <c r="I90" s="504"/>
      <c r="J90" s="504"/>
      <c r="K90" s="504"/>
      <c r="L90" s="505"/>
      <c r="M90" s="506"/>
      <c r="N90" s="935"/>
      <c r="O90" s="935"/>
      <c r="P90" s="1920"/>
      <c r="Q90" s="508"/>
    </row>
    <row r="91" spans="1:17" s="422" customFormat="1" ht="15.75" thickBot="1">
      <c r="A91" s="502"/>
      <c r="B91" s="492"/>
      <c r="C91" s="509">
        <v>100</v>
      </c>
      <c r="D91" s="509">
        <v>98</v>
      </c>
      <c r="E91" s="509">
        <v>96</v>
      </c>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3446" t="s">
        <v>3412</v>
      </c>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0(含)-50</v>
      </c>
      <c r="D102" s="527" t="str">
        <f t="shared" ref="D102:L102" si="26">D103&amp;"(含)"&amp;"-"&amp;E103</f>
        <v>50(含)-100</v>
      </c>
      <c r="E102" s="527" t="str">
        <f t="shared" si="26"/>
        <v>100(含)-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v>0</v>
      </c>
      <c r="D103" s="544">
        <v>50</v>
      </c>
      <c r="E103" s="544">
        <v>100</v>
      </c>
      <c r="F103" s="544"/>
      <c r="G103" s="544"/>
      <c r="H103" s="544"/>
      <c r="I103" s="544"/>
      <c r="J103" s="545"/>
      <c r="K103" s="545"/>
      <c r="L103" s="546"/>
      <c r="M103" s="547"/>
      <c r="N103" s="935"/>
      <c r="O103" s="935"/>
      <c r="P103" s="1920"/>
      <c r="Q103" s="508"/>
    </row>
    <row r="104" spans="1:17" s="422" customFormat="1" ht="15.75" thickBot="1">
      <c r="A104" s="502"/>
      <c r="B104" s="492"/>
      <c r="C104" s="509">
        <v>100</v>
      </c>
      <c r="D104" s="485">
        <v>99</v>
      </c>
      <c r="E104" s="485">
        <v>98</v>
      </c>
      <c r="F104" s="485"/>
      <c r="G104" s="485"/>
      <c r="H104" s="485"/>
      <c r="I104" s="485"/>
      <c r="J104" s="485"/>
      <c r="K104" s="485"/>
      <c r="L104" s="485"/>
      <c r="M104" s="485"/>
      <c r="N104" s="934"/>
      <c r="O104" s="934"/>
      <c r="P104" s="1920"/>
      <c r="Q104" s="508"/>
    </row>
    <row r="105" spans="1:17" ht="15" thickTop="1">
      <c r="A105" s="548"/>
      <c r="B105" s="487" t="s">
        <v>1738</v>
      </c>
      <c r="C105" s="3447" t="s">
        <v>3413</v>
      </c>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9"/>
      <c r="Q108" s="453"/>
    </row>
    <row r="109" spans="1:17" ht="15" thickTop="1">
      <c r="A109" s="548"/>
      <c r="B109" s="487" t="s">
        <v>1740</v>
      </c>
      <c r="C109" s="3447" t="s">
        <v>3415</v>
      </c>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102</v>
      </c>
      <c r="E113" s="493">
        <f>D113+$K37</f>
        <v>104</v>
      </c>
      <c r="F113" s="493">
        <f>E113+$K37</f>
        <v>106</v>
      </c>
      <c r="G113" s="493">
        <f>F113+$K37</f>
        <v>108</v>
      </c>
      <c r="H113" s="493">
        <f>G113+$K37</f>
        <v>110</v>
      </c>
      <c r="I113" s="531"/>
      <c r="J113" s="556"/>
      <c r="K113" s="556"/>
      <c r="L113" s="556"/>
      <c r="M113" s="557"/>
      <c r="N113" s="935"/>
      <c r="O113" s="935"/>
      <c r="P113" s="1920"/>
      <c r="Q113" s="508"/>
    </row>
    <row r="114" spans="1:17" ht="15" thickTop="1">
      <c r="A114" s="548"/>
      <c r="B114" s="487" t="s">
        <v>1741</v>
      </c>
      <c r="C114" s="3447" t="s">
        <v>3417</v>
      </c>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3447" t="s">
        <v>3418</v>
      </c>
      <c r="D116" s="3447" t="s">
        <v>3420</v>
      </c>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98</v>
      </c>
      <c r="E117" s="493">
        <f>D117-$K39</f>
        <v>96</v>
      </c>
      <c r="F117" s="493">
        <f>E117-$K39</f>
        <v>94</v>
      </c>
      <c r="G117" s="493">
        <f>F117-$K39</f>
        <v>92</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3447" t="s">
        <v>3422</v>
      </c>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xr:uid="{00000000-0002-0000-1300-000000000000}">
      <formula1>环境</formula1>
    </dataValidation>
    <dataValidation type="list" allowBlank="1" showInputMessage="1" showErrorMessage="1" sqref="E16 G16 I16 C16" xr:uid="{00000000-0002-0000-1300-000001000000}">
      <formula1>居住社区成熟度</formula1>
    </dataValidation>
    <dataValidation type="list" allowBlank="1" showInputMessage="1" showErrorMessage="1" sqref="E18 G18 I18 C18" xr:uid="{00000000-0002-0000-1300-000002000000}">
      <formula1>交通便捷度</formula1>
    </dataValidation>
    <dataValidation type="list" allowBlank="1" showInputMessage="1" showErrorMessage="1" sqref="C20 G20 E20 I20" xr:uid="{00000000-0002-0000-1300-000003000000}">
      <formula1>公共配套设施</formula1>
    </dataValidation>
    <dataValidation type="list" allowBlank="1" showInputMessage="1" showErrorMessage="1" sqref="E25 G25 I25 C25" xr:uid="{00000000-0002-0000-1300-000004000000}">
      <formula1>住宅楼层</formula1>
    </dataValidation>
    <dataValidation type="list" allowBlank="1" showInputMessage="1" showErrorMessage="1" sqref="E26 G26 I26 C26" xr:uid="{00000000-0002-0000-1300-000005000000}">
      <formula1>住宅朝向</formula1>
    </dataValidation>
    <dataValidation type="list" allowBlank="1" showInputMessage="1" showErrorMessage="1" sqref="E32 G32 I32 C32" xr:uid="{00000000-0002-0000-1300-000006000000}">
      <formula1>住宅建筑类型</formula1>
    </dataValidation>
    <dataValidation type="list" allowBlank="1" showInputMessage="1" showErrorMessage="1" sqref="E34 G34 I34 C34" xr:uid="{00000000-0002-0000-1300-000007000000}">
      <formula1>住宅建筑结构</formula1>
    </dataValidation>
    <dataValidation type="list" allowBlank="1" showInputMessage="1" showErrorMessage="1" sqref="E35 G35 I35 C35" xr:uid="{00000000-0002-0000-1300-000008000000}">
      <formula1>住宅建筑品质</formula1>
    </dataValidation>
    <dataValidation type="list" allowBlank="1" showInputMessage="1" showErrorMessage="1" sqref="E36 G36 I36 C36" xr:uid="{00000000-0002-0000-1300-000009000000}">
      <formula1>住宅公共部分装修</formula1>
    </dataValidation>
    <dataValidation type="list" allowBlank="1" showInputMessage="1" showErrorMessage="1" sqref="E38 G38 I38 C38" xr:uid="{00000000-0002-0000-1300-00000A000000}">
      <formula1>住宅物业管理</formula1>
    </dataValidation>
    <dataValidation type="list" allowBlank="1" showInputMessage="1" showErrorMessage="1" sqref="E39 G39 I39 C39" xr:uid="{00000000-0002-0000-1300-00000B000000}">
      <formula1>住宅基础设施水平</formula1>
    </dataValidation>
    <dataValidation type="list" allowBlank="1" showInputMessage="1" showErrorMessage="1" sqref="E40 G40 I40 C40" xr:uid="{00000000-0002-0000-1300-00000C000000}">
      <formula1>住宅房型</formula1>
    </dataValidation>
    <dataValidation type="list" allowBlank="1" showInputMessage="1" showErrorMessage="1" sqref="E42 G42 I42 C42" xr:uid="{00000000-0002-0000-1300-00000D000000}">
      <formula1>住宅内部装修</formula1>
    </dataValidation>
    <dataValidation type="list" allowBlank="1" showInputMessage="1" showErrorMessage="1" sqref="E43 G43 I43 C43" xr:uid="{00000000-0002-0000-1300-00000E000000}">
      <formula1>内部装修维护情况</formula1>
    </dataValidation>
    <dataValidation type="list" allowBlank="1" showInputMessage="1" showErrorMessage="1" sqref="E8 G8 I8 C8" xr:uid="{00000000-0002-0000-1300-00000F000000}">
      <formula1>住宅交易情况</formula1>
    </dataValidation>
    <dataValidation type="list" allowBlank="1" showInputMessage="1" showErrorMessage="1" sqref="D1" xr:uid="{00000000-0002-0000-1300-000010000000}">
      <formula1>项目类型</formula1>
    </dataValidation>
    <dataValidation type="list" allowBlank="1" showInputMessage="1" showErrorMessage="1" sqref="E9 G9 I9" xr:uid="{00000000-0002-0000-1300-000011000000}">
      <formula1>住宅用途</formula1>
    </dataValidation>
    <dataValidation type="list" allowBlank="1" showInputMessage="1" showErrorMessage="1" sqref="C22 E22 G22 I22" xr:uid="{00000000-0002-0000-1300-000012000000}">
      <formula1>基础设施水平</formula1>
    </dataValidation>
    <dataValidation type="list" allowBlank="1" showInputMessage="1" showErrorMessage="1" sqref="F1" xr:uid="{00000000-0002-0000-1300-000013000000}">
      <formula1>"售价,租金"</formula1>
    </dataValidation>
    <dataValidation type="list" allowBlank="1" showInputMessage="1" showErrorMessage="1" sqref="C2" xr:uid="{00000000-0002-0000-1300-000014000000}">
      <formula1>"需扣减承租人权益,——"</formula1>
    </dataValidation>
    <dataValidation type="list" allowBlank="1" showInputMessage="1" showErrorMessage="1" sqref="F2" xr:uid="{00000000-0002-0000-1300-000015000000}">
      <formula1>估价方法</formula1>
    </dataValidation>
    <dataValidation type="list" allowBlank="1" showInputMessage="1" showErrorMessage="1" sqref="D48" xr:uid="{00000000-0002-0000-1300-000016000000}">
      <formula1>"简单平均,加权平均"</formula1>
    </dataValidation>
    <dataValidation type="list" allowBlank="1" showInputMessage="1" showErrorMessage="1" sqref="E1" xr:uid="{00000000-0002-0000-13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K83"/>
  <sheetViews>
    <sheetView tabSelected="1" view="pageBreakPreview" topLeftCell="A21" zoomScale="80" zoomScaleNormal="70" zoomScaleSheetLayoutView="80" workbookViewId="0">
      <selection activeCell="K43" sqref="K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3381</v>
      </c>
      <c r="D1" s="1362" t="s">
        <v>43</v>
      </c>
      <c r="E1" s="1363" t="s">
        <v>678</v>
      </c>
      <c r="F1" s="1062">
        <f ca="1">J53</f>
        <v>24.63</v>
      </c>
      <c r="G1" s="1378">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19">
        <f ca="1">ROUND(D2/10000,4)</f>
        <v>149.21719999999999</v>
      </c>
      <c r="C2" s="1387" t="s">
        <v>879</v>
      </c>
      <c r="D2" s="1471">
        <f ca="1">C40+J29+L46</f>
        <v>1492172</v>
      </c>
      <c r="E2" s="1388" t="s">
        <v>880</v>
      </c>
      <c r="F2" s="1389"/>
      <c r="G2" s="2700"/>
      <c r="H2" s="2689"/>
      <c r="I2" s="2689"/>
      <c r="J2" s="2689"/>
      <c r="K2" s="2690"/>
      <c r="L2" s="2689"/>
      <c r="M2" s="2689"/>
    </row>
    <row r="3" spans="1:37" ht="18" customHeight="1" thickBot="1">
      <c r="A3" s="1390" t="s">
        <v>881</v>
      </c>
      <c r="B3" s="1391">
        <f ca="1">IF(ISERROR(D2/F43),0,ROUND(D2/F43,0))</f>
        <v>21271</v>
      </c>
      <c r="C3" s="1387" t="s">
        <v>882</v>
      </c>
      <c r="D3" s="1387"/>
      <c r="E3" s="1388"/>
      <c r="F3" s="1389"/>
      <c r="G3" s="2700"/>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91314</v>
      </c>
      <c r="D5" s="1364" t="s">
        <v>889</v>
      </c>
      <c r="E5" s="1071"/>
      <c r="F5" s="1072"/>
      <c r="G5" s="1384"/>
      <c r="H5" s="299">
        <v>1</v>
      </c>
      <c r="I5" s="300" t="s">
        <v>888</v>
      </c>
      <c r="J5" s="1070">
        <f ca="1">J6+J10+J12</f>
        <v>0</v>
      </c>
      <c r="K5" s="1364" t="s">
        <v>889</v>
      </c>
      <c r="L5" s="1071"/>
      <c r="M5" s="1072"/>
    </row>
    <row r="6" spans="1:37" ht="18" customHeight="1">
      <c r="A6" s="1069" t="s">
        <v>398</v>
      </c>
      <c r="B6" s="3694" t="s">
        <v>694</v>
      </c>
      <c r="C6" s="1074">
        <f ca="1">ROUND(F6*F8*F7*(1-F9),0)</f>
        <v>91200</v>
      </c>
      <c r="D6" s="155" t="s">
        <v>2106</v>
      </c>
      <c r="E6" s="302" t="s">
        <v>696</v>
      </c>
      <c r="F6" s="303">
        <f ca="1">INDIRECT("'数据-取费表'!u"&amp;$G$1)</f>
        <v>8000</v>
      </c>
      <c r="G6" s="1384"/>
      <c r="H6" s="1069" t="s">
        <v>398</v>
      </c>
      <c r="I6" s="3694" t="s">
        <v>694</v>
      </c>
      <c r="J6" s="301">
        <f ca="1">ROUND(M6*M8*M7*(1-M9),0)</f>
        <v>0</v>
      </c>
      <c r="K6" s="1376" t="s">
        <v>2107</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1</v>
      </c>
      <c r="G7" s="1384"/>
      <c r="H7" s="304"/>
      <c r="I7" s="3695"/>
      <c r="J7" s="306"/>
      <c r="K7" s="307"/>
      <c r="L7" s="302" t="s">
        <v>697</v>
      </c>
      <c r="M7" s="303">
        <f ca="1">F7</f>
        <v>1</v>
      </c>
    </row>
    <row r="8" spans="1:37" ht="18" customHeight="1">
      <c r="A8" s="304"/>
      <c r="B8" s="3695"/>
      <c r="C8" s="306"/>
      <c r="D8" s="307"/>
      <c r="E8" s="302" t="s">
        <v>698</v>
      </c>
      <c r="F8" s="303">
        <f ca="1">INDIRECT("'数据-取费表'!ai"&amp;$G$1)</f>
        <v>12</v>
      </c>
      <c r="G8" s="1384"/>
      <c r="H8" s="304"/>
      <c r="I8" s="3695"/>
      <c r="J8" s="306"/>
      <c r="K8" s="307"/>
      <c r="L8" s="302" t="s">
        <v>698</v>
      </c>
      <c r="M8" s="303">
        <f ca="1">INDIRECT("'数据-取费表'!ai"&amp;$G$1)</f>
        <v>12</v>
      </c>
    </row>
    <row r="9" spans="1:37" ht="18" customHeight="1">
      <c r="A9" s="304"/>
      <c r="B9" s="3696"/>
      <c r="C9" s="306"/>
      <c r="D9" s="307"/>
      <c r="E9" s="302" t="s">
        <v>699</v>
      </c>
      <c r="F9" s="312">
        <f ca="1">INDIRECT("'数据-取费表'!w"&amp;$G$1)</f>
        <v>0.05</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114</v>
      </c>
      <c r="D10" s="1366" t="s">
        <v>2116</v>
      </c>
      <c r="E10" s="313" t="s">
        <v>701</v>
      </c>
      <c r="F10" s="1116" t="s">
        <v>3386</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339628</v>
      </c>
      <c r="D13" s="1081" t="s">
        <v>705</v>
      </c>
      <c r="E13" s="1081" t="s">
        <v>706</v>
      </c>
      <c r="F13" s="1082">
        <f ca="1">INDIRECT("'数据-取费表'!y"&amp;$G$1)</f>
        <v>0.83499999999999996</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280600</v>
      </c>
      <c r="D14" s="1345" t="s">
        <v>708</v>
      </c>
      <c r="E14" s="1342"/>
      <c r="F14" s="319"/>
      <c r="G14" s="1384"/>
      <c r="H14" s="982" t="s">
        <v>398</v>
      </c>
      <c r="I14" s="302" t="s">
        <v>709</v>
      </c>
      <c r="J14" s="21">
        <f ca="1">C29</f>
        <v>406740</v>
      </c>
      <c r="K14" s="12"/>
      <c r="L14" s="807"/>
      <c r="M14" s="808"/>
    </row>
    <row r="15" spans="1:37" s="1397" customFormat="1" ht="18" customHeight="1" thickBot="1">
      <c r="A15" s="982" t="s">
        <v>399</v>
      </c>
      <c r="B15" s="302" t="s">
        <v>710</v>
      </c>
      <c r="C15" s="21">
        <f ca="1">ROUND(C14*F15,0)</f>
        <v>8418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2034</v>
      </c>
      <c r="K16" s="1087" t="s">
        <v>715</v>
      </c>
      <c r="L16" s="1088"/>
      <c r="M16" s="1072"/>
    </row>
    <row r="17" spans="1:37" s="1397" customFormat="1" ht="18" customHeight="1">
      <c r="A17" s="982" t="s">
        <v>681</v>
      </c>
      <c r="B17" s="302" t="s">
        <v>716</v>
      </c>
      <c r="C17" s="21">
        <f ca="1">ROUND(F17*(F43+INDIRECT("'数据-取费表'!S"&amp;$G$1)),0)</f>
        <v>14030</v>
      </c>
      <c r="D17" s="302" t="s">
        <v>717</v>
      </c>
      <c r="E17" s="302" t="s">
        <v>718</v>
      </c>
      <c r="F17" s="23">
        <f>'数据-取费表'!B35</f>
        <v>200</v>
      </c>
      <c r="G17" s="1396"/>
      <c r="H17" s="982" t="s">
        <v>398</v>
      </c>
      <c r="I17" s="302" t="s">
        <v>719</v>
      </c>
      <c r="J17" s="2313">
        <f ca="1">ROUND(IF(AND(项目基本情况!B11="自然人",项目基本情况!B10="北京市"),J6*M17/(1+'数据-取费表'!C42),J18+J19+J20),0)</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307257</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6145</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2034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14887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-2034</v>
      </c>
      <c r="K25" s="1095" t="s">
        <v>753</v>
      </c>
      <c r="L25" s="1096"/>
      <c r="M25" s="1097"/>
    </row>
    <row r="26" spans="1:37" ht="18" customHeight="1">
      <c r="A26" s="982" t="s">
        <v>397</v>
      </c>
      <c r="B26" s="302" t="s">
        <v>754</v>
      </c>
      <c r="C26" s="21">
        <f ca="1">ROUND((C19+C20)*F26,0)</f>
        <v>47010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406740</v>
      </c>
      <c r="D29" s="1092"/>
      <c r="E29" s="1090"/>
      <c r="F29" s="1093"/>
      <c r="G29" s="1396"/>
      <c r="H29" s="334" t="s">
        <v>396</v>
      </c>
      <c r="I29" s="335" t="s">
        <v>768</v>
      </c>
      <c r="J29" s="336">
        <f ca="1">ROUND(J26/(1+F40)^F41,0)</f>
        <v>0</v>
      </c>
      <c r="K29" s="337" t="s">
        <v>769</v>
      </c>
      <c r="L29" s="338"/>
      <c r="M29" s="339">
        <f ca="1">INDIRECT("'数据-取费表'!k"&amp;$G$1)</f>
        <v>70.150000000000006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18574</v>
      </c>
      <c r="D30" s="1087" t="s">
        <v>715</v>
      </c>
      <c r="E30" s="1088"/>
      <c r="F30" s="1072"/>
      <c r="G30" s="1384"/>
      <c r="H30" s="2691"/>
      <c r="I30" s="1398"/>
      <c r="J30" s="1399"/>
      <c r="K30" s="2470"/>
      <c r="L30" s="2692"/>
      <c r="M30" s="2693"/>
    </row>
    <row r="31" spans="1:37" ht="18" customHeight="1">
      <c r="A31" s="982" t="s">
        <v>398</v>
      </c>
      <c r="B31" s="302" t="s">
        <v>719</v>
      </c>
      <c r="C31" s="2313">
        <f ca="1">ROUND(IF(AND(项目基本情况!B11="自然人",项目基本情况!B10="北京市"),C6*F31/(1+'数据-取费表'!C42),C32+C33+C34),0)</f>
        <v>15287</v>
      </c>
      <c r="D31" s="1345" t="s">
        <v>720</v>
      </c>
      <c r="E31" s="1344" t="s">
        <v>770</v>
      </c>
      <c r="F31" s="2312" t="str">
        <f>IF(项目基本情况!B11="企业","——",IF(M47="住宅",IF(F6*F7*F8/12/(1+'数据-取费表'!F30)&gt;100000,4%,2.5%),IF(F6*F7*F8/12/(1+'数据-取费表'!F30)&gt;100000,12%,7%)))</f>
        <v>——</v>
      </c>
      <c r="G31" s="1384"/>
      <c r="H31" s="2802" t="s">
        <v>2306</v>
      </c>
      <c r="I31" s="1398"/>
      <c r="J31" s="1399"/>
      <c r="K31" s="2470"/>
      <c r="L31" s="2692"/>
      <c r="M31" s="2693"/>
    </row>
    <row r="32" spans="1:37" ht="18" customHeight="1">
      <c r="A32" s="982" t="s">
        <v>397</v>
      </c>
      <c r="B32" s="302" t="s">
        <v>723</v>
      </c>
      <c r="C32" s="21">
        <f ca="1">IF(项目基本情况!B11="自然人","——",ROUND(C6*F32/(1+'数据-取费表'!C42),0))</f>
        <v>4864</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IF(项目基本情况!B11="自然人","——",IF(D33="按租金收入计税",ROUND(C6*F33/(1+'数据-取费表'!C42),0),IF(D33="按房产原值计税",ROUND(C29*F33*0.7,0),INDIRECT("'数据-取费表'!Aj"&amp;$G$1))))</f>
        <v>10423</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IF(项目基本情况!B11="自然人","——",ROUND(F34*F35,0))</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ROUND(C29*F36,0)</f>
        <v>2034</v>
      </c>
      <c r="D36" s="1344" t="s">
        <v>771</v>
      </c>
      <c r="E36" s="302" t="s">
        <v>712</v>
      </c>
      <c r="F36" s="328">
        <f ca="1">INDIRECT("'数据-取费表'!Ak"&amp;$G$1)</f>
        <v>5.0000000000000001E-3</v>
      </c>
      <c r="G36" s="1384"/>
      <c r="H36" s="2694"/>
      <c r="I36" s="1398"/>
      <c r="J36" s="1399"/>
      <c r="K36" s="2538"/>
      <c r="L36" s="2694"/>
      <c r="M36" s="2694"/>
    </row>
    <row r="37" spans="1:18" ht="18" customHeight="1">
      <c r="A37" s="982" t="s">
        <v>437</v>
      </c>
      <c r="B37" s="302" t="s">
        <v>742</v>
      </c>
      <c r="C37" s="21">
        <f ca="1">ROUND(C13*F37,0)</f>
        <v>340</v>
      </c>
      <c r="D37" s="1344" t="s">
        <v>743</v>
      </c>
      <c r="E37" s="302" t="s">
        <v>744</v>
      </c>
      <c r="F37" s="330">
        <f ca="1">INDIRECT("'数据-取费表'!Al"&amp;$G$1)</f>
        <v>1E-3</v>
      </c>
      <c r="G37" s="1384"/>
      <c r="H37" s="2694"/>
      <c r="I37" s="1398"/>
      <c r="J37" s="1399"/>
      <c r="K37" s="2538"/>
      <c r="L37" s="2694"/>
      <c r="M37" s="2694"/>
    </row>
    <row r="38" spans="1:18" ht="18" customHeight="1" thickBot="1">
      <c r="A38" s="1089" t="s">
        <v>684</v>
      </c>
      <c r="B38" s="1090" t="s">
        <v>728</v>
      </c>
      <c r="C38" s="1091">
        <f ca="1">ROUND(C5*F38,0)</f>
        <v>913</v>
      </c>
      <c r="D38" s="1092" t="s">
        <v>748</v>
      </c>
      <c r="E38" s="1090" t="s">
        <v>744</v>
      </c>
      <c r="F38" s="1086">
        <f ca="1">INDIRECT("'数据-取费表'!Am"&amp;$G$1)</f>
        <v>0.01</v>
      </c>
      <c r="G38" s="1384"/>
      <c r="H38" s="2694"/>
      <c r="I38" s="1398"/>
      <c r="J38" s="1399"/>
      <c r="K38" s="2698"/>
      <c r="L38" s="2694"/>
      <c r="M38" s="2694"/>
    </row>
    <row r="39" spans="1:18" ht="24.6" customHeight="1" thickTop="1">
      <c r="A39" s="1079" t="s">
        <v>394</v>
      </c>
      <c r="B39" s="1094" t="s">
        <v>772</v>
      </c>
      <c r="C39" s="310">
        <f ca="1">C5-C30</f>
        <v>72740</v>
      </c>
      <c r="D39" s="1095" t="s">
        <v>773</v>
      </c>
      <c r="E39" s="1096"/>
      <c r="F39" s="1097"/>
      <c r="G39" s="1384"/>
      <c r="H39" s="2694"/>
      <c r="I39" s="1398"/>
      <c r="J39" s="1399"/>
      <c r="K39" s="2698"/>
      <c r="L39" s="2694"/>
      <c r="M39" s="2694"/>
    </row>
    <row r="40" spans="1:18" ht="18" customHeight="1">
      <c r="A40" s="299" t="s">
        <v>395</v>
      </c>
      <c r="B40" s="300" t="s">
        <v>774</v>
      </c>
      <c r="C40" s="301">
        <f ca="1">ROUND(C39*(1-((1+F42)/(1+F40))^F41)/(F40-F42),0)</f>
        <v>1452857</v>
      </c>
      <c r="D40" s="324" t="s">
        <v>758</v>
      </c>
      <c r="E40" s="302" t="s">
        <v>759</v>
      </c>
      <c r="F40" s="312">
        <f ca="1">INDIRECT("'数据-取费表'!I"&amp;$G$1)</f>
        <v>4.4999999999999998E-2</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24.63</v>
      </c>
      <c r="G41" s="1384"/>
      <c r="H41" s="1191"/>
      <c r="I41" s="1398"/>
      <c r="J41" s="1399"/>
      <c r="K41" s="3461" t="s">
        <v>3439</v>
      </c>
      <c r="L41" s="1191"/>
      <c r="M41" s="1191"/>
    </row>
    <row r="42" spans="1:18" ht="18" customHeight="1">
      <c r="A42" s="308"/>
      <c r="B42" s="309"/>
      <c r="C42" s="310"/>
      <c r="D42" s="327"/>
      <c r="E42" s="302" t="s">
        <v>766</v>
      </c>
      <c r="F42" s="312">
        <f ca="1">INDIRECT("'数据-取费表'!v"&amp;$G$1)</f>
        <v>0.03</v>
      </c>
      <c r="G42" s="1384"/>
      <c r="H42" s="1191"/>
      <c r="I42" s="1398"/>
      <c r="J42" s="1399"/>
      <c r="K42" s="2538">
        <f>406740*40.6%/(1+6%) ^24.63</f>
        <v>39315.10649478891</v>
      </c>
      <c r="L42" s="1191"/>
      <c r="M42" s="1191"/>
    </row>
    <row r="43" spans="1:18" ht="18" customHeight="1" thickBot="1">
      <c r="A43" s="334" t="s">
        <v>396</v>
      </c>
      <c r="B43" s="335" t="s">
        <v>776</v>
      </c>
      <c r="C43" s="336">
        <f ca="1">ROUND(C40/F43,0)</f>
        <v>20711</v>
      </c>
      <c r="D43" s="337" t="s">
        <v>777</v>
      </c>
      <c r="E43" s="338" t="s">
        <v>778</v>
      </c>
      <c r="F43" s="339">
        <f ca="1">INDIRECT("'数据-取费表'!k"&amp;$G$1)</f>
        <v>70.150000000000006</v>
      </c>
      <c r="G43" s="1384"/>
      <c r="H43" s="1191"/>
      <c r="I43" s="1191"/>
      <c r="J43" s="1191"/>
      <c r="K43" s="2538">
        <f>1492172/70.15</f>
        <v>21271.161796151104</v>
      </c>
      <c r="L43" s="1191"/>
      <c r="M43" s="1191"/>
    </row>
    <row r="44" spans="1:18" s="1384" customFormat="1" ht="18" customHeight="1">
      <c r="A44" s="1400"/>
      <c r="B44" s="1400"/>
      <c r="C44" s="1401"/>
      <c r="D44" s="1400"/>
      <c r="E44" s="1400"/>
      <c r="F44" s="1400"/>
      <c r="K44" s="1402"/>
    </row>
    <row r="45" spans="1:18" s="1384" customFormat="1" ht="18" customHeight="1" thickBot="1">
      <c r="A45" s="3425" t="s">
        <v>3355</v>
      </c>
      <c r="B45" s="1400"/>
      <c r="C45" s="1472">
        <f ca="1">ROUND((C68-C40)/10000,4)</f>
        <v>-148.77709999999999</v>
      </c>
      <c r="D45" s="3426" t="s">
        <v>3356</v>
      </c>
      <c r="E45" s="1400"/>
      <c r="F45" s="1400"/>
      <c r="O45" s="1403" t="s">
        <v>808</v>
      </c>
      <c r="P45" s="1461"/>
      <c r="Q45" s="1461"/>
      <c r="R45" s="1461"/>
    </row>
    <row r="46" spans="1:18" s="1384" customFormat="1" ht="13.5" thickBot="1">
      <c r="A46" s="1404" t="s">
        <v>809</v>
      </c>
      <c r="C46" s="1405">
        <f ca="1">ROUND(C45,0)</f>
        <v>-149</v>
      </c>
      <c r="D46" s="1406" t="str">
        <f>C2</f>
        <v>万元</v>
      </c>
      <c r="I46" s="1407" t="s">
        <v>810</v>
      </c>
      <c r="J46" s="1408"/>
      <c r="K46" s="1409"/>
      <c r="L46" s="1410">
        <f ca="1">IF(M47="住宅",0,IF(L48&gt;J51,L60,J60))</f>
        <v>39315</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3387</v>
      </c>
      <c r="K47" s="1416" t="s">
        <v>816</v>
      </c>
      <c r="L47" s="1417">
        <f ca="1">INDIRECT("'数据-取费表'!d"&amp;$G$1)</f>
        <v>40</v>
      </c>
      <c r="M47" s="1380" t="str">
        <f>IF(ISNUMBER(FIND("住宅",C1)),"住宅","非住宅")</f>
        <v>非住宅</v>
      </c>
      <c r="O47" s="1418" t="s">
        <v>403</v>
      </c>
      <c r="P47" s="1419" t="s">
        <v>817</v>
      </c>
      <c r="Q47" s="1420">
        <f ca="1">C40+J29</f>
        <v>1452857</v>
      </c>
      <c r="R47" s="1420" t="s">
        <v>818</v>
      </c>
    </row>
    <row r="48" spans="1:18" s="1384" customFormat="1" ht="28.5" thickBot="1">
      <c r="A48" s="1110" t="s">
        <v>438</v>
      </c>
      <c r="B48" s="300" t="s">
        <v>692</v>
      </c>
      <c r="C48" s="1359">
        <f ca="1">C49+C53+C55</f>
        <v>0</v>
      </c>
      <c r="D48" s="1112"/>
      <c r="E48" s="1113"/>
      <c r="F48" s="962"/>
      <c r="G48" s="722"/>
      <c r="H48" s="723"/>
      <c r="I48" s="1421" t="s">
        <v>819</v>
      </c>
      <c r="J48" s="1422" t="s">
        <v>3388</v>
      </c>
      <c r="K48" s="1423" t="s">
        <v>820</v>
      </c>
      <c r="L48" s="1424">
        <f ca="1">INDIRECT("'数据-取费表'!f"&amp;$G$1)</f>
        <v>24.63</v>
      </c>
      <c r="O48" s="1418" t="s">
        <v>404</v>
      </c>
      <c r="P48" s="1419" t="s">
        <v>821</v>
      </c>
      <c r="Q48" s="1420">
        <f ca="1">J60</f>
        <v>39315</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406740</v>
      </c>
      <c r="R49" s="1420" t="s">
        <v>818</v>
      </c>
    </row>
    <row r="50" spans="1:18" s="1384" customFormat="1" ht="13.5"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0.40600000000000003</v>
      </c>
      <c r="R50" s="1420"/>
    </row>
    <row r="51" spans="1:18" s="1384" customFormat="1" ht="13.5" thickBot="1">
      <c r="A51" s="977"/>
      <c r="B51" s="979"/>
      <c r="C51" s="980"/>
      <c r="D51" s="953"/>
      <c r="E51" s="981" t="s">
        <v>698</v>
      </c>
      <c r="F51" s="303">
        <f ca="1">F8</f>
        <v>12</v>
      </c>
      <c r="I51" s="1432" t="s">
        <v>829</v>
      </c>
      <c r="J51" s="1433">
        <f>IF(J49="",J50,J49+J50-YEAR('数据-取费表'!B2))</f>
        <v>49</v>
      </c>
      <c r="K51" s="1434" t="s">
        <v>830</v>
      </c>
      <c r="L51" s="1435">
        <f ca="1">ROUND(-PV(INDIRECT("'数据-取费表'!h"&amp;$G$1),J51,(C39-C13*C76),0),0)</f>
        <v>1062358</v>
      </c>
      <c r="M51" s="1436"/>
      <c r="O51" s="1428" t="s">
        <v>407</v>
      </c>
      <c r="P51" s="1419" t="s">
        <v>831</v>
      </c>
      <c r="Q51" s="1431">
        <f>J52</f>
        <v>0.06</v>
      </c>
      <c r="R51" s="1420"/>
    </row>
    <row r="52" spans="1:18" s="1384" customFormat="1" ht="13.5" thickBot="1">
      <c r="A52" s="977"/>
      <c r="B52" s="979"/>
      <c r="C52" s="980"/>
      <c r="D52" s="953"/>
      <c r="E52" s="981" t="s">
        <v>699</v>
      </c>
      <c r="F52" s="1054"/>
      <c r="I52" s="1437" t="s">
        <v>832</v>
      </c>
      <c r="J52" s="1438">
        <v>0.06</v>
      </c>
      <c r="K52" s="1437" t="s">
        <v>833</v>
      </c>
      <c r="L52" s="1438"/>
      <c r="O52" s="1428" t="s">
        <v>408</v>
      </c>
      <c r="P52" s="1419" t="s">
        <v>834</v>
      </c>
      <c r="Q52" s="1420">
        <f ca="1">J53</f>
        <v>24.63</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5">
        <f ca="1">IF(M47="住宅",IF(D1="——",MAX(J51,L48),MAX(J51,L48-'数据-取费表'!B24)),IF(D1="——",MIN(J51,L48),MIN(J51,L48-'数据-取费表'!B24)))</f>
        <v>24.63</v>
      </c>
      <c r="K53" s="3697" t="s">
        <v>837</v>
      </c>
      <c r="L53" s="3698"/>
      <c r="O53" s="1418" t="s">
        <v>409</v>
      </c>
      <c r="P53" s="1419" t="s">
        <v>838</v>
      </c>
      <c r="Q53" s="1420">
        <f ca="1">Q47+Q48</f>
        <v>1492172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0.40600000000000003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339628</v>
      </c>
      <c r="D56" s="1447"/>
      <c r="E56" s="1448"/>
      <c r="F56" s="1440"/>
      <c r="I56" s="1449" t="s">
        <v>842</v>
      </c>
      <c r="J56" s="1450" t="s">
        <v>3389</v>
      </c>
      <c r="K56" s="1421" t="s">
        <v>843</v>
      </c>
      <c r="L56" s="1424" t="str">
        <f ca="1">IF(L48&lt;J51,"——",L48-J51)</f>
        <v>——</v>
      </c>
      <c r="O56" s="1418" t="s">
        <v>403</v>
      </c>
      <c r="P56" s="1419" t="s">
        <v>817</v>
      </c>
      <c r="Q56" s="1420">
        <f ca="1">C40+J29</f>
        <v>1452857</v>
      </c>
      <c r="R56" s="1420" t="s">
        <v>818</v>
      </c>
    </row>
    <row r="57" spans="1:18" s="1384" customFormat="1" ht="24.75" thickBot="1">
      <c r="A57" s="1451"/>
      <c r="B57" s="950" t="s">
        <v>767</v>
      </c>
      <c r="C57" s="238">
        <f ca="1">C29</f>
        <v>406740</v>
      </c>
      <c r="D57" s="1452"/>
      <c r="E57" s="1453"/>
      <c r="F57" s="1454"/>
      <c r="I57" s="1455" t="s">
        <v>844</v>
      </c>
      <c r="J57" s="1456">
        <f ca="1">IF(OR(M47="住宅",J51&lt;L48,J56="是"),"——",J51-L48)</f>
        <v>24.37</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2374</v>
      </c>
      <c r="D58" s="960" t="s">
        <v>715</v>
      </c>
      <c r="E58" s="961"/>
      <c r="F58" s="962"/>
      <c r="I58" s="1455" t="s">
        <v>848</v>
      </c>
      <c r="J58" s="1457">
        <f ca="1">IF(J55&lt;0.4,0.4,J55)</f>
        <v>0.40600000000000003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f ca="1">IF(OR(M47="住宅",J51&lt;L48,J56="是"),"——",ROUND(C29*J58,0))</f>
        <v>165136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39315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1452857</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2034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340</v>
      </c>
      <c r="D65" s="964" t="s">
        <v>743</v>
      </c>
      <c r="E65" s="950" t="s">
        <v>744</v>
      </c>
      <c r="F65" s="330">
        <f t="shared" ca="1" si="0"/>
        <v>1E-3</v>
      </c>
      <c r="I65" s="1462" t="s">
        <v>867</v>
      </c>
      <c r="J65" s="1463">
        <v>40</v>
      </c>
      <c r="K65" s="1463">
        <v>30</v>
      </c>
      <c r="L65" s="1463">
        <v>50</v>
      </c>
      <c r="M65" s="1465">
        <v>0.02</v>
      </c>
      <c r="O65" s="1418" t="s">
        <v>403</v>
      </c>
      <c r="P65" s="1419" t="s">
        <v>868</v>
      </c>
      <c r="Q65" s="1420">
        <f ca="1">C40+J29</f>
        <v>1452857</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-2374</v>
      </c>
      <c r="D67" s="963" t="s">
        <v>753</v>
      </c>
      <c r="E67" s="968"/>
      <c r="F67" s="969"/>
      <c r="O67" s="1428" t="s">
        <v>405</v>
      </c>
      <c r="P67" s="1419" t="s">
        <v>850</v>
      </c>
      <c r="Q67" s="1466">
        <f ca="1">L51</f>
        <v>1062358</v>
      </c>
      <c r="R67" s="1420" t="s">
        <v>870</v>
      </c>
    </row>
    <row r="68" spans="1:18" s="1384" customFormat="1" ht="16.5" thickBot="1">
      <c r="A68" s="947" t="s">
        <v>395</v>
      </c>
      <c r="B68" s="948" t="s">
        <v>774</v>
      </c>
      <c r="C68" s="301">
        <f ca="1">ROUND(C67*(1-((1+F70)/(1+F68))^F69)/(F68-F70),0)</f>
        <v>-34914</v>
      </c>
      <c r="D68" s="965" t="s">
        <v>758</v>
      </c>
      <c r="E68" s="950" t="s">
        <v>759</v>
      </c>
      <c r="F68" s="312">
        <f ca="1">F40</f>
        <v>4.4999999999999998E-2</v>
      </c>
      <c r="O68" s="1428" t="s">
        <v>406</v>
      </c>
      <c r="P68" s="1467" t="s">
        <v>871</v>
      </c>
      <c r="Q68" s="1420">
        <f ca="1">ROUND(Q69-Q70*Q71,0)</f>
        <v>54060</v>
      </c>
      <c r="R68" s="1420" t="s">
        <v>414</v>
      </c>
    </row>
    <row r="69" spans="1:18" s="1384" customFormat="1" ht="13.5" thickBot="1">
      <c r="A69" s="951"/>
      <c r="B69" s="952"/>
      <c r="C69" s="306"/>
      <c r="D69" s="970" t="s">
        <v>762</v>
      </c>
      <c r="E69" s="950" t="s">
        <v>763</v>
      </c>
      <c r="F69" s="333">
        <f ca="1">F41</f>
        <v>24.63</v>
      </c>
      <c r="O69" s="1428" t="s">
        <v>411</v>
      </c>
      <c r="P69" s="1467" t="s">
        <v>872</v>
      </c>
      <c r="Q69" s="1420">
        <f ca="1">C39</f>
        <v>72740</v>
      </c>
      <c r="R69" s="1420" t="s">
        <v>818</v>
      </c>
    </row>
    <row r="70" spans="1:18" s="1384" customFormat="1" ht="13.5" thickBot="1">
      <c r="A70" s="954"/>
      <c r="B70" s="955"/>
      <c r="C70" s="310"/>
      <c r="D70" s="966"/>
      <c r="E70" s="950" t="s">
        <v>766</v>
      </c>
      <c r="F70" s="1054"/>
      <c r="O70" s="1428" t="s">
        <v>412</v>
      </c>
      <c r="P70" s="1467" t="s">
        <v>873</v>
      </c>
      <c r="Q70" s="1420">
        <f ca="1">C13</f>
        <v>339628</v>
      </c>
      <c r="R70" s="1420" t="s">
        <v>818</v>
      </c>
    </row>
    <row r="71" spans="1:18" s="1384" customFormat="1" ht="13.5" thickBot="1">
      <c r="A71" s="971" t="s">
        <v>396</v>
      </c>
      <c r="B71" s="972" t="s">
        <v>776</v>
      </c>
      <c r="C71" s="336">
        <f ca="1">ROUND(C68/F71,0)</f>
        <v>-498</v>
      </c>
      <c r="D71" s="973" t="s">
        <v>777</v>
      </c>
      <c r="E71" s="974" t="s">
        <v>778</v>
      </c>
      <c r="F71" s="339">
        <f ca="1">F43</f>
        <v>70.150000000000006</v>
      </c>
      <c r="O71" s="1428" t="s">
        <v>413</v>
      </c>
      <c r="P71" s="1467" t="s">
        <v>874</v>
      </c>
      <c r="Q71" s="1431">
        <f ca="1">C76</f>
        <v>5.5E-2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18680</v>
      </c>
      <c r="D75" s="1384"/>
      <c r="E75" s="1384"/>
      <c r="F75" s="1384"/>
      <c r="K75" s="1402"/>
      <c r="L75" s="1384"/>
      <c r="O75" s="1418" t="s">
        <v>409</v>
      </c>
      <c r="P75" s="1419" t="s">
        <v>838</v>
      </c>
      <c r="Q75" s="1420">
        <f ca="1">Q65+Q66</f>
        <v>1452857</v>
      </c>
      <c r="R75" s="1420" t="s">
        <v>410</v>
      </c>
    </row>
    <row r="76" spans="1:18">
      <c r="B76" s="342" t="s">
        <v>796</v>
      </c>
      <c r="C76" s="343">
        <f ca="1">INDIRECT("'数据-取费表'!j"&amp;$G$1)</f>
        <v>5.5E-2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0.74299999999999999</v>
      </c>
    </row>
    <row r="80" spans="1:18">
      <c r="B80" s="340" t="s">
        <v>800</v>
      </c>
      <c r="C80" s="274">
        <f ca="1">ROUND(C75/C39,3)</f>
        <v>0.25700000000000001</v>
      </c>
    </row>
    <row r="81" spans="2:3">
      <c r="B81" s="270" t="s">
        <v>801</v>
      </c>
      <c r="C81" s="238"/>
    </row>
    <row r="82" spans="2:3">
      <c r="B82" s="273" t="s">
        <v>802</v>
      </c>
      <c r="C82" s="275">
        <f ca="1">1-C83</f>
        <v>0.76600000000000001</v>
      </c>
    </row>
    <row r="83" spans="2:3">
      <c r="B83" s="273" t="s">
        <v>803</v>
      </c>
      <c r="C83" s="274">
        <f ca="1">ROUND(C13/C40,3)</f>
        <v>0.23400000000000001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xr:uid="{00000000-0002-0000-1400-000000000000}">
      <formula1>"比较法,基准地价,收益还原"</formula1>
    </dataValidation>
    <dataValidation type="list" allowBlank="1" showInputMessage="1" showErrorMessage="1" sqref="J56" xr:uid="{00000000-0002-0000-1400-000001000000}">
      <formula1>估价范围判定</formula1>
    </dataValidation>
    <dataValidation type="list" allowBlank="1" showInputMessage="1" showErrorMessage="1" sqref="J48" xr:uid="{00000000-0002-0000-1400-000002000000}">
      <formula1>"非生产用房,生产用房,受腐蚀的生产用房"</formula1>
    </dataValidation>
    <dataValidation type="list" allowBlank="1" showInputMessage="1" showErrorMessage="1" sqref="J47" xr:uid="{00000000-0002-0000-1400-000003000000}">
      <formula1>"钢,钢混,砖混"</formula1>
    </dataValidation>
    <dataValidation type="list" allowBlank="1" showInputMessage="1" showErrorMessage="1" sqref="C1" xr:uid="{00000000-0002-0000-1400-000004000000}">
      <formula1>项目类型</formula1>
    </dataValidation>
    <dataValidation type="list" allowBlank="1" showInputMessage="1" showErrorMessage="1" sqref="D33 D61" xr:uid="{00000000-0002-0000-1400-000005000000}">
      <formula1>"按租金收入计税,按房产原值计税,按票据"</formula1>
    </dataValidation>
    <dataValidation type="list" allowBlank="1" showInputMessage="1" showErrorMessage="1" sqref="K19" xr:uid="{00000000-0002-0000-1400-000006000000}">
      <formula1>"按租金收入计税,按房产原值计税"</formula1>
    </dataValidation>
    <dataValidation type="list" allowBlank="1" showInputMessage="1" showErrorMessage="1" sqref="F10 F53 M10"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0"/>
      <c r="F1" s="2800"/>
      <c r="G1" s="2665"/>
      <c r="H1" s="2800"/>
      <c r="I1" s="2800"/>
      <c r="J1" s="2800"/>
      <c r="K1" s="2801">
        <f>MATCH(C1,'数据-取费表'!A6:A16,0)+5</f>
        <v>7</v>
      </c>
    </row>
    <row r="2" spans="1:33" ht="18" customHeight="1">
      <c r="A2" s="201" t="s">
        <v>1462</v>
      </c>
      <c r="B2" s="204">
        <f ca="1">C32</f>
        <v>15993</v>
      </c>
      <c r="C2" s="276" t="s">
        <v>1595</v>
      </c>
      <c r="D2" s="276"/>
      <c r="E2" s="2800"/>
      <c r="F2" s="2800"/>
      <c r="G2" s="2800"/>
      <c r="H2" s="2800"/>
      <c r="I2" s="2800"/>
      <c r="J2" s="2800"/>
      <c r="K2" s="2800"/>
    </row>
    <row r="3" spans="1:33" ht="18" customHeight="1" thickBot="1">
      <c r="A3" s="203" t="s">
        <v>1464</v>
      </c>
      <c r="B3" s="204">
        <f ca="1">ROUND(B2*10000/IF(C1="",'数据-汇总表'!E3,INDIRECT("'数据-取费表'!K"&amp;$K$1)),0)</f>
        <v>2279829</v>
      </c>
      <c r="C3" s="276" t="s">
        <v>1596</v>
      </c>
      <c r="D3" s="276"/>
      <c r="E3" s="2800"/>
      <c r="F3" s="2800"/>
      <c r="G3" s="2800"/>
      <c r="H3" s="2800"/>
      <c r="I3" s="2800"/>
      <c r="J3" s="2800"/>
      <c r="K3" s="2800"/>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70.150000000000006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70.150000000000006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-14029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70.150000000000006</v>
      </c>
      <c r="E20" s="21">
        <f>'数据-取费表'!B28</f>
        <v>200</v>
      </c>
      <c r="F20" s="804"/>
      <c r="G20" s="12"/>
      <c r="H20" s="809"/>
      <c r="I20" s="809"/>
      <c r="J20" s="809"/>
      <c r="K20" s="810"/>
    </row>
    <row r="21" spans="1:33" s="803" customFormat="1" ht="13.5" customHeight="1">
      <c r="A21" s="790" t="s">
        <v>357</v>
      </c>
      <c r="B21" s="813" t="s">
        <v>1628</v>
      </c>
      <c r="C21" s="814">
        <f ca="1">C16+C17+C18</f>
        <v>-14029</v>
      </c>
      <c r="D21" s="815"/>
      <c r="E21" s="281"/>
      <c r="F21" s="281"/>
      <c r="G21" s="131" t="s">
        <v>1629</v>
      </c>
      <c r="H21" s="807"/>
      <c r="I21" s="807"/>
      <c r="J21" s="807"/>
      <c r="K21" s="808"/>
    </row>
    <row r="22" spans="1:33" s="803" customFormat="1" ht="13.5" customHeight="1">
      <c r="A22" s="790" t="s">
        <v>1601</v>
      </c>
      <c r="B22" s="813" t="s">
        <v>1630</v>
      </c>
      <c r="C22" s="814">
        <f ca="1">ROUND(C21*F22,0)</f>
        <v>-281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-2147</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-2147</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15993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0"/>
      <c r="H2" s="2689"/>
      <c r="I2" s="2689"/>
      <c r="J2" s="2689"/>
      <c r="K2" s="2690"/>
      <c r="L2" s="2689"/>
      <c r="M2" s="2689"/>
    </row>
    <row r="3" spans="1:37" ht="18" customHeight="1" thickBot="1">
      <c r="A3" s="1390" t="s">
        <v>806</v>
      </c>
      <c r="B3" s="1391">
        <f ca="1">IF(ISERROR(B2*10000/F43),0,ROUND(B2*10000/F43,0))</f>
        <v>0</v>
      </c>
      <c r="C3" s="1387" t="s">
        <v>807</v>
      </c>
      <c r="D3" s="1387"/>
      <c r="E3" s="1388"/>
      <c r="F3" s="1389"/>
      <c r="G3" s="2700"/>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94" t="s">
        <v>694</v>
      </c>
      <c r="C6" s="1074">
        <f ca="1">ROUND(F6*F8*F7*(1-F9)/10000,0)</f>
        <v>0</v>
      </c>
      <c r="D6" s="155" t="s">
        <v>2109</v>
      </c>
      <c r="E6" s="302" t="s">
        <v>696</v>
      </c>
      <c r="F6" s="303">
        <f ca="1">INDIRECT("'数据-取费表'!u"&amp;$G$1)</f>
        <v>0</v>
      </c>
      <c r="G6" s="1384"/>
      <c r="H6" s="1069" t="s">
        <v>398</v>
      </c>
      <c r="I6" s="3694" t="s">
        <v>694</v>
      </c>
      <c r="J6" s="301">
        <f ca="1">ROUND(M6*M8*M7*(1-M9)/10000,0)</f>
        <v>0</v>
      </c>
      <c r="K6" s="155" t="s">
        <v>2108</v>
      </c>
      <c r="L6" s="302" t="s">
        <v>696</v>
      </c>
      <c r="M6" s="303">
        <f ca="1">INDIRECT("'数据-取费表'!z"&amp;$G$1)</f>
        <v>0</v>
      </c>
    </row>
    <row r="7" spans="1:37" ht="18" customHeight="1">
      <c r="A7" s="1073"/>
      <c r="B7" s="3695"/>
      <c r="C7" s="1075"/>
      <c r="D7" s="307"/>
      <c r="E7" s="1076" t="s">
        <v>697</v>
      </c>
      <c r="F7" s="303">
        <f ca="1">IF(INDIRECT("'数据-取费表'!ah"&amp;$G$1)="",INDIRECT("'数据-取费表'!k"&amp;$G$1),INDIRECT("'数据-取费表'!ah"&amp;$G$1))</f>
        <v>0</v>
      </c>
      <c r="G7" s="1384"/>
      <c r="H7" s="304"/>
      <c r="I7" s="3695"/>
      <c r="J7" s="306"/>
      <c r="K7" s="307"/>
      <c r="L7" s="302" t="s">
        <v>697</v>
      </c>
      <c r="M7" s="303">
        <f ca="1">F7</f>
        <v>0</v>
      </c>
    </row>
    <row r="8" spans="1:37" ht="18" customHeight="1">
      <c r="A8" s="304"/>
      <c r="B8" s="3695"/>
      <c r="C8" s="306"/>
      <c r="D8" s="307"/>
      <c r="E8" s="302" t="s">
        <v>698</v>
      </c>
      <c r="F8" s="303">
        <f ca="1">INDIRECT("'数据-取费表'!ai"&amp;$G$1)</f>
        <v>0</v>
      </c>
      <c r="G8" s="1384"/>
      <c r="H8" s="304"/>
      <c r="I8" s="3695"/>
      <c r="J8" s="306"/>
      <c r="K8" s="307"/>
      <c r="L8" s="302" t="s">
        <v>698</v>
      </c>
      <c r="M8" s="303">
        <f ca="1">INDIRECT("'数据-取费表'!ai"&amp;$G$1)</f>
        <v>0</v>
      </c>
    </row>
    <row r="9" spans="1:37" ht="18" customHeight="1">
      <c r="A9" s="304"/>
      <c r="B9" s="3696"/>
      <c r="C9" s="306"/>
      <c r="D9" s="307"/>
      <c r="E9" s="302" t="s">
        <v>699</v>
      </c>
      <c r="F9" s="312">
        <f ca="1">INDIRECT("'数据-取费表'!w"&amp;$G$1)</f>
        <v>0</v>
      </c>
      <c r="G9" s="1384"/>
      <c r="H9" s="304"/>
      <c r="I9" s="369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3">
        <f ca="1">ROUND(IF(AND(项目基本情况!B11="自然人",项目基本情况!B10="北京市"),J6*M17/(1+'数据-取费表'!C42),J18+J19+J20),2)</f>
        <v>0</v>
      </c>
      <c r="K17" s="1345" t="s">
        <v>720</v>
      </c>
      <c r="L17" s="1344" t="s">
        <v>721</v>
      </c>
      <c r="M17" s="2312"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1"/>
      <c r="I30" s="1398"/>
      <c r="J30" s="1399"/>
      <c r="K30" s="2470"/>
      <c r="L30" s="2692"/>
      <c r="M30" s="2693"/>
    </row>
    <row r="31" spans="1:37" ht="18" customHeight="1">
      <c r="A31" s="982" t="s">
        <v>398</v>
      </c>
      <c r="B31" s="302" t="s">
        <v>719</v>
      </c>
      <c r="C31" s="2313">
        <f ca="1">ROUND(IF(AND(项目基本情况!B11="自然人",项目基本情况!B10="北京市"),C6*F31/(1+'数据-取费表'!C42),C32+C33+C34),2)</f>
        <v>0</v>
      </c>
      <c r="D31" s="1345" t="s">
        <v>720</v>
      </c>
      <c r="E31" s="1344" t="s">
        <v>770</v>
      </c>
      <c r="F31" s="2312" t="str">
        <f>IF(项目基本情况!B11="企业","——",IF(M47="住宅",IF(F6*F7*F8/12/(1+'数据-取费表'!F30)&gt;100000,4%,2.5%),IF(F6*F7*F8/12/(1+'数据-取费表'!F30)&gt;100000,12%,7%)))</f>
        <v>——</v>
      </c>
      <c r="G31" s="1384"/>
      <c r="H31" s="2802" t="s">
        <v>2306</v>
      </c>
      <c r="I31" s="1398"/>
      <c r="J31" s="1399"/>
      <c r="K31" s="2470"/>
      <c r="L31" s="2692"/>
      <c r="M31" s="2693"/>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1"/>
      <c r="I32" s="1398"/>
      <c r="J32" s="1399"/>
      <c r="K32" s="2470"/>
      <c r="L32" s="2692"/>
      <c r="M32" s="2693"/>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3339</v>
      </c>
      <c r="E33" s="302" t="s">
        <v>712</v>
      </c>
      <c r="F33" s="322">
        <f>IF(D33="按票据","——",IF(D33="按租金收入计税",'数据-取费表'!B51,'数据-取费表'!B50))</f>
        <v>0.12</v>
      </c>
      <c r="G33" s="1384"/>
      <c r="H33" s="2694"/>
      <c r="I33" s="1398"/>
      <c r="J33" s="1399"/>
      <c r="K33" s="2695"/>
      <c r="L33" s="2694"/>
      <c r="M33" s="2694"/>
    </row>
    <row r="34" spans="1:18" ht="18" customHeight="1">
      <c r="A34" s="1069" t="s">
        <v>680</v>
      </c>
      <c r="B34" s="155" t="s">
        <v>730</v>
      </c>
      <c r="C34" s="22">
        <f ca="1">IF(项目基本情况!B11="自然人","——",ROUND(F34*F35/10000,2))</f>
        <v>0</v>
      </c>
      <c r="D34" s="324" t="s">
        <v>731</v>
      </c>
      <c r="E34" s="302" t="s">
        <v>732</v>
      </c>
      <c r="F34" s="325">
        <f>'数据-取费表'!B52</f>
        <v>0</v>
      </c>
      <c r="G34" s="1384"/>
      <c r="H34" s="2691"/>
      <c r="I34" s="1398"/>
      <c r="J34" s="1399"/>
      <c r="K34" s="2696"/>
      <c r="L34" s="2697"/>
      <c r="M34" s="2697"/>
    </row>
    <row r="35" spans="1:18" ht="18" customHeight="1">
      <c r="A35" s="1103"/>
      <c r="B35" s="1101"/>
      <c r="C35" s="26"/>
      <c r="D35" s="327"/>
      <c r="E35" s="302" t="s">
        <v>736</v>
      </c>
      <c r="F35" s="303">
        <f ca="1">INDIRECT("'数据-取费表'!r"&amp;$G$1)</f>
        <v>0</v>
      </c>
      <c r="G35" s="1384"/>
      <c r="H35" s="2691"/>
      <c r="I35" s="1398"/>
      <c r="J35" s="1399"/>
      <c r="K35" s="2695"/>
      <c r="L35" s="2694"/>
      <c r="M35" s="2694"/>
    </row>
    <row r="36" spans="1:18" ht="18" customHeight="1">
      <c r="A36" s="1102" t="s">
        <v>402</v>
      </c>
      <c r="B36" s="302" t="s">
        <v>738</v>
      </c>
      <c r="C36" s="21">
        <f ca="1">ROUND(C29*F36,2)</f>
        <v>0</v>
      </c>
      <c r="D36" s="1344" t="s">
        <v>771</v>
      </c>
      <c r="E36" s="302" t="s">
        <v>712</v>
      </c>
      <c r="F36" s="328">
        <f ca="1">INDIRECT("'数据-取费表'!Ak"&amp;$G$1)</f>
        <v>0</v>
      </c>
      <c r="G36" s="1384"/>
      <c r="H36" s="2694"/>
      <c r="I36" s="1398"/>
      <c r="J36" s="1399"/>
      <c r="K36" s="2538"/>
      <c r="L36" s="2694"/>
      <c r="M36" s="2694"/>
    </row>
    <row r="37" spans="1:18" ht="18" customHeight="1">
      <c r="A37" s="982" t="s">
        <v>437</v>
      </c>
      <c r="B37" s="302" t="s">
        <v>742</v>
      </c>
      <c r="C37" s="21">
        <f ca="1">ROUND(C13*F37,2)</f>
        <v>0</v>
      </c>
      <c r="D37" s="1344" t="s">
        <v>743</v>
      </c>
      <c r="E37" s="302" t="s">
        <v>744</v>
      </c>
      <c r="F37" s="330">
        <f ca="1">INDIRECT("'数据-取费表'!Al"&amp;$G$1)</f>
        <v>0</v>
      </c>
      <c r="G37" s="1384"/>
      <c r="H37" s="2694"/>
      <c r="I37" s="1398"/>
      <c r="J37" s="1399"/>
      <c r="K37" s="2538"/>
      <c r="L37" s="2694"/>
      <c r="M37" s="2694"/>
    </row>
    <row r="38" spans="1:18" ht="18" customHeight="1" thickBot="1">
      <c r="A38" s="1089" t="s">
        <v>684</v>
      </c>
      <c r="B38" s="1090" t="s">
        <v>728</v>
      </c>
      <c r="C38" s="1091">
        <f ca="1">ROUND(C5*F38,2)</f>
        <v>0</v>
      </c>
      <c r="D38" s="1092" t="s">
        <v>748</v>
      </c>
      <c r="E38" s="1090" t="s">
        <v>744</v>
      </c>
      <c r="F38" s="1086">
        <f ca="1">INDIRECT("'数据-取费表'!Am"&amp;$G$1)</f>
        <v>0</v>
      </c>
      <c r="G38" s="1384"/>
      <c r="H38" s="2694"/>
      <c r="I38" s="1398"/>
      <c r="J38" s="1399"/>
      <c r="K38" s="2698"/>
      <c r="L38" s="2694"/>
      <c r="M38" s="2694"/>
    </row>
    <row r="39" spans="1:18" ht="24.6" customHeight="1" thickTop="1">
      <c r="A39" s="1079" t="s">
        <v>394</v>
      </c>
      <c r="B39" s="1094" t="s">
        <v>772</v>
      </c>
      <c r="C39" s="310">
        <f ca="1">C5-C30</f>
        <v>0</v>
      </c>
      <c r="D39" s="1095" t="s">
        <v>773</v>
      </c>
      <c r="E39" s="1096"/>
      <c r="F39" s="1097"/>
      <c r="G39" s="1384"/>
      <c r="H39" s="2694"/>
      <c r="I39" s="1398"/>
      <c r="J39" s="1399"/>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98"/>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38"/>
      <c r="L41" s="1191"/>
      <c r="M41" s="1191"/>
    </row>
    <row r="42" spans="1:18" ht="18" customHeight="1">
      <c r="A42" s="308"/>
      <c r="B42" s="309"/>
      <c r="C42" s="310"/>
      <c r="D42" s="327"/>
      <c r="E42" s="302" t="s">
        <v>766</v>
      </c>
      <c r="F42" s="312">
        <f ca="1">INDIRECT("'数据-取费表'!v"&amp;$G$1)</f>
        <v>0</v>
      </c>
      <c r="G42" s="1384"/>
      <c r="H42" s="1191"/>
      <c r="I42" s="1398"/>
      <c r="J42" s="1399"/>
      <c r="K42" s="2538"/>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38"/>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99"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5">
        <f ca="1">IF(M47="住宅",IF(D1="——",MAX(J51,L48),MAX(J51,L48-'数据-取费表'!B24)),IF(D1="——",MIN(J51,L48),MIN(J51,L48-'数据-取费表'!B24)))</f>
        <v>0</v>
      </c>
      <c r="K53" s="3697" t="s">
        <v>837</v>
      </c>
      <c r="L53" s="369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2434</v>
      </c>
      <c r="B1" s="2826"/>
      <c r="C1" s="2838"/>
      <c r="D1" s="2838"/>
      <c r="E1" s="2827"/>
      <c r="F1" s="2828"/>
      <c r="G1" s="2829"/>
      <c r="J1" s="2832" t="s">
        <v>2313</v>
      </c>
      <c r="K1" s="2833"/>
      <c r="L1" s="2833"/>
      <c r="M1" s="2833"/>
      <c r="N1" s="2833"/>
      <c r="O1" s="2833"/>
      <c r="P1" s="2833"/>
      <c r="Q1" s="2833"/>
      <c r="R1" s="2834"/>
      <c r="S1" s="2835"/>
      <c r="T1" s="2835"/>
      <c r="U1" s="2835"/>
    </row>
    <row r="2" spans="1:22" s="2847" customFormat="1" ht="13.15" customHeight="1">
      <c r="A2" s="1385" t="s">
        <v>2314</v>
      </c>
      <c r="B2" s="2837" t="e">
        <f>IF(D2="——",C40,C40+E2)</f>
        <v>#DIV/0!</v>
      </c>
      <c r="C2" s="2838" t="s">
        <v>2315</v>
      </c>
      <c r="D2" s="3437" t="s">
        <v>3362</v>
      </c>
      <c r="E2" s="3438"/>
      <c r="F2" s="2840"/>
      <c r="G2" s="2841"/>
      <c r="H2" s="2842"/>
      <c r="I2" s="2843"/>
      <c r="J2" s="3699" t="s">
        <v>2316</v>
      </c>
      <c r="K2" s="3700"/>
      <c r="L2" s="2844" t="s">
        <v>2317</v>
      </c>
      <c r="M2" s="2844" t="s">
        <v>2318</v>
      </c>
      <c r="N2" s="2844" t="s">
        <v>2319</v>
      </c>
      <c r="O2" s="2844" t="s">
        <v>2320</v>
      </c>
      <c r="P2" s="2844" t="s">
        <v>2321</v>
      </c>
      <c r="Q2" s="2845" t="s">
        <v>2322</v>
      </c>
      <c r="R2" s="2846" t="s">
        <v>2323</v>
      </c>
      <c r="S2" s="2835"/>
      <c r="T2" s="2835"/>
      <c r="U2" s="2835"/>
      <c r="V2" s="2843"/>
    </row>
    <row r="3" spans="1:22" s="2847" customFormat="1" ht="13.15" customHeight="1">
      <c r="A3" s="2848" t="s">
        <v>2324</v>
      </c>
      <c r="B3" s="2849" t="e">
        <f>ROUND(B2*10000/B4,0)</f>
        <v>#DIV/0!</v>
      </c>
      <c r="C3" s="2838" t="s">
        <v>2325</v>
      </c>
      <c r="D3" s="2838"/>
      <c r="E3" s="2839"/>
      <c r="F3" s="2840"/>
      <c r="G3" s="2841"/>
      <c r="H3" s="2842"/>
      <c r="I3" s="2843"/>
      <c r="J3" s="3701" t="s">
        <v>2326</v>
      </c>
      <c r="K3" s="3702"/>
      <c r="L3" s="2850"/>
      <c r="M3" s="2850"/>
      <c r="N3" s="2850"/>
      <c r="O3" s="2850"/>
      <c r="P3" s="2850"/>
      <c r="Q3" s="2851"/>
      <c r="R3" s="2852">
        <f>SUM(L3:Q3)</f>
        <v>0</v>
      </c>
      <c r="S3" s="2835"/>
      <c r="T3" s="2835"/>
      <c r="U3" s="2835"/>
      <c r="V3" s="2843"/>
    </row>
    <row r="4" spans="1:22" s="2847" customFormat="1" ht="13.15" customHeight="1">
      <c r="A4" s="2853" t="s">
        <v>2327</v>
      </c>
      <c r="B4" s="2854"/>
      <c r="C4" s="2838"/>
      <c r="D4" s="2838"/>
      <c r="E4" s="2839"/>
      <c r="F4" s="2840"/>
      <c r="G4" s="2841"/>
      <c r="H4" s="2842"/>
      <c r="I4" s="2843"/>
      <c r="J4" s="3701" t="s">
        <v>2328</v>
      </c>
      <c r="K4" s="3702"/>
      <c r="L4" s="2855"/>
      <c r="M4" s="2855"/>
      <c r="N4" s="2855"/>
      <c r="O4" s="2855"/>
      <c r="P4" s="2855"/>
      <c r="Q4" s="2856"/>
      <c r="R4" s="2857">
        <f>SUM(L4:Q4)</f>
        <v>0</v>
      </c>
      <c r="S4" s="2835"/>
      <c r="T4" s="2835"/>
      <c r="U4" s="2835"/>
      <c r="V4" s="2843"/>
    </row>
    <row r="5" spans="1:22" s="2847" customFormat="1" ht="13.15" customHeight="1" thickBot="1">
      <c r="A5" s="2858" t="s">
        <v>2329</v>
      </c>
      <c r="B5" s="2859"/>
      <c r="C5" s="2838"/>
      <c r="D5" s="2860"/>
      <c r="E5" s="2840"/>
      <c r="F5" s="2840"/>
      <c r="G5" s="2841"/>
      <c r="H5" s="2842"/>
      <c r="I5" s="2843"/>
      <c r="J5" s="2861" t="s">
        <v>2330</v>
      </c>
      <c r="K5" s="2862"/>
      <c r="L5" s="2862"/>
      <c r="M5" s="2863"/>
      <c r="N5" s="2863"/>
      <c r="O5" s="2863"/>
      <c r="P5" s="2863"/>
      <c r="Q5" s="2863"/>
      <c r="R5" s="2846">
        <f>SUM(R14,R19,R24,R25,R27,R28)</f>
        <v>0</v>
      </c>
      <c r="S5" s="2835"/>
      <c r="T5" s="2835" t="s">
        <v>2331</v>
      </c>
      <c r="U5" s="2835" t="e">
        <f>ROUND(R5*10000/365/R3,1)</f>
        <v>#DIV/0!</v>
      </c>
      <c r="V5" s="2843"/>
    </row>
    <row r="6" spans="1:22" s="2847" customFormat="1" ht="13.15" customHeight="1" thickBot="1">
      <c r="A6" s="3703" t="s">
        <v>2332</v>
      </c>
      <c r="B6" s="3704"/>
      <c r="C6" s="3705"/>
      <c r="D6" s="2864"/>
      <c r="E6" s="2865"/>
      <c r="F6" s="2866"/>
      <c r="G6" s="2867"/>
      <c r="H6" s="2842"/>
      <c r="I6" s="2843"/>
      <c r="J6" s="3706">
        <v>1</v>
      </c>
      <c r="K6" s="3707" t="s">
        <v>2333</v>
      </c>
      <c r="L6" s="2868" t="s">
        <v>2334</v>
      </c>
      <c r="M6" s="2869" t="s">
        <v>2335</v>
      </c>
      <c r="N6" s="2869" t="s">
        <v>2336</v>
      </c>
      <c r="O6" s="2869" t="s">
        <v>2337</v>
      </c>
      <c r="P6" s="2869" t="s">
        <v>2338</v>
      </c>
      <c r="Q6" s="2869" t="s">
        <v>2339</v>
      </c>
      <c r="R6" s="2852" t="s">
        <v>2340</v>
      </c>
      <c r="S6" s="2835"/>
      <c r="T6" s="2835" t="s">
        <v>2341</v>
      </c>
      <c r="U6" s="2835"/>
      <c r="V6" s="2843"/>
    </row>
    <row r="7" spans="1:22" s="2847" customFormat="1" ht="13.15" customHeight="1">
      <c r="A7" s="2870" t="s">
        <v>2342</v>
      </c>
      <c r="B7" s="2871"/>
      <c r="C7" s="2872"/>
      <c r="D7" s="2873">
        <f>SUM(D9,D10,D11,D17,0)</f>
        <v>0</v>
      </c>
      <c r="E7" s="2874" t="e">
        <f>E9+E10+E11+E17</f>
        <v>#DIV/0!</v>
      </c>
      <c r="F7" s="2875"/>
      <c r="G7" s="2876"/>
      <c r="H7" s="2842"/>
      <c r="I7" s="2843"/>
      <c r="J7" s="3706"/>
      <c r="K7" s="3708"/>
      <c r="L7" s="2877" t="s">
        <v>2343</v>
      </c>
      <c r="M7" s="2878"/>
      <c r="N7" s="2854"/>
      <c r="O7" s="2879"/>
      <c r="P7" s="2879"/>
      <c r="Q7" s="2880">
        <v>365</v>
      </c>
      <c r="R7" s="2881">
        <f>ROUND(M7*N7*O7*P7*Q7/10000,0)</f>
        <v>0</v>
      </c>
      <c r="S7" s="2835"/>
      <c r="T7" s="2835" t="s">
        <v>2344</v>
      </c>
      <c r="U7" s="2835"/>
      <c r="V7" s="2843"/>
    </row>
    <row r="8" spans="1:22" s="2847" customFormat="1" ht="13.15" customHeight="1">
      <c r="A8" s="2882" t="s">
        <v>2345</v>
      </c>
      <c r="B8" s="3710" t="s">
        <v>2346</v>
      </c>
      <c r="C8" s="3711"/>
      <c r="D8" s="2883" t="s">
        <v>2347</v>
      </c>
      <c r="E8" s="2884" t="s">
        <v>2348</v>
      </c>
      <c r="F8" s="2885" t="s">
        <v>2349</v>
      </c>
      <c r="G8" s="2886"/>
      <c r="H8" s="2842"/>
      <c r="I8" s="2843"/>
      <c r="J8" s="3706"/>
      <c r="K8" s="3708"/>
      <c r="L8" s="2877" t="s">
        <v>2350</v>
      </c>
      <c r="M8" s="2878"/>
      <c r="N8" s="2854"/>
      <c r="O8" s="2879"/>
      <c r="P8" s="2879"/>
      <c r="Q8" s="2880">
        <v>365</v>
      </c>
      <c r="R8" s="2881">
        <f t="shared" ref="R8:R13" si="0">ROUND(M8*N8*O8*P8*Q8/10000,0)</f>
        <v>0</v>
      </c>
      <c r="S8" s="2835"/>
      <c r="T8" s="2835" t="s">
        <v>2351</v>
      </c>
      <c r="U8" s="2835"/>
      <c r="V8" s="2843"/>
    </row>
    <row r="9" spans="1:22" s="2847" customFormat="1" ht="13.15" customHeight="1">
      <c r="A9" s="2882">
        <v>1</v>
      </c>
      <c r="B9" s="3710" t="s">
        <v>2352</v>
      </c>
      <c r="C9" s="3711"/>
      <c r="D9" s="2883">
        <f>ROUND(D6*E9,0)</f>
        <v>0</v>
      </c>
      <c r="E9" s="2887"/>
      <c r="F9" s="2888" t="s">
        <v>2353</v>
      </c>
      <c r="G9" s="2867"/>
      <c r="H9" s="2842"/>
      <c r="I9" s="2843"/>
      <c r="J9" s="3706"/>
      <c r="K9" s="3708"/>
      <c r="L9" s="2877" t="s">
        <v>2354</v>
      </c>
      <c r="M9" s="2878"/>
      <c r="N9" s="2854"/>
      <c r="O9" s="2879"/>
      <c r="P9" s="2879"/>
      <c r="Q9" s="2880">
        <v>365</v>
      </c>
      <c r="R9" s="2881">
        <f t="shared" si="0"/>
        <v>0</v>
      </c>
      <c r="S9" s="2835"/>
      <c r="T9" s="2835"/>
      <c r="U9" s="2835"/>
      <c r="V9" s="2843"/>
    </row>
    <row r="10" spans="1:22" s="2847" customFormat="1" ht="13.15" customHeight="1">
      <c r="A10" s="2882">
        <v>2</v>
      </c>
      <c r="B10" s="3710" t="s">
        <v>2355</v>
      </c>
      <c r="C10" s="3711"/>
      <c r="D10" s="2883">
        <f>ROUND(D6*E10,0)</f>
        <v>0</v>
      </c>
      <c r="E10" s="2887"/>
      <c r="F10" s="2888" t="s">
        <v>2356</v>
      </c>
      <c r="G10" s="2867"/>
      <c r="H10" s="2842"/>
      <c r="I10" s="2843"/>
      <c r="J10" s="3706"/>
      <c r="K10" s="3708"/>
      <c r="L10" s="2877" t="s">
        <v>2357</v>
      </c>
      <c r="M10" s="2878"/>
      <c r="N10" s="2854"/>
      <c r="O10" s="2879"/>
      <c r="P10" s="2879"/>
      <c r="Q10" s="2880">
        <v>365</v>
      </c>
      <c r="R10" s="2881">
        <f t="shared" si="0"/>
        <v>0</v>
      </c>
      <c r="S10" s="2835"/>
      <c r="T10" s="2835"/>
      <c r="U10" s="2835"/>
      <c r="V10" s="2843"/>
    </row>
    <row r="11" spans="1:22" s="2847" customFormat="1" ht="13.15" customHeight="1">
      <c r="A11" s="2882">
        <v>3</v>
      </c>
      <c r="B11" s="3710" t="s">
        <v>2358</v>
      </c>
      <c r="C11" s="3711"/>
      <c r="D11" s="2883">
        <f>D12+D14+D15+D16</f>
        <v>0</v>
      </c>
      <c r="E11" s="2889" t="e">
        <f>D11/D6</f>
        <v>#DIV/0!</v>
      </c>
      <c r="F11" s="2885"/>
      <c r="G11" s="2886"/>
      <c r="H11" s="2842"/>
      <c r="I11" s="2843"/>
      <c r="J11" s="3706"/>
      <c r="K11" s="3708"/>
      <c r="L11" s="2877" t="s">
        <v>2359</v>
      </c>
      <c r="M11" s="2878"/>
      <c r="N11" s="2854"/>
      <c r="O11" s="2879"/>
      <c r="P11" s="2879"/>
      <c r="Q11" s="2880">
        <v>365</v>
      </c>
      <c r="R11" s="2881">
        <f t="shared" si="0"/>
        <v>0</v>
      </c>
      <c r="S11" s="2835"/>
      <c r="T11" s="2835"/>
      <c r="U11" s="2835"/>
      <c r="V11" s="2843"/>
    </row>
    <row r="12" spans="1:22" s="2847" customFormat="1" ht="13.15" customHeight="1">
      <c r="A12" s="2890" t="s">
        <v>2360</v>
      </c>
      <c r="B12" s="3712" t="s">
        <v>2361</v>
      </c>
      <c r="C12" s="3713"/>
      <c r="D12" s="2891">
        <f>ROUND(D13*1.2%*(1-30%),0)</f>
        <v>0</v>
      </c>
      <c r="E12" s="2892">
        <v>1.2E-2</v>
      </c>
      <c r="F12" s="2885" t="s">
        <v>2362</v>
      </c>
      <c r="G12" s="2886"/>
      <c r="H12" s="2842"/>
      <c r="I12" s="2843"/>
      <c r="J12" s="3706"/>
      <c r="K12" s="3708"/>
      <c r="L12" s="2877" t="s">
        <v>2363</v>
      </c>
      <c r="M12" s="2878"/>
      <c r="N12" s="2854"/>
      <c r="O12" s="2879"/>
      <c r="P12" s="2879"/>
      <c r="Q12" s="2880">
        <v>365</v>
      </c>
      <c r="R12" s="2881">
        <f t="shared" si="0"/>
        <v>0</v>
      </c>
      <c r="S12" s="2835"/>
      <c r="T12" s="2835"/>
      <c r="U12" s="2835"/>
      <c r="V12" s="2843"/>
    </row>
    <row r="13" spans="1:22" s="2847" customFormat="1" ht="13.15" customHeight="1">
      <c r="A13" s="2890"/>
      <c r="B13" s="2893"/>
      <c r="C13" s="2894" t="s">
        <v>2364</v>
      </c>
      <c r="D13" s="2895"/>
      <c r="E13" s="2896"/>
      <c r="F13" s="2885"/>
      <c r="G13" s="2886"/>
      <c r="H13" s="2842"/>
      <c r="I13" s="2843"/>
      <c r="J13" s="3706"/>
      <c r="K13" s="3708"/>
      <c r="L13" s="2877" t="s">
        <v>2365</v>
      </c>
      <c r="M13" s="2878"/>
      <c r="N13" s="2854"/>
      <c r="O13" s="2879"/>
      <c r="P13" s="2879"/>
      <c r="Q13" s="2880">
        <v>365</v>
      </c>
      <c r="R13" s="2881">
        <f t="shared" si="0"/>
        <v>0</v>
      </c>
      <c r="S13" s="2835"/>
      <c r="T13" s="2835"/>
      <c r="U13" s="2835"/>
      <c r="V13" s="2843"/>
    </row>
    <row r="14" spans="1:22" s="2847" customFormat="1" ht="13.15" customHeight="1">
      <c r="A14" s="2890" t="s">
        <v>2366</v>
      </c>
      <c r="B14" s="3712" t="s">
        <v>2367</v>
      </c>
      <c r="C14" s="3713"/>
      <c r="D14" s="2891">
        <f>ROUND(E14*B5/10000,0)</f>
        <v>0</v>
      </c>
      <c r="E14" s="2880"/>
      <c r="F14" s="2885" t="s">
        <v>2368</v>
      </c>
      <c r="G14" s="2886"/>
      <c r="H14" s="2842"/>
      <c r="I14" s="2843"/>
      <c r="J14" s="3706"/>
      <c r="K14" s="3709"/>
      <c r="L14" s="2897" t="s">
        <v>2369</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2370</v>
      </c>
      <c r="B15" s="3712" t="s">
        <v>2371</v>
      </c>
      <c r="C15" s="3713"/>
      <c r="D15" s="2891">
        <f>ROUND(D6*E15,0)</f>
        <v>0</v>
      </c>
      <c r="E15" s="2892">
        <v>5.5E-2</v>
      </c>
      <c r="F15" s="2885" t="s">
        <v>2372</v>
      </c>
      <c r="G15" s="2867"/>
      <c r="H15" s="2842"/>
      <c r="I15" s="2843"/>
      <c r="J15" s="3706">
        <v>2</v>
      </c>
      <c r="K15" s="3707" t="s">
        <v>2373</v>
      </c>
      <c r="L15" s="2877" t="s">
        <v>2374</v>
      </c>
      <c r="M15" s="2878" t="s">
        <v>2375</v>
      </c>
      <c r="N15" s="2878" t="s">
        <v>2376</v>
      </c>
      <c r="O15" s="2879" t="s">
        <v>2377</v>
      </c>
      <c r="P15" s="2879" t="s">
        <v>2339</v>
      </c>
      <c r="Q15" s="2854" t="s">
        <v>2378</v>
      </c>
      <c r="R15" s="2901" t="s">
        <v>2340</v>
      </c>
      <c r="S15" s="2835"/>
      <c r="T15" s="2835"/>
      <c r="U15" s="2835"/>
      <c r="V15" s="2843"/>
    </row>
    <row r="16" spans="1:22" s="2847" customFormat="1" ht="13.15" customHeight="1">
      <c r="A16" s="2890" t="s">
        <v>2379</v>
      </c>
      <c r="B16" s="3712" t="s">
        <v>2380</v>
      </c>
      <c r="C16" s="3713"/>
      <c r="D16" s="2902">
        <f>D6*E16</f>
        <v>0</v>
      </c>
      <c r="E16" s="2903"/>
      <c r="F16" s="2888" t="s">
        <v>2381</v>
      </c>
      <c r="G16" s="2867"/>
      <c r="H16" s="2842"/>
      <c r="I16" s="2843"/>
      <c r="J16" s="3706"/>
      <c r="K16" s="3708"/>
      <c r="L16" s="2877" t="s">
        <v>2382</v>
      </c>
      <c r="M16" s="2878"/>
      <c r="N16" s="2878"/>
      <c r="O16" s="2879"/>
      <c r="P16" s="2880">
        <v>365</v>
      </c>
      <c r="Q16" s="2854"/>
      <c r="R16" s="2901">
        <f>ROUND(M16*N16*O16*P16/10000,0)</f>
        <v>0</v>
      </c>
      <c r="S16" s="2835"/>
      <c r="T16" s="2835"/>
      <c r="U16" s="2835"/>
      <c r="V16" s="2843"/>
    </row>
    <row r="17" spans="1:22" s="2847" customFormat="1" ht="13.15" customHeight="1" thickBot="1">
      <c r="A17" s="2904">
        <v>4</v>
      </c>
      <c r="B17" s="3714" t="s">
        <v>2383</v>
      </c>
      <c r="C17" s="3715"/>
      <c r="D17" s="2905">
        <f>ROUND(D6*E17,0)</f>
        <v>0</v>
      </c>
      <c r="E17" s="2906"/>
      <c r="F17" s="2907" t="s">
        <v>2384</v>
      </c>
      <c r="G17" s="2867"/>
      <c r="H17" s="2842"/>
      <c r="I17" s="2843"/>
      <c r="J17" s="3706"/>
      <c r="K17" s="3708"/>
      <c r="L17" s="2877" t="s">
        <v>2385</v>
      </c>
      <c r="M17" s="2878"/>
      <c r="N17" s="2878"/>
      <c r="O17" s="2879"/>
      <c r="P17" s="2880">
        <v>365</v>
      </c>
      <c r="Q17" s="2854"/>
      <c r="R17" s="2901">
        <f>ROUND(M17*N17*O17*P17/10000,0)</f>
        <v>0</v>
      </c>
      <c r="S17" s="2835"/>
      <c r="T17" s="2835"/>
      <c r="U17" s="2835"/>
      <c r="V17" s="2843"/>
    </row>
    <row r="18" spans="1:22" s="2847" customFormat="1" ht="13.15" customHeight="1" thickBot="1">
      <c r="A18" s="2870" t="s">
        <v>2386</v>
      </c>
      <c r="B18" s="2871"/>
      <c r="C18" s="2871"/>
      <c r="D18" s="2908">
        <f>ROUND(D6*E18,0)</f>
        <v>0</v>
      </c>
      <c r="E18" s="2909"/>
      <c r="F18" s="2910" t="s">
        <v>2387</v>
      </c>
      <c r="G18" s="2867"/>
      <c r="H18" s="2842"/>
      <c r="I18" s="2843"/>
      <c r="J18" s="3706"/>
      <c r="K18" s="3708"/>
      <c r="L18" s="2877" t="s">
        <v>2388</v>
      </c>
      <c r="M18" s="2878"/>
      <c r="N18" s="2878"/>
      <c r="O18" s="2879"/>
      <c r="P18" s="2880">
        <v>365</v>
      </c>
      <c r="Q18" s="2854"/>
      <c r="R18" s="2901">
        <f>ROUND(M18*N18*O18*P18/10000,0)</f>
        <v>0</v>
      </c>
      <c r="S18" s="2835"/>
      <c r="T18" s="2835"/>
      <c r="U18" s="2835"/>
      <c r="V18" s="2843"/>
    </row>
    <row r="19" spans="1:22" s="2847" customFormat="1" ht="13.15" customHeight="1" thickBot="1">
      <c r="A19" s="2911" t="s">
        <v>2389</v>
      </c>
      <c r="B19" s="2865"/>
      <c r="C19" s="2865"/>
      <c r="D19" s="2865"/>
      <c r="E19" s="2865"/>
      <c r="F19" s="2866"/>
      <c r="G19" s="2886"/>
      <c r="H19" s="2842"/>
      <c r="I19" s="2843"/>
      <c r="J19" s="3706"/>
      <c r="K19" s="3709"/>
      <c r="L19" s="2897" t="s">
        <v>2369</v>
      </c>
      <c r="M19" s="2898"/>
      <c r="N19" s="2898">
        <f>SUM(N16:N18)</f>
        <v>0</v>
      </c>
      <c r="O19" s="2899"/>
      <c r="P19" s="2912" t="s">
        <v>2433</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06">
        <v>3</v>
      </c>
      <c r="K20" s="3707" t="s">
        <v>2390</v>
      </c>
      <c r="L20" s="2877" t="s">
        <v>2391</v>
      </c>
      <c r="M20" s="2878" t="s">
        <v>2392</v>
      </c>
      <c r="N20" s="2915" t="s">
        <v>2393</v>
      </c>
      <c r="O20" s="2879" t="s">
        <v>2394</v>
      </c>
      <c r="P20" s="2880" t="s">
        <v>2395</v>
      </c>
      <c r="Q20" s="2854" t="s">
        <v>2396</v>
      </c>
      <c r="R20" s="2901" t="s">
        <v>2397</v>
      </c>
      <c r="S20" s="2916"/>
      <c r="T20" s="2916"/>
      <c r="U20" s="2916"/>
      <c r="V20" s="2843"/>
    </row>
    <row r="21" spans="1:22" s="2847" customFormat="1" ht="13.15" customHeight="1">
      <c r="A21" s="2870"/>
      <c r="B21" s="2871"/>
      <c r="C21" s="2917" t="s">
        <v>2398</v>
      </c>
      <c r="D21" s="2918" t="s">
        <v>2399</v>
      </c>
      <c r="E21" s="2919" t="s">
        <v>2400</v>
      </c>
      <c r="F21" s="2914"/>
      <c r="G21" s="2886"/>
      <c r="H21" s="2842"/>
      <c r="I21" s="2843"/>
      <c r="J21" s="3706"/>
      <c r="K21" s="3708"/>
      <c r="L21" s="2877" t="s">
        <v>2401</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2402</v>
      </c>
      <c r="D22" s="2922" t="s">
        <v>2403</v>
      </c>
      <c r="E22" s="2923" t="s">
        <v>2404</v>
      </c>
      <c r="F22" s="2914"/>
      <c r="G22" s="2924"/>
      <c r="H22" s="2842"/>
      <c r="I22" s="2843"/>
      <c r="J22" s="3706"/>
      <c r="K22" s="3708"/>
      <c r="L22" s="2877" t="s">
        <v>2405</v>
      </c>
      <c r="M22" s="2878"/>
      <c r="N22" s="2878"/>
      <c r="O22" s="2879"/>
      <c r="P22" s="2880">
        <v>365</v>
      </c>
      <c r="Q22" s="2854"/>
      <c r="R22" s="2920">
        <f>ROUND(M22*N22*O22*P22/10000,0)</f>
        <v>0</v>
      </c>
      <c r="S22" s="2916"/>
      <c r="T22" s="2916"/>
      <c r="U22" s="2916"/>
      <c r="V22" s="2843"/>
    </row>
    <row r="23" spans="1:22" s="2847" customFormat="1" ht="13.15" customHeight="1">
      <c r="A23" s="2925">
        <v>1</v>
      </c>
      <c r="B23" s="2926" t="s">
        <v>2406</v>
      </c>
      <c r="C23" s="2927">
        <f>D6</f>
        <v>0</v>
      </c>
      <c r="D23" s="2928">
        <f>C23*(1+D24)</f>
        <v>0</v>
      </c>
      <c r="E23" s="2929">
        <f>D23*(1+E24)</f>
        <v>0</v>
      </c>
      <c r="F23" s="2930"/>
      <c r="G23" s="2931"/>
      <c r="H23" s="2842"/>
      <c r="I23" s="2843"/>
      <c r="J23" s="3706"/>
      <c r="K23" s="3708"/>
      <c r="L23" s="2877" t="s">
        <v>2407</v>
      </c>
      <c r="M23" s="2878"/>
      <c r="N23" s="2878"/>
      <c r="O23" s="2879"/>
      <c r="P23" s="2880">
        <v>365</v>
      </c>
      <c r="Q23" s="2854"/>
      <c r="R23" s="2920">
        <f>ROUND(M23*N23*O23*P23/10000,0)</f>
        <v>0</v>
      </c>
      <c r="S23" s="2835"/>
      <c r="T23" s="2835"/>
      <c r="U23" s="2835"/>
      <c r="V23" s="2843"/>
    </row>
    <row r="24" spans="1:22" s="2847" customFormat="1" ht="13.15" customHeight="1">
      <c r="A24" s="2932"/>
      <c r="B24" s="2933" t="s">
        <v>2408</v>
      </c>
      <c r="C24" s="2934"/>
      <c r="D24" s="2935"/>
      <c r="E24" s="2936"/>
      <c r="F24" s="2937"/>
      <c r="G24" s="2931"/>
      <c r="H24" s="2842"/>
      <c r="I24" s="2843"/>
      <c r="J24" s="3706"/>
      <c r="K24" s="3709"/>
      <c r="L24" s="2897" t="s">
        <v>2369</v>
      </c>
      <c r="M24" s="2898">
        <f>SUM(M21:M23)</f>
        <v>0</v>
      </c>
      <c r="N24" s="2898"/>
      <c r="O24" s="2899"/>
      <c r="P24" s="2912" t="s">
        <v>2433</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2409</v>
      </c>
      <c r="L25" s="2940"/>
      <c r="M25" s="2940"/>
      <c r="N25" s="2940"/>
      <c r="O25" s="2940"/>
      <c r="P25" s="2941"/>
      <c r="Q25" s="2942">
        <v>0</v>
      </c>
      <c r="R25" s="2913">
        <f>ROUND(R14*Q25,0)</f>
        <v>0</v>
      </c>
      <c r="S25" s="2835"/>
      <c r="T25" s="2835"/>
      <c r="U25" s="2835"/>
      <c r="V25" s="2943"/>
    </row>
    <row r="26" spans="1:22" s="2944" customFormat="1" ht="13.15" customHeight="1">
      <c r="A26" s="2925">
        <v>2</v>
      </c>
      <c r="B26" s="2926" t="s">
        <v>2410</v>
      </c>
      <c r="C26" s="2927">
        <f>D7</f>
        <v>0</v>
      </c>
      <c r="D26" s="2928">
        <f>D23*D27</f>
        <v>0</v>
      </c>
      <c r="E26" s="2929">
        <f>E23*E27</f>
        <v>0</v>
      </c>
      <c r="F26" s="2930"/>
      <c r="G26" s="2931"/>
      <c r="H26" s="2842"/>
      <c r="I26" s="2843"/>
      <c r="J26" s="3716">
        <v>5</v>
      </c>
      <c r="K26" s="2945" t="s">
        <v>2411</v>
      </c>
      <c r="L26" s="2946"/>
      <c r="M26" s="2947"/>
      <c r="N26" s="2948" t="s">
        <v>2412</v>
      </c>
      <c r="O26" s="2948" t="s">
        <v>2413</v>
      </c>
      <c r="P26" s="2949" t="s">
        <v>2414</v>
      </c>
      <c r="Q26" s="2949" t="s">
        <v>2415</v>
      </c>
      <c r="R26" s="2852" t="s">
        <v>2340</v>
      </c>
      <c r="S26" s="2950"/>
      <c r="T26" s="2950"/>
      <c r="U26" s="2950"/>
      <c r="V26" s="2943"/>
    </row>
    <row r="27" spans="1:22" s="2847" customFormat="1" ht="13.15" customHeight="1">
      <c r="A27" s="2932"/>
      <c r="B27" s="2933" t="s">
        <v>2416</v>
      </c>
      <c r="C27" s="2951" t="e">
        <f>E7</f>
        <v>#DIV/0!</v>
      </c>
      <c r="D27" s="2935"/>
      <c r="E27" s="2936"/>
      <c r="F27" s="2937"/>
      <c r="G27" s="2931"/>
      <c r="H27" s="2952"/>
      <c r="I27" s="2943"/>
      <c r="J27" s="3717"/>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2417</v>
      </c>
      <c r="F28" s="2937"/>
      <c r="G28" s="2924"/>
      <c r="H28" s="2952"/>
      <c r="I28" s="2943"/>
      <c r="J28" s="2958">
        <v>6</v>
      </c>
      <c r="K28" s="2959" t="s">
        <v>2418</v>
      </c>
      <c r="L28" s="2960" t="s">
        <v>2419</v>
      </c>
      <c r="M28" s="2961"/>
      <c r="N28" s="2960" t="s">
        <v>2420</v>
      </c>
      <c r="O28" s="2962"/>
      <c r="P28" s="2960" t="s">
        <v>2421</v>
      </c>
      <c r="Q28" s="2963">
        <v>1.4999999999999999E-2</v>
      </c>
      <c r="R28" s="2964"/>
      <c r="S28" s="2916"/>
      <c r="T28" s="2916"/>
      <c r="U28" s="2916"/>
      <c r="V28" s="2943"/>
    </row>
    <row r="29" spans="1:22" s="2944" customFormat="1" ht="13.15" customHeight="1">
      <c r="A29" s="2925">
        <v>3</v>
      </c>
      <c r="B29" s="2926" t="s">
        <v>2422</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2416</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2423</v>
      </c>
      <c r="K31" s="2833"/>
      <c r="L31" s="2833"/>
      <c r="M31" s="2833"/>
      <c r="N31" s="2833"/>
      <c r="O31" s="2833"/>
      <c r="P31" s="2833"/>
      <c r="Q31" s="2833"/>
      <c r="R31" s="2834"/>
      <c r="S31" s="2916"/>
      <c r="T31" s="2835"/>
      <c r="U31" s="2835"/>
      <c r="V31" s="2943"/>
    </row>
    <row r="32" spans="1:22" s="2944" customFormat="1" ht="13.15" customHeight="1">
      <c r="A32" s="2925">
        <v>4</v>
      </c>
      <c r="B32" s="2926" t="s">
        <v>2424</v>
      </c>
      <c r="C32" s="2927">
        <f>C23-C26-C29</f>
        <v>0</v>
      </c>
      <c r="D32" s="2928">
        <f>D23-D26-D29</f>
        <v>0</v>
      </c>
      <c r="E32" s="2929">
        <f>E23-E26-E29</f>
        <v>0</v>
      </c>
      <c r="F32" s="2930"/>
      <c r="G32" s="2924"/>
      <c r="H32" s="2842"/>
      <c r="I32" s="2843"/>
      <c r="J32" s="3699" t="s">
        <v>2316</v>
      </c>
      <c r="K32" s="3700"/>
      <c r="L32" s="2844" t="s">
        <v>2317</v>
      </c>
      <c r="M32" s="2844" t="s">
        <v>2318</v>
      </c>
      <c r="N32" s="2844" t="s">
        <v>2319</v>
      </c>
      <c r="O32" s="2844" t="s">
        <v>2320</v>
      </c>
      <c r="P32" s="2844" t="s">
        <v>2321</v>
      </c>
      <c r="Q32" s="2845" t="s">
        <v>2322</v>
      </c>
      <c r="R32" s="2967" t="s">
        <v>2323</v>
      </c>
      <c r="S32" s="2916"/>
      <c r="T32" s="2835"/>
      <c r="U32" s="2835"/>
      <c r="V32" s="2943"/>
    </row>
    <row r="33" spans="1:23" s="2847" customFormat="1" ht="13.15" customHeight="1">
      <c r="A33" s="2925"/>
      <c r="B33" s="2926"/>
      <c r="C33" s="2927"/>
      <c r="D33" s="2968"/>
      <c r="E33" s="2969"/>
      <c r="F33" s="2930"/>
      <c r="G33" s="2924"/>
      <c r="H33" s="2952"/>
      <c r="I33" s="2943"/>
      <c r="J33" s="3701" t="s">
        <v>2326</v>
      </c>
      <c r="K33" s="3702"/>
      <c r="L33" s="2850"/>
      <c r="M33" s="2850"/>
      <c r="N33" s="2850"/>
      <c r="O33" s="2850"/>
      <c r="P33" s="2850"/>
      <c r="Q33" s="2851"/>
      <c r="R33" s="2970">
        <f>SUM(L33:Q33)</f>
        <v>0</v>
      </c>
      <c r="S33" s="2916"/>
      <c r="T33" s="2835"/>
      <c r="U33" s="2835"/>
      <c r="V33" s="2843"/>
    </row>
    <row r="34" spans="1:23" s="2847" customFormat="1" ht="13.15" customHeight="1">
      <c r="A34" s="2925">
        <v>5</v>
      </c>
      <c r="B34" s="2926" t="s">
        <v>2425</v>
      </c>
      <c r="C34" s="2971"/>
      <c r="D34" s="2972"/>
      <c r="E34" s="2973"/>
      <c r="F34" s="2930"/>
      <c r="G34" s="2924"/>
      <c r="H34" s="2952"/>
      <c r="I34" s="2943"/>
      <c r="J34" s="3701" t="s">
        <v>2328</v>
      </c>
      <c r="K34" s="3702"/>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2426</v>
      </c>
      <c r="C35" s="2975"/>
      <c r="D35" s="2976"/>
      <c r="E35" s="2977"/>
      <c r="F35" s="2930"/>
      <c r="G35" s="2978"/>
      <c r="H35" s="2842"/>
      <c r="I35" s="2943"/>
      <c r="J35" s="2861" t="s">
        <v>2330</v>
      </c>
      <c r="K35" s="2862"/>
      <c r="L35" s="2862"/>
      <c r="M35" s="2863"/>
      <c r="N35" s="2863"/>
      <c r="O35" s="2863"/>
      <c r="P35" s="2863"/>
      <c r="Q35" s="2863"/>
      <c r="R35" s="2979">
        <f>R40+R41+R43</f>
        <v>0</v>
      </c>
      <c r="S35" s="2916"/>
      <c r="T35" s="2835" t="s">
        <v>2331</v>
      </c>
      <c r="U35" s="2835"/>
      <c r="V35" s="2843"/>
    </row>
    <row r="36" spans="1:23" s="2847" customFormat="1" ht="13.15" customHeight="1" thickBot="1">
      <c r="A36" s="2925">
        <v>7</v>
      </c>
      <c r="B36" s="2980" t="s">
        <v>2427</v>
      </c>
      <c r="C36" s="2981"/>
      <c r="D36" s="2982"/>
      <c r="E36" s="2983"/>
      <c r="F36" s="2984">
        <f>C36+D36+E36</f>
        <v>0</v>
      </c>
      <c r="G36" s="2924"/>
      <c r="H36" s="2842"/>
      <c r="I36" s="2843"/>
      <c r="J36" s="3706">
        <v>1</v>
      </c>
      <c r="K36" s="3707" t="s">
        <v>2428</v>
      </c>
      <c r="L36" s="2868"/>
      <c r="M36" s="2869"/>
      <c r="N36" s="2869"/>
      <c r="O36" s="2869"/>
      <c r="P36" s="2869"/>
      <c r="Q36" s="2869"/>
      <c r="R36" s="2852" t="s">
        <v>2340</v>
      </c>
      <c r="S36" s="2916"/>
      <c r="T36" s="2835" t="s">
        <v>2341</v>
      </c>
      <c r="U36" s="2835"/>
      <c r="V36" s="2843"/>
    </row>
    <row r="37" spans="1:23" s="2847" customFormat="1" ht="13.15" customHeight="1">
      <c r="A37" s="2925"/>
      <c r="B37" s="2926"/>
      <c r="C37" s="2926"/>
      <c r="D37" s="2926"/>
      <c r="E37" s="2926"/>
      <c r="F37" s="2930"/>
      <c r="G37" s="2924"/>
      <c r="H37" s="2842"/>
      <c r="I37" s="2843"/>
      <c r="J37" s="3706"/>
      <c r="K37" s="3708"/>
      <c r="L37" s="2877"/>
      <c r="M37" s="2878"/>
      <c r="N37" s="2854"/>
      <c r="O37" s="2879"/>
      <c r="P37" s="2879"/>
      <c r="Q37" s="2880"/>
      <c r="R37" s="2881"/>
      <c r="S37" s="2916"/>
      <c r="T37" s="2835" t="s">
        <v>2344</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06"/>
      <c r="K38" s="3708"/>
      <c r="L38" s="2877"/>
      <c r="M38" s="2878"/>
      <c r="N38" s="2854"/>
      <c r="O38" s="2879"/>
      <c r="P38" s="2879"/>
      <c r="Q38" s="2880"/>
      <c r="R38" s="2881"/>
      <c r="S38" s="2916"/>
      <c r="T38" s="2835" t="s">
        <v>2351</v>
      </c>
      <c r="U38" s="2835"/>
      <c r="V38" s="2843"/>
    </row>
    <row r="39" spans="1:23" s="2847" customFormat="1" ht="13.15" customHeight="1">
      <c r="A39" s="2925">
        <v>9</v>
      </c>
      <c r="B39" s="2926" t="s">
        <v>2429</v>
      </c>
      <c r="C39" s="2891" t="e">
        <f>C38</f>
        <v>#DIV/0!</v>
      </c>
      <c r="D39" s="2926">
        <f>D38/(1+D34)^C36</f>
        <v>0</v>
      </c>
      <c r="E39" s="2926">
        <f>E38/(1+E34)^(C36+D36)</f>
        <v>0</v>
      </c>
      <c r="F39" s="2930"/>
      <c r="G39" s="2985"/>
      <c r="H39" s="2842"/>
      <c r="I39" s="2843"/>
      <c r="J39" s="3706"/>
      <c r="K39" s="3708"/>
      <c r="L39" s="2877"/>
      <c r="M39" s="2878"/>
      <c r="N39" s="2854"/>
      <c r="O39" s="2879"/>
      <c r="P39" s="2879"/>
      <c r="Q39" s="2880"/>
      <c r="R39" s="2881"/>
      <c r="S39" s="2916"/>
      <c r="T39" s="2835"/>
      <c r="U39" s="2835"/>
      <c r="V39" s="2843"/>
    </row>
    <row r="40" spans="1:23" s="2847" customFormat="1" ht="13.15" customHeight="1">
      <c r="A40" s="2986">
        <v>10</v>
      </c>
      <c r="B40" s="2926" t="s">
        <v>2430</v>
      </c>
      <c r="C40" s="2987" t="e">
        <f>C39+D39+E39</f>
        <v>#DIV/0!</v>
      </c>
      <c r="D40" s="2988"/>
      <c r="E40" s="2988"/>
      <c r="F40" s="2989"/>
      <c r="G40" s="2924"/>
      <c r="H40" s="2842"/>
      <c r="I40" s="2843"/>
      <c r="J40" s="3706"/>
      <c r="K40" s="3709"/>
      <c r="L40" s="2897" t="s">
        <v>2369</v>
      </c>
      <c r="M40" s="2898"/>
      <c r="N40" s="2898"/>
      <c r="O40" s="2899"/>
      <c r="P40" s="2899"/>
      <c r="Q40" s="2900"/>
      <c r="R40" s="2846">
        <f>SUM(R37:R39)</f>
        <v>0</v>
      </c>
      <c r="S40" s="2916"/>
      <c r="T40" s="2835"/>
      <c r="U40" s="2835"/>
      <c r="V40" s="2843"/>
    </row>
    <row r="41" spans="1:23" s="2847" customFormat="1" ht="13.15" customHeight="1" thickBot="1">
      <c r="A41" s="2990">
        <v>11</v>
      </c>
      <c r="B41" s="2991" t="s">
        <v>2431</v>
      </c>
      <c r="C41" s="2991" t="e">
        <f>ROUND(C40*10000/B4,0)</f>
        <v>#DIV/0!</v>
      </c>
      <c r="D41" s="2992"/>
      <c r="E41" s="2992"/>
      <c r="F41" s="2993"/>
      <c r="G41" s="2994"/>
      <c r="H41" s="2842"/>
      <c r="I41" s="2843"/>
      <c r="J41" s="2938">
        <v>2</v>
      </c>
      <c r="K41" s="2939" t="s">
        <v>2409</v>
      </c>
      <c r="L41" s="2940"/>
      <c r="M41" s="2940"/>
      <c r="N41" s="2940"/>
      <c r="O41" s="2940"/>
      <c r="P41" s="2941"/>
      <c r="Q41" s="2942"/>
      <c r="R41" s="2913">
        <f>ROUND(R40*Q41,0)</f>
        <v>0</v>
      </c>
      <c r="S41" s="2916"/>
      <c r="T41" s="2835"/>
      <c r="U41" s="2950"/>
      <c r="V41" s="2843"/>
    </row>
    <row r="42" spans="1:23" s="2847" customFormat="1" ht="13.15" customHeight="1">
      <c r="G42" s="2994"/>
      <c r="H42" s="2842"/>
      <c r="I42" s="2843"/>
      <c r="J42" s="3716">
        <v>3</v>
      </c>
      <c r="K42" s="2945" t="s">
        <v>2411</v>
      </c>
      <c r="L42" s="2946"/>
      <c r="M42" s="2947"/>
      <c r="N42" s="2948" t="s">
        <v>2412</v>
      </c>
      <c r="O42" s="2948" t="s">
        <v>2413</v>
      </c>
      <c r="P42" s="2949" t="s">
        <v>2414</v>
      </c>
      <c r="Q42" s="2949" t="s">
        <v>2415</v>
      </c>
      <c r="R42" s="2852" t="s">
        <v>2340</v>
      </c>
      <c r="S42" s="2950"/>
      <c r="T42" s="2950"/>
      <c r="U42" s="2835"/>
      <c r="V42" s="2843"/>
    </row>
    <row r="43" spans="1:23" ht="13.15" customHeight="1">
      <c r="A43" s="2847"/>
      <c r="B43" s="2847"/>
      <c r="C43" s="2847"/>
      <c r="D43" s="2847"/>
      <c r="E43" s="2847"/>
      <c r="F43" s="2847"/>
      <c r="I43" s="2830"/>
      <c r="J43" s="3717"/>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2418</v>
      </c>
      <c r="L44" s="2998" t="s">
        <v>2419</v>
      </c>
      <c r="M44" s="2961"/>
      <c r="N44" s="2998" t="s">
        <v>2420</v>
      </c>
      <c r="O44" s="2961"/>
      <c r="P44" s="2998" t="s">
        <v>2421</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1"/>
      <c r="G1" s="1489"/>
      <c r="H1" s="1489"/>
      <c r="I1" s="1489"/>
      <c r="J1" s="1489"/>
      <c r="K1" s="1489"/>
      <c r="L1" s="1489"/>
      <c r="M1" s="1489"/>
      <c r="N1" s="1489"/>
      <c r="O1" s="1489"/>
      <c r="P1" s="1489"/>
      <c r="Q1" s="1489"/>
      <c r="R1" s="1489"/>
      <c r="S1" s="1489"/>
    </row>
    <row r="2" spans="1:22" ht="15.75">
      <c r="A2" s="1870" t="s">
        <v>1462</v>
      </c>
      <c r="B2" s="1871">
        <f ca="1">SUMIF(B6:B13,"&lt;&gt;#ref!",B6:B13)</f>
        <v>149.21719999999999</v>
      </c>
      <c r="C2" s="1872" t="s">
        <v>1651</v>
      </c>
      <c r="D2" s="1873" t="s">
        <v>1652</v>
      </c>
      <c r="E2" s="2601">
        <f>SUM(E6:E13)</f>
        <v>70.150000000000006</v>
      </c>
      <c r="F2" s="2701"/>
      <c r="G2" s="1489"/>
      <c r="H2" s="1489"/>
      <c r="I2" s="1489"/>
      <c r="J2" s="1489"/>
      <c r="K2" s="1489"/>
      <c r="L2" s="1489"/>
      <c r="M2" s="1489"/>
      <c r="N2" s="1489"/>
      <c r="O2" s="1489"/>
      <c r="P2" s="1489"/>
      <c r="Q2" s="1489"/>
      <c r="R2" s="1489"/>
      <c r="S2" s="1489"/>
    </row>
    <row r="3" spans="1:22" ht="15.75">
      <c r="A3" s="1870" t="s">
        <v>686</v>
      </c>
      <c r="B3" s="2595">
        <f ca="1">ROUND(B2*10000/E2,0)</f>
        <v>21271</v>
      </c>
      <c r="C3" s="1872" t="s">
        <v>1659</v>
      </c>
      <c r="D3" s="2703"/>
      <c r="E3" s="2705"/>
      <c r="F3" s="2701"/>
      <c r="G3" s="1489"/>
      <c r="H3" s="1489"/>
      <c r="I3" s="1489"/>
      <c r="J3" s="1489"/>
      <c r="K3" s="1489"/>
      <c r="L3" s="1489"/>
      <c r="M3" s="1489"/>
      <c r="N3" s="1489"/>
      <c r="O3" s="1489"/>
      <c r="P3" s="1489"/>
      <c r="Q3" s="1489"/>
      <c r="R3" s="1489"/>
      <c r="S3" s="1489"/>
    </row>
    <row r="4" spans="1:22" ht="15.75">
      <c r="A4" s="2706"/>
      <c r="B4" s="2703"/>
      <c r="C4" s="2703"/>
      <c r="D4" s="2703"/>
      <c r="E4" s="2705"/>
      <c r="F4" s="2701"/>
      <c r="G4" s="1489"/>
      <c r="H4" s="1489"/>
      <c r="I4" s="1489"/>
      <c r="J4" s="1489"/>
      <c r="K4" s="1489"/>
      <c r="L4" s="1489"/>
      <c r="M4" s="1489"/>
      <c r="N4" s="1489"/>
      <c r="O4" s="1489"/>
      <c r="P4" s="1489"/>
      <c r="Q4" s="1489"/>
      <c r="R4" s="1489"/>
      <c r="S4" s="1489"/>
    </row>
    <row r="5" spans="1:22" ht="15">
      <c r="A5" s="2597" t="s">
        <v>1653</v>
      </c>
      <c r="B5" s="3718" t="s">
        <v>1654</v>
      </c>
      <c r="C5" s="3719"/>
      <c r="D5" s="2702"/>
      <c r="E5" s="1874" t="s">
        <v>1655</v>
      </c>
      <c r="F5" s="1875" t="s">
        <v>1656</v>
      </c>
      <c r="G5" s="1489"/>
      <c r="H5" s="1489"/>
      <c r="I5" s="1489"/>
      <c r="J5" s="1489"/>
      <c r="K5" s="1489"/>
      <c r="L5" s="1489"/>
      <c r="M5" s="1489"/>
      <c r="N5" s="1489"/>
      <c r="O5" s="1489"/>
      <c r="P5" s="1489"/>
      <c r="Q5" s="1489"/>
      <c r="R5" s="1489"/>
      <c r="S5" s="1489"/>
    </row>
    <row r="6" spans="1:22">
      <c r="A6" s="2598" t="str">
        <f>'数据-取费表'!AN6</f>
        <v>收益法 (元)</v>
      </c>
      <c r="B6" s="2596">
        <f ca="1">IF(F6="是",'数据-取费表'!AO6,0)</f>
        <v>149.21719999999999</v>
      </c>
      <c r="C6" s="1872" t="s">
        <v>1651</v>
      </c>
      <c r="D6" s="2703"/>
      <c r="E6" s="2600">
        <f>IF(OR(A6=0,F6="否"),0,'数据-取费表'!K6+'数据-取费表'!S6)</f>
        <v>70.150000000000006</v>
      </c>
      <c r="F6" s="1876" t="s">
        <v>1657</v>
      </c>
      <c r="G6" s="1489"/>
      <c r="H6" s="1489"/>
      <c r="I6" s="1489"/>
      <c r="J6" s="1489"/>
      <c r="K6" s="1489"/>
      <c r="L6" s="1489"/>
      <c r="M6" s="1489"/>
      <c r="N6" s="1489"/>
      <c r="O6" s="1489"/>
      <c r="P6" s="1489"/>
      <c r="Q6" s="1489"/>
      <c r="R6" s="1489"/>
      <c r="S6" s="1489"/>
    </row>
    <row r="7" spans="1:22">
      <c r="A7" s="2598">
        <f>'数据-取费表'!AN7</f>
        <v>0</v>
      </c>
      <c r="B7" s="2596" t="e">
        <f ca="1">IF(F7="是",'数据-取费表'!AO7,0)</f>
        <v>#REF!</v>
      </c>
      <c r="C7" s="1872" t="s">
        <v>1651</v>
      </c>
      <c r="D7" s="2703"/>
      <c r="E7" s="2600">
        <f>IF(OR(A7=0,F7="否"),0,'数据-取费表'!K7+'数据-取费表'!S7)</f>
        <v>0</v>
      </c>
      <c r="F7" s="1876" t="s">
        <v>1657</v>
      </c>
      <c r="G7" s="1489"/>
      <c r="H7" s="1489"/>
      <c r="I7" s="1489"/>
      <c r="J7" s="1489"/>
      <c r="K7" s="1489"/>
      <c r="L7" s="1489"/>
      <c r="M7" s="1489"/>
      <c r="N7" s="1489"/>
      <c r="O7" s="1489"/>
      <c r="P7" s="1489"/>
      <c r="Q7" s="1489"/>
      <c r="R7" s="1489"/>
      <c r="S7" s="1489"/>
    </row>
    <row r="8" spans="1:22">
      <c r="A8" s="2598">
        <f>'数据-取费表'!AN8</f>
        <v>0</v>
      </c>
      <c r="B8" s="2596" t="e">
        <f ca="1">IF(F8="是",'数据-取费表'!AO8,0)</f>
        <v>#REF!</v>
      </c>
      <c r="C8" s="1872" t="s">
        <v>1651</v>
      </c>
      <c r="D8" s="2703"/>
      <c r="E8" s="2600">
        <f>IF(OR(A8=0,F8="否"),0,'数据-取费表'!K8+'数据-取费表'!S8)</f>
        <v>0</v>
      </c>
      <c r="F8" s="1876" t="s">
        <v>1657</v>
      </c>
      <c r="G8" s="1489"/>
      <c r="H8" s="1489"/>
      <c r="I8" s="1489"/>
      <c r="J8" s="1489"/>
      <c r="K8" s="1489"/>
      <c r="L8" s="1489"/>
      <c r="M8" s="1489"/>
      <c r="N8" s="1489"/>
      <c r="O8" s="1489"/>
      <c r="P8" s="1489"/>
      <c r="Q8" s="1489"/>
      <c r="R8" s="1489"/>
      <c r="S8" s="1489"/>
    </row>
    <row r="9" spans="1:22">
      <c r="A9" s="2598">
        <f>'数据-取费表'!AN9</f>
        <v>0</v>
      </c>
      <c r="B9" s="2596" t="e">
        <f ca="1">IF(F9="是",'数据-取费表'!AO9,0)</f>
        <v>#REF!</v>
      </c>
      <c r="C9" s="1872" t="s">
        <v>1651</v>
      </c>
      <c r="D9" s="2703"/>
      <c r="E9" s="2600">
        <f>IF(OR(A9=0,F9="否"),0,'数据-取费表'!K9+'数据-取费表'!S9)</f>
        <v>0</v>
      </c>
      <c r="F9" s="1876" t="s">
        <v>1657</v>
      </c>
      <c r="G9" s="1489"/>
      <c r="H9" s="1489"/>
      <c r="I9" s="1489"/>
      <c r="J9" s="1489"/>
      <c r="K9" s="1489"/>
      <c r="L9" s="1489"/>
      <c r="M9" s="1489"/>
      <c r="N9" s="1489"/>
      <c r="O9" s="1489"/>
      <c r="P9" s="1489"/>
      <c r="Q9" s="1489"/>
      <c r="R9" s="1489"/>
      <c r="S9" s="1489"/>
    </row>
    <row r="10" spans="1:22">
      <c r="A10" s="2598">
        <f>'数据-取费表'!AN10</f>
        <v>0</v>
      </c>
      <c r="B10" s="2596" t="e">
        <f ca="1">IF(F10="是",'数据-取费表'!AO10,0)</f>
        <v>#REF!</v>
      </c>
      <c r="C10" s="1872" t="s">
        <v>1651</v>
      </c>
      <c r="D10" s="2703"/>
      <c r="E10" s="2600">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598">
        <f>'数据-取费表'!AN11</f>
        <v>0</v>
      </c>
      <c r="B11" s="2596" t="e">
        <f ca="1">IF(F11="是",'数据-取费表'!AO11,0)</f>
        <v>#REF!</v>
      </c>
      <c r="C11" s="1872" t="s">
        <v>1651</v>
      </c>
      <c r="D11" s="2703"/>
      <c r="E11" s="2600">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598">
        <f>'数据-取费表'!AN12</f>
        <v>0</v>
      </c>
      <c r="B12" s="2596" t="e">
        <f ca="1">IF(F12="是",'数据-取费表'!AO12,0)</f>
        <v>#REF!</v>
      </c>
      <c r="C12" s="1872" t="s">
        <v>1651</v>
      </c>
      <c r="D12" s="2703"/>
      <c r="E12" s="2600">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599">
        <f>'数据-取费表'!AN13</f>
        <v>0</v>
      </c>
      <c r="B13" s="2596" t="e">
        <f ca="1">IF(F13="是",'数据-取费表'!AO13,0)</f>
        <v>#REF!</v>
      </c>
      <c r="C13" s="1877" t="s">
        <v>1651</v>
      </c>
      <c r="D13" s="2704"/>
      <c r="E13" s="2600">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0"/>
      <c r="F1" s="1879"/>
      <c r="G1" s="1235" t="s">
        <v>1767</v>
      </c>
      <c r="H1" s="1234"/>
      <c r="I1" s="1234"/>
      <c r="J1" s="1234"/>
      <c r="K1" s="1236"/>
      <c r="L1" s="1237"/>
      <c r="M1" s="1238"/>
      <c r="N1" s="1238"/>
      <c r="O1" s="1238"/>
      <c r="P1" s="1946"/>
      <c r="Q1" s="1947"/>
      <c r="R1" s="1947"/>
      <c r="S1" s="1947"/>
      <c r="T1" s="1947"/>
      <c r="U1" s="1947"/>
      <c r="V1" s="1947"/>
      <c r="W1" s="1947"/>
      <c r="X1" s="1947"/>
      <c r="Y1" s="1947"/>
      <c r="Z1" s="1947"/>
      <c r="AA1" s="1947"/>
      <c r="AB1" s="1947"/>
      <c r="AC1" s="1948"/>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70.150000000000006</v>
      </c>
      <c r="E3" s="1951"/>
      <c r="F3" s="909"/>
      <c r="G3" s="908"/>
      <c r="H3" s="908"/>
      <c r="I3" s="908"/>
      <c r="J3" s="908"/>
      <c r="K3" s="910"/>
      <c r="L3" s="2728"/>
      <c r="M3" s="2729"/>
      <c r="N3" s="2729"/>
      <c r="O3" s="2729"/>
      <c r="P3" s="1949"/>
      <c r="Q3" s="912"/>
      <c r="R3" s="912"/>
      <c r="S3" s="912"/>
      <c r="T3" s="912"/>
      <c r="U3" s="912"/>
      <c r="V3" s="912"/>
      <c r="W3" s="912"/>
      <c r="X3" s="912"/>
      <c r="Y3" s="912"/>
      <c r="Z3" s="912"/>
      <c r="AA3" s="912"/>
      <c r="AB3" s="912"/>
      <c r="AC3" s="1951"/>
    </row>
    <row r="4" spans="1:29" ht="15">
      <c r="A4" s="355" t="s">
        <v>1769</v>
      </c>
      <c r="B4" s="356"/>
      <c r="C4" s="3666" t="s">
        <v>1770</v>
      </c>
      <c r="D4" s="3667"/>
      <c r="E4" s="3668" t="s">
        <v>1771</v>
      </c>
      <c r="F4" s="3669"/>
      <c r="G4" s="3666" t="s">
        <v>1772</v>
      </c>
      <c r="H4" s="3667"/>
      <c r="I4" s="3666" t="s">
        <v>1773</v>
      </c>
      <c r="J4" s="3667"/>
      <c r="K4" s="559" t="s">
        <v>1774</v>
      </c>
      <c r="L4" s="2709"/>
      <c r="M4" s="2710"/>
      <c r="N4" s="2710"/>
      <c r="O4" s="2710"/>
      <c r="P4" s="3670" t="s">
        <v>1775</v>
      </c>
      <c r="Q4" s="3671"/>
      <c r="R4" s="3653" t="s">
        <v>1771</v>
      </c>
      <c r="S4" s="3654"/>
      <c r="T4" s="3653" t="s">
        <v>1772</v>
      </c>
      <c r="U4" s="3654"/>
      <c r="V4" s="3678" t="s">
        <v>1773</v>
      </c>
      <c r="W4" s="3678"/>
      <c r="X4" s="1355"/>
      <c r="Y4" s="3653" t="s">
        <v>1775</v>
      </c>
      <c r="Z4" s="3654"/>
      <c r="AA4" s="3648" t="s">
        <v>1771</v>
      </c>
      <c r="AB4" s="3678" t="s">
        <v>1772</v>
      </c>
      <c r="AC4" s="3648" t="s">
        <v>1773</v>
      </c>
    </row>
    <row r="5" spans="1:29" ht="15">
      <c r="A5" s="358"/>
      <c r="B5" s="359"/>
      <c r="C5" s="3659" t="s">
        <v>1673</v>
      </c>
      <c r="D5" s="3660"/>
      <c r="E5" s="3657" t="s">
        <v>1674</v>
      </c>
      <c r="F5" s="3658"/>
      <c r="G5" s="3659" t="s">
        <v>1675</v>
      </c>
      <c r="H5" s="3660"/>
      <c r="I5" s="3659" t="s">
        <v>1676</v>
      </c>
      <c r="J5" s="3660"/>
      <c r="K5" s="559"/>
      <c r="L5" s="2709"/>
      <c r="M5" s="2710"/>
      <c r="N5" s="2710"/>
      <c r="O5" s="2710"/>
      <c r="P5" s="3672"/>
      <c r="Q5" s="3673"/>
      <c r="R5" s="3655"/>
      <c r="S5" s="3656"/>
      <c r="T5" s="3655"/>
      <c r="U5" s="3656"/>
      <c r="V5" s="3678"/>
      <c r="W5" s="3678"/>
      <c r="X5" s="1355"/>
      <c r="Y5" s="3655"/>
      <c r="Z5" s="3656"/>
      <c r="AA5" s="3649"/>
      <c r="AB5" s="3678"/>
      <c r="AC5" s="3649"/>
    </row>
    <row r="6" spans="1:29" ht="15.75" thickBot="1">
      <c r="A6" s="360"/>
      <c r="B6" s="361"/>
      <c r="C6" s="3661" t="s">
        <v>1677</v>
      </c>
      <c r="D6" s="3662"/>
      <c r="E6" s="3663" t="s">
        <v>1677</v>
      </c>
      <c r="F6" s="3664"/>
      <c r="G6" s="3661" t="s">
        <v>1677</v>
      </c>
      <c r="H6" s="3662"/>
      <c r="I6" s="3661" t="s">
        <v>1677</v>
      </c>
      <c r="J6" s="3662"/>
      <c r="K6" s="559" t="s">
        <v>1678</v>
      </c>
      <c r="L6" s="2709"/>
      <c r="M6" s="2710"/>
      <c r="N6" s="2710"/>
      <c r="O6" s="2710"/>
      <c r="P6" s="3674"/>
      <c r="Q6" s="3675"/>
      <c r="R6" s="3655"/>
      <c r="S6" s="3656"/>
      <c r="T6" s="3676"/>
      <c r="U6" s="3677"/>
      <c r="V6" s="3678"/>
      <c r="W6" s="3678"/>
      <c r="X6" s="1355"/>
      <c r="Y6" s="3676"/>
      <c r="Z6" s="3677"/>
      <c r="AA6" s="3650"/>
      <c r="AB6" s="3678"/>
      <c r="AC6" s="3650"/>
    </row>
    <row r="7" spans="1:29" s="108" customFormat="1" ht="15.75" thickBot="1">
      <c r="A7" s="362" t="s">
        <v>1679</v>
      </c>
      <c r="B7" s="363"/>
      <c r="C7" s="364">
        <f>'数据-取费表'!B2</f>
        <v>45013</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51" t="s">
        <v>1680</v>
      </c>
      <c r="Q7" s="3679"/>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51" t="s">
        <v>1683</v>
      </c>
      <c r="Q8" s="3652"/>
      <c r="R8" s="701" t="s">
        <v>14</v>
      </c>
      <c r="S8" s="702">
        <f t="shared" si="0"/>
        <v>100</v>
      </c>
      <c r="T8" s="701" t="s">
        <v>14</v>
      </c>
      <c r="U8" s="702">
        <f t="shared" si="1"/>
        <v>100</v>
      </c>
      <c r="V8" s="701" t="s">
        <v>14</v>
      </c>
      <c r="W8" s="702">
        <f t="shared" si="2"/>
        <v>100</v>
      </c>
      <c r="X8" s="703"/>
      <c r="Y8" s="3651" t="s">
        <v>1683</v>
      </c>
      <c r="Z8" s="36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5"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5"/>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5"/>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99.75">
      <c r="A15" s="391" t="s">
        <v>1690</v>
      </c>
      <c r="B15" s="61" t="s">
        <v>1777</v>
      </c>
      <c r="C15" s="1895" t="str">
        <f>估价对象房地状况!C4</f>
        <v>估价对象位于望京商圈，周边商业氛围成熟，有望京SOHO、悠乐汇等，人流量大，商业繁华度好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92" t="s">
        <v>1691</v>
      </c>
      <c r="Q15" s="1352" t="str">
        <f t="shared" si="6"/>
        <v>商业繁华度</v>
      </c>
      <c r="R15" s="705" t="s">
        <v>14</v>
      </c>
      <c r="S15" s="706">
        <f t="shared" si="0"/>
        <v>100</v>
      </c>
      <c r="T15" s="705" t="s">
        <v>14</v>
      </c>
      <c r="U15" s="706">
        <f t="shared" si="1"/>
        <v>100</v>
      </c>
      <c r="V15" s="705" t="s">
        <v>14</v>
      </c>
      <c r="W15" s="706">
        <f t="shared" si="2"/>
        <v>100</v>
      </c>
      <c r="X15" s="1355"/>
      <c r="Y15" s="368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6"/>
      <c r="M16" s="2710"/>
      <c r="N16" s="2710"/>
      <c r="O16" s="2710"/>
      <c r="P16" s="3693"/>
      <c r="Q16" s="1352"/>
      <c r="R16" s="705"/>
      <c r="S16" s="706"/>
      <c r="T16" s="705"/>
      <c r="U16" s="706"/>
      <c r="V16" s="705"/>
      <c r="W16" s="706"/>
      <c r="X16" s="1355"/>
      <c r="Y16" s="3686"/>
      <c r="Z16" s="1356"/>
      <c r="AA16" s="1353">
        <v>1</v>
      </c>
      <c r="AB16" s="1353">
        <v>1</v>
      </c>
      <c r="AC16" s="1353">
        <v>1</v>
      </c>
    </row>
    <row r="17" spans="1:29" ht="228">
      <c r="A17" s="379"/>
      <c r="B17" s="402" t="s">
        <v>1259</v>
      </c>
      <c r="C17" s="1899"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16"/>
      <c r="M18" s="2710"/>
      <c r="N18" s="2710"/>
      <c r="O18" s="2710"/>
      <c r="P18" s="3693"/>
      <c r="Q18" s="1352"/>
      <c r="R18" s="705"/>
      <c r="S18" s="706"/>
      <c r="T18" s="705"/>
      <c r="U18" s="706"/>
      <c r="V18" s="705"/>
      <c r="W18" s="706"/>
      <c r="X18" s="1355"/>
      <c r="Y18" s="3686"/>
      <c r="Z18" s="1356"/>
      <c r="AA18" s="1353">
        <v>1</v>
      </c>
      <c r="AB18" s="1353">
        <v>1</v>
      </c>
      <c r="AC18" s="1353">
        <v>1</v>
      </c>
    </row>
    <row r="19" spans="1:29" ht="342">
      <c r="A19" s="379"/>
      <c r="B19" s="402" t="s">
        <v>1778</v>
      </c>
      <c r="C19" s="1899"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16"/>
      <c r="M20" s="2710"/>
      <c r="N20" s="2710"/>
      <c r="O20" s="2710"/>
      <c r="P20" s="3693"/>
      <c r="Q20" s="1352"/>
      <c r="R20" s="705"/>
      <c r="S20" s="706"/>
      <c r="T20" s="705"/>
      <c r="U20" s="706"/>
      <c r="V20" s="705"/>
      <c r="W20" s="706"/>
      <c r="X20" s="1355"/>
      <c r="Y20" s="3686"/>
      <c r="Z20" s="1356"/>
      <c r="AA20" s="1353">
        <v>1</v>
      </c>
      <c r="AB20" s="1353">
        <v>1</v>
      </c>
      <c r="AC20" s="1353">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16"/>
      <c r="M22" s="2710"/>
      <c r="N22" s="2710"/>
      <c r="O22" s="2710"/>
      <c r="P22" s="3693"/>
      <c r="Q22" s="1352"/>
      <c r="R22" s="705"/>
      <c r="S22" s="706"/>
      <c r="T22" s="705"/>
      <c r="U22" s="706"/>
      <c r="V22" s="705"/>
      <c r="W22" s="706"/>
      <c r="X22" s="1355"/>
      <c r="Y22" s="3686"/>
      <c r="Z22" s="1356"/>
      <c r="AA22" s="1353">
        <v>1</v>
      </c>
      <c r="AB22" s="1353">
        <v>1</v>
      </c>
      <c r="AC22" s="1353">
        <v>1</v>
      </c>
    </row>
    <row r="23" spans="1:29" ht="85.5">
      <c r="A23" s="379"/>
      <c r="B23" s="402" t="s">
        <v>1261</v>
      </c>
      <c r="C23" s="1952" t="str">
        <f>估价对象房地状况!C9</f>
        <v xml:space="preserve">有望京文化体育公园等自然、人文设施；
综上，自然及人文环境一般。
</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93"/>
      <c r="Q23" s="1352" t="str">
        <f>B23</f>
        <v>自然及人文环境</v>
      </c>
      <c r="R23" s="705" t="s">
        <v>14</v>
      </c>
      <c r="S23" s="706">
        <f>F23</f>
        <v>100</v>
      </c>
      <c r="T23" s="705" t="s">
        <v>14</v>
      </c>
      <c r="U23" s="706">
        <f>H23</f>
        <v>100</v>
      </c>
      <c r="V23" s="705" t="s">
        <v>14</v>
      </c>
      <c r="W23" s="706">
        <f>J23</f>
        <v>100</v>
      </c>
      <c r="X23" s="1355"/>
      <c r="Y23" s="3686"/>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16"/>
      <c r="M24" s="2710"/>
      <c r="N24" s="2710"/>
      <c r="O24" s="2710"/>
      <c r="P24" s="3693"/>
      <c r="Q24" s="1352"/>
      <c r="R24" s="705"/>
      <c r="S24" s="706"/>
      <c r="T24" s="705"/>
      <c r="U24" s="706"/>
      <c r="V24" s="705"/>
      <c r="W24" s="706"/>
      <c r="X24" s="1355"/>
      <c r="Y24" s="368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93"/>
      <c r="Q25" s="1352" t="str">
        <f t="shared" ref="Q25:Q46" si="11">B25</f>
        <v>临街状况</v>
      </c>
      <c r="R25" s="705" t="s">
        <v>14</v>
      </c>
      <c r="S25" s="706">
        <f>F25</f>
        <v>100</v>
      </c>
      <c r="T25" s="705" t="s">
        <v>14</v>
      </c>
      <c r="U25" s="706">
        <f>H25</f>
        <v>100</v>
      </c>
      <c r="V25" s="705" t="s">
        <v>14</v>
      </c>
      <c r="W25" s="706">
        <f>J25</f>
        <v>100</v>
      </c>
      <c r="X25" s="1355"/>
      <c r="Y25" s="368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93"/>
      <c r="Q26" s="1352" t="str">
        <f t="shared" si="11"/>
        <v>平面位置/可视性</v>
      </c>
      <c r="R26" s="705" t="s">
        <v>14</v>
      </c>
      <c r="S26" s="706">
        <f>F26</f>
        <v>100</v>
      </c>
      <c r="T26" s="705" t="s">
        <v>14</v>
      </c>
      <c r="U26" s="706">
        <f>H26</f>
        <v>100</v>
      </c>
      <c r="V26" s="705" t="s">
        <v>14</v>
      </c>
      <c r="W26" s="706">
        <f>J26</f>
        <v>100</v>
      </c>
      <c r="X26" s="1355"/>
      <c r="Y26" s="3686"/>
      <c r="Z26" s="1356" t="str">
        <f>Q26</f>
        <v>平面位置/可视性</v>
      </c>
      <c r="AA26" s="1353">
        <f t="shared" si="3"/>
        <v>1</v>
      </c>
      <c r="AB26" s="1353">
        <f t="shared" si="4"/>
        <v>1</v>
      </c>
      <c r="AC26" s="1353">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11"/>
      <c r="M27" s="2712"/>
      <c r="N27" s="2712"/>
      <c r="O27" s="2712"/>
      <c r="P27" s="3693"/>
      <c r="Q27" s="1343" t="str">
        <f t="shared" si="11"/>
        <v>人流量</v>
      </c>
      <c r="R27" s="701" t="s">
        <v>14</v>
      </c>
      <c r="S27" s="702">
        <f>F27</f>
        <v>100</v>
      </c>
      <c r="T27" s="701" t="s">
        <v>14</v>
      </c>
      <c r="U27" s="702">
        <f>H27</f>
        <v>100</v>
      </c>
      <c r="V27" s="701" t="s">
        <v>14</v>
      </c>
      <c r="W27" s="702">
        <f>J27</f>
        <v>100</v>
      </c>
      <c r="X27" s="703"/>
      <c r="Y27" s="368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9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93"/>
      <c r="Q29" s="1352">
        <f t="shared" si="11"/>
        <v>111</v>
      </c>
      <c r="R29" s="705" t="s">
        <v>14</v>
      </c>
      <c r="S29" s="706">
        <f t="shared" si="12"/>
        <v>100</v>
      </c>
      <c r="T29" s="705" t="s">
        <v>14</v>
      </c>
      <c r="U29" s="706">
        <f t="shared" si="13"/>
        <v>100</v>
      </c>
      <c r="V29" s="705" t="s">
        <v>14</v>
      </c>
      <c r="W29" s="706">
        <f t="shared" si="14"/>
        <v>100</v>
      </c>
      <c r="X29" s="1355"/>
      <c r="Y29" s="368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353">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6"/>
      <c r="M32" s="2710"/>
      <c r="N32" s="2710"/>
      <c r="O32" s="2710"/>
      <c r="P32" s="3687" t="s">
        <v>1696</v>
      </c>
      <c r="Q32" s="1352" t="str">
        <f t="shared" si="11"/>
        <v>商业类型</v>
      </c>
      <c r="R32" s="705" t="s">
        <v>14</v>
      </c>
      <c r="S32" s="706">
        <f t="shared" si="12"/>
        <v>100</v>
      </c>
      <c r="T32" s="705" t="s">
        <v>14</v>
      </c>
      <c r="U32" s="706">
        <f t="shared" si="13"/>
        <v>100</v>
      </c>
      <c r="V32" s="705" t="s">
        <v>14</v>
      </c>
      <c r="W32" s="706">
        <f t="shared" si="14"/>
        <v>100</v>
      </c>
      <c r="X32" s="1355"/>
      <c r="Y32" s="369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88"/>
      <c r="Q33" s="707" t="str">
        <f t="shared" si="11"/>
        <v>项目建筑规模</v>
      </c>
      <c r="R33" s="708" t="s">
        <v>14</v>
      </c>
      <c r="S33" s="709" t="e">
        <f t="shared" si="12"/>
        <v>#N/A</v>
      </c>
      <c r="T33" s="708" t="s">
        <v>14</v>
      </c>
      <c r="U33" s="709" t="e">
        <f t="shared" si="13"/>
        <v>#N/A</v>
      </c>
      <c r="V33" s="708" t="s">
        <v>14</v>
      </c>
      <c r="W33" s="709" t="e">
        <f t="shared" si="14"/>
        <v>#N/A</v>
      </c>
      <c r="X33" s="710"/>
      <c r="Y33" s="3690"/>
      <c r="Z33" s="711" t="str">
        <f t="shared" si="15"/>
        <v>项目建筑规模</v>
      </c>
      <c r="AA33" s="1353" t="e">
        <f t="shared" si="3"/>
        <v>#N/A</v>
      </c>
      <c r="AB33" s="1353" t="e">
        <f t="shared" si="4"/>
        <v>#N/A</v>
      </c>
      <c r="AC33" s="1353"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6"/>
      <c r="M34" s="2710"/>
      <c r="N34" s="2710"/>
      <c r="O34" s="2710"/>
      <c r="P34" s="3688"/>
      <c r="Q34" s="1352" t="str">
        <f t="shared" si="11"/>
        <v>建筑结构</v>
      </c>
      <c r="R34" s="705" t="s">
        <v>14</v>
      </c>
      <c r="S34" s="706">
        <f t="shared" si="12"/>
        <v>100</v>
      </c>
      <c r="T34" s="705" t="s">
        <v>14</v>
      </c>
      <c r="U34" s="706">
        <f t="shared" si="13"/>
        <v>100</v>
      </c>
      <c r="V34" s="705" t="s">
        <v>14</v>
      </c>
      <c r="W34" s="706">
        <f t="shared" si="14"/>
        <v>100</v>
      </c>
      <c r="X34" s="1355"/>
      <c r="Y34" s="3690"/>
      <c r="Z34" s="1356" t="str">
        <f t="shared" si="15"/>
        <v>建筑结构</v>
      </c>
      <c r="AA34" s="1353">
        <f t="shared" si="3"/>
        <v>1</v>
      </c>
      <c r="AB34" s="1353">
        <f t="shared" si="4"/>
        <v>1</v>
      </c>
      <c r="AC34" s="1353">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6"/>
      <c r="M35" s="2710"/>
      <c r="N35" s="2710"/>
      <c r="O35" s="2710"/>
      <c r="P35" s="3688"/>
      <c r="Q35" s="1352" t="str">
        <f t="shared" si="11"/>
        <v>公共部分装修</v>
      </c>
      <c r="R35" s="705" t="s">
        <v>14</v>
      </c>
      <c r="S35" s="706">
        <f t="shared" si="12"/>
        <v>100</v>
      </c>
      <c r="T35" s="705" t="s">
        <v>14</v>
      </c>
      <c r="U35" s="706">
        <f t="shared" si="13"/>
        <v>100</v>
      </c>
      <c r="V35" s="705" t="s">
        <v>14</v>
      </c>
      <c r="W35" s="706">
        <f t="shared" si="14"/>
        <v>100</v>
      </c>
      <c r="X35" s="1355"/>
      <c r="Y35" s="369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88"/>
      <c r="Q36" s="1352" t="str">
        <f t="shared" si="11"/>
        <v>成新度</v>
      </c>
      <c r="R36" s="705" t="s">
        <v>14</v>
      </c>
      <c r="S36" s="706" t="e">
        <f t="shared" si="12"/>
        <v>#N/A</v>
      </c>
      <c r="T36" s="705" t="s">
        <v>14</v>
      </c>
      <c r="U36" s="706" t="e">
        <f t="shared" si="13"/>
        <v>#N/A</v>
      </c>
      <c r="V36" s="705" t="s">
        <v>14</v>
      </c>
      <c r="W36" s="706" t="e">
        <f t="shared" si="14"/>
        <v>#N/A</v>
      </c>
      <c r="X36" s="1355"/>
      <c r="Y36" s="3690"/>
      <c r="Z36" s="1356" t="str">
        <f t="shared" si="15"/>
        <v>成新度</v>
      </c>
      <c r="AA36" s="1353" t="e">
        <f t="shared" si="3"/>
        <v>#N/A</v>
      </c>
      <c r="AB36" s="1353" t="e">
        <f t="shared" si="4"/>
        <v>#N/A</v>
      </c>
      <c r="AC36" s="1353"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1"/>
      <c r="M37" s="2712"/>
      <c r="N37" s="2712"/>
      <c r="O37" s="2712"/>
      <c r="P37" s="3688"/>
      <c r="Q37" s="1343" t="str">
        <f t="shared" si="11"/>
        <v>市政基础设施</v>
      </c>
      <c r="R37" s="701" t="s">
        <v>14</v>
      </c>
      <c r="S37" s="702">
        <f t="shared" si="12"/>
        <v>100</v>
      </c>
      <c r="T37" s="701" t="s">
        <v>14</v>
      </c>
      <c r="U37" s="702">
        <f t="shared" si="13"/>
        <v>100</v>
      </c>
      <c r="V37" s="701" t="s">
        <v>14</v>
      </c>
      <c r="W37" s="702">
        <f t="shared" si="14"/>
        <v>100</v>
      </c>
      <c r="X37" s="703"/>
      <c r="Y37" s="369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6"/>
      <c r="M38" s="2710"/>
      <c r="N38" s="2710"/>
      <c r="O38" s="2710"/>
      <c r="P38" s="3688" t="s">
        <v>1696</v>
      </c>
      <c r="Q38" s="1352" t="str">
        <f t="shared" si="11"/>
        <v>业态</v>
      </c>
      <c r="R38" s="705" t="s">
        <v>14</v>
      </c>
      <c r="S38" s="706">
        <f t="shared" si="12"/>
        <v>100</v>
      </c>
      <c r="T38" s="705" t="s">
        <v>14</v>
      </c>
      <c r="U38" s="706">
        <f t="shared" si="13"/>
        <v>100</v>
      </c>
      <c r="V38" s="705" t="s">
        <v>14</v>
      </c>
      <c r="W38" s="706">
        <f t="shared" si="14"/>
        <v>100</v>
      </c>
      <c r="X38" s="1355"/>
      <c r="Y38" s="3690" t="s">
        <v>1696</v>
      </c>
      <c r="Z38" s="1356" t="str">
        <f t="shared" si="15"/>
        <v>业态</v>
      </c>
      <c r="AA38" s="1353">
        <f t="shared" si="3"/>
        <v>1</v>
      </c>
      <c r="AB38" s="1353">
        <f t="shared" si="4"/>
        <v>1</v>
      </c>
      <c r="AC38" s="1353">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6"/>
      <c r="M39" s="2710"/>
      <c r="N39" s="2710"/>
      <c r="O39" s="2710"/>
      <c r="P39" s="3688"/>
      <c r="Q39" s="1352" t="str">
        <f t="shared" si="11"/>
        <v>层高</v>
      </c>
      <c r="R39" s="705" t="s">
        <v>14</v>
      </c>
      <c r="S39" s="706">
        <f t="shared" si="12"/>
        <v>100</v>
      </c>
      <c r="T39" s="705" t="s">
        <v>14</v>
      </c>
      <c r="U39" s="706">
        <f t="shared" si="13"/>
        <v>100</v>
      </c>
      <c r="V39" s="705" t="s">
        <v>14</v>
      </c>
      <c r="W39" s="706">
        <f t="shared" si="14"/>
        <v>100</v>
      </c>
      <c r="X39" s="1355"/>
      <c r="Y39" s="369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88"/>
      <c r="Q40" s="1352" t="str">
        <f t="shared" si="11"/>
        <v>单套建筑面积</v>
      </c>
      <c r="R40" s="705" t="s">
        <v>14</v>
      </c>
      <c r="S40" s="706">
        <f t="shared" si="12"/>
        <v>100</v>
      </c>
      <c r="T40" s="705" t="s">
        <v>14</v>
      </c>
      <c r="U40" s="706">
        <f t="shared" si="13"/>
        <v>100</v>
      </c>
      <c r="V40" s="705" t="s">
        <v>14</v>
      </c>
      <c r="W40" s="706">
        <f t="shared" si="14"/>
        <v>100</v>
      </c>
      <c r="X40" s="1355"/>
      <c r="Y40" s="369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88"/>
      <c r="Q41" s="707" t="str">
        <f t="shared" si="11"/>
        <v>进深比</v>
      </c>
      <c r="R41" s="708" t="s">
        <v>14</v>
      </c>
      <c r="S41" s="709">
        <f t="shared" si="12"/>
        <v>100</v>
      </c>
      <c r="T41" s="708" t="s">
        <v>14</v>
      </c>
      <c r="U41" s="709">
        <f t="shared" si="13"/>
        <v>100</v>
      </c>
      <c r="V41" s="708" t="s">
        <v>14</v>
      </c>
      <c r="W41" s="709">
        <f t="shared" si="14"/>
        <v>100</v>
      </c>
      <c r="X41" s="710"/>
      <c r="Y41" s="3690"/>
      <c r="Z41" s="711" t="str">
        <f t="shared" si="15"/>
        <v>进深比</v>
      </c>
      <c r="AA41" s="1353">
        <f t="shared" si="3"/>
        <v>1</v>
      </c>
      <c r="AB41" s="1353">
        <f t="shared" si="4"/>
        <v>1</v>
      </c>
      <c r="AC41" s="1353">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6"/>
      <c r="M42" s="2710"/>
      <c r="N42" s="2710"/>
      <c r="O42" s="2710"/>
      <c r="P42" s="3688"/>
      <c r="Q42" s="1352" t="str">
        <f t="shared" si="11"/>
        <v>内部装修</v>
      </c>
      <c r="R42" s="705" t="s">
        <v>14</v>
      </c>
      <c r="S42" s="706">
        <f t="shared" si="12"/>
        <v>100</v>
      </c>
      <c r="T42" s="705" t="s">
        <v>14</v>
      </c>
      <c r="U42" s="706">
        <f t="shared" si="13"/>
        <v>100</v>
      </c>
      <c r="V42" s="705" t="s">
        <v>14</v>
      </c>
      <c r="W42" s="706">
        <f t="shared" si="14"/>
        <v>100</v>
      </c>
      <c r="X42" s="1355"/>
      <c r="Y42" s="3690"/>
      <c r="Z42" s="1356" t="str">
        <f t="shared" si="15"/>
        <v>内部装修</v>
      </c>
      <c r="AA42" s="1353">
        <f t="shared" si="3"/>
        <v>1</v>
      </c>
      <c r="AB42" s="1353">
        <f t="shared" si="4"/>
        <v>1</v>
      </c>
      <c r="AC42" s="1353">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6"/>
      <c r="M43" s="2710"/>
      <c r="N43" s="2710"/>
      <c r="O43" s="2710"/>
      <c r="P43" s="3688"/>
      <c r="Q43" s="1352" t="str">
        <f t="shared" si="11"/>
        <v>内部装修维护情况</v>
      </c>
      <c r="R43" s="705" t="s">
        <v>14</v>
      </c>
      <c r="S43" s="706">
        <f t="shared" si="12"/>
        <v>100</v>
      </c>
      <c r="T43" s="705" t="s">
        <v>14</v>
      </c>
      <c r="U43" s="706">
        <f t="shared" si="13"/>
        <v>100</v>
      </c>
      <c r="V43" s="705" t="s">
        <v>14</v>
      </c>
      <c r="W43" s="706">
        <f t="shared" si="14"/>
        <v>100</v>
      </c>
      <c r="X43" s="1355"/>
      <c r="Y43" s="369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88"/>
      <c r="Q44" s="1343">
        <f t="shared" si="11"/>
        <v>111</v>
      </c>
      <c r="R44" s="701" t="s">
        <v>14</v>
      </c>
      <c r="S44" s="702">
        <f t="shared" si="12"/>
        <v>100</v>
      </c>
      <c r="T44" s="701" t="s">
        <v>14</v>
      </c>
      <c r="U44" s="702">
        <f t="shared" si="13"/>
        <v>100</v>
      </c>
      <c r="V44" s="701" t="s">
        <v>14</v>
      </c>
      <c r="W44" s="702">
        <f t="shared" si="14"/>
        <v>100</v>
      </c>
      <c r="X44" s="703"/>
      <c r="Y44" s="369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88"/>
      <c r="Q45" s="1352">
        <f t="shared" si="11"/>
        <v>111</v>
      </c>
      <c r="R45" s="705" t="s">
        <v>14</v>
      </c>
      <c r="S45" s="706">
        <f t="shared" si="12"/>
        <v>100</v>
      </c>
      <c r="T45" s="705" t="s">
        <v>14</v>
      </c>
      <c r="U45" s="706">
        <f t="shared" si="13"/>
        <v>100</v>
      </c>
      <c r="V45" s="705" t="s">
        <v>14</v>
      </c>
      <c r="W45" s="706">
        <f t="shared" si="14"/>
        <v>100</v>
      </c>
      <c r="X45" s="1355"/>
      <c r="Y45" s="3690"/>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89"/>
      <c r="Q46" s="1352">
        <f t="shared" si="11"/>
        <v>111</v>
      </c>
      <c r="R46" s="705" t="s">
        <v>14</v>
      </c>
      <c r="S46" s="706">
        <f t="shared" si="12"/>
        <v>100</v>
      </c>
      <c r="T46" s="705" t="s">
        <v>14</v>
      </c>
      <c r="U46" s="706">
        <f t="shared" si="13"/>
        <v>100</v>
      </c>
      <c r="V46" s="705" t="s">
        <v>14</v>
      </c>
      <c r="W46" s="706">
        <f t="shared" si="14"/>
        <v>100</v>
      </c>
      <c r="X46" s="1355"/>
      <c r="Y46" s="369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18"/>
      <c r="M47" s="2719"/>
      <c r="N47" s="2710"/>
      <c r="O47" s="2719"/>
      <c r="P47" s="3683" t="str">
        <f>A47</f>
        <v>成交单价（元/平方米）</v>
      </c>
      <c r="Q47" s="3683"/>
      <c r="R47" s="3678">
        <f>E47</f>
        <v>0</v>
      </c>
      <c r="S47" s="3678"/>
      <c r="T47" s="3678">
        <f>G47</f>
        <v>0</v>
      </c>
      <c r="U47" s="3678"/>
      <c r="V47" s="3678">
        <f>I47</f>
        <v>0</v>
      </c>
      <c r="W47" s="3678"/>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8"/>
      <c r="M48" s="2719"/>
      <c r="N48" s="2710"/>
      <c r="O48" s="2719"/>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8"/>
      <c r="M49" s="2719"/>
      <c r="N49" s="2710"/>
      <c r="O49" s="2719"/>
      <c r="P49" s="3680" t="str">
        <f>A49</f>
        <v>估价对象XX用房的比较价值（楼面单价，元/平方米）</v>
      </c>
      <c r="Q49" s="3681"/>
      <c r="R49" s="3682" t="e">
        <f>IF(F1="售价",ROUND(IF(D48="简单平均",AVERAGE(R48:V48),R48*F48+T48*H48+V48*J48),0),ROUND(IF(D48="简单平均",AVERAGE(R48:V48),R48*F48+T48*H48+V48*J48),1))</f>
        <v>#DIV/0!</v>
      </c>
      <c r="S49" s="3682"/>
      <c r="T49" s="3682"/>
      <c r="U49" s="3682"/>
      <c r="V49" s="3682"/>
      <c r="W49" s="3682"/>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42"/>
      <c r="M57" s="940"/>
      <c r="N57" s="940"/>
      <c r="O57" s="940"/>
      <c r="P57" s="2732"/>
      <c r="Q57" s="2733"/>
      <c r="R57" s="2719"/>
      <c r="S57" s="2719"/>
      <c r="T57" s="2719"/>
      <c r="U57" s="2719"/>
      <c r="V57" s="2719"/>
      <c r="W57" s="2719"/>
      <c r="X57" s="2719"/>
      <c r="Y57" s="2719"/>
      <c r="Z57" s="2719"/>
      <c r="AA57" s="2719"/>
      <c r="AB57" s="2719"/>
      <c r="AC57" s="2719"/>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34"/>
      <c r="Q58" s="2735"/>
      <c r="R58" s="2735"/>
      <c r="S58" s="2735"/>
      <c r="T58" s="2735"/>
      <c r="U58" s="2735"/>
      <c r="V58" s="2735"/>
      <c r="W58" s="2735"/>
      <c r="X58" s="2735"/>
      <c r="Y58" s="2735"/>
      <c r="Z58" s="2735"/>
      <c r="AA58" s="2735"/>
      <c r="AB58" s="2735"/>
      <c r="AC58" s="2735"/>
    </row>
    <row r="59" spans="1:29" s="108" customFormat="1" ht="15">
      <c r="A59" s="458"/>
      <c r="B59" s="459"/>
      <c r="C59" s="1183">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9"/>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4"/>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5"/>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5"/>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1810</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70.150000000000006</v>
      </c>
      <c r="E3" s="1951"/>
      <c r="F3" s="909"/>
      <c r="G3" s="908"/>
      <c r="H3" s="908"/>
      <c r="I3" s="908"/>
      <c r="J3" s="908"/>
      <c r="K3" s="910"/>
      <c r="L3" s="2728"/>
      <c r="M3" s="2729"/>
      <c r="N3" s="2729"/>
      <c r="O3" s="2729"/>
      <c r="P3" s="699"/>
      <c r="Q3" s="699"/>
      <c r="R3" s="699"/>
      <c r="S3" s="699"/>
      <c r="T3" s="699"/>
      <c r="U3" s="699"/>
      <c r="V3" s="699"/>
      <c r="W3" s="699"/>
      <c r="X3" s="699"/>
      <c r="Y3" s="699"/>
      <c r="Z3" s="699"/>
      <c r="AA3" s="699"/>
      <c r="AB3" s="699"/>
      <c r="AC3" s="700"/>
    </row>
    <row r="4" spans="1:29" ht="15">
      <c r="A4" s="355" t="s">
        <v>1769</v>
      </c>
      <c r="B4" s="356"/>
      <c r="C4" s="3666" t="s">
        <v>1770</v>
      </c>
      <c r="D4" s="3667"/>
      <c r="E4" s="3668" t="s">
        <v>1771</v>
      </c>
      <c r="F4" s="3669"/>
      <c r="G4" s="3666" t="s">
        <v>1772</v>
      </c>
      <c r="H4" s="3667"/>
      <c r="I4" s="3666" t="s">
        <v>1773</v>
      </c>
      <c r="J4" s="3667"/>
      <c r="K4" s="559" t="s">
        <v>1774</v>
      </c>
      <c r="L4" s="2709"/>
      <c r="M4" s="2710"/>
      <c r="N4" s="2710"/>
      <c r="O4" s="2710"/>
      <c r="P4" s="3726" t="s">
        <v>1775</v>
      </c>
      <c r="Q4" s="3727"/>
      <c r="R4" s="3721" t="s">
        <v>1771</v>
      </c>
      <c r="S4" s="3722"/>
      <c r="T4" s="3721" t="s">
        <v>1772</v>
      </c>
      <c r="U4" s="3722"/>
      <c r="V4" s="3730" t="s">
        <v>1773</v>
      </c>
      <c r="W4" s="3730"/>
      <c r="X4" s="1955"/>
      <c r="Y4" s="3721" t="s">
        <v>1775</v>
      </c>
      <c r="Z4" s="3722"/>
      <c r="AA4" s="3720" t="s">
        <v>1771</v>
      </c>
      <c r="AB4" s="3720" t="s">
        <v>1772</v>
      </c>
      <c r="AC4" s="3723" t="s">
        <v>1773</v>
      </c>
    </row>
    <row r="5" spans="1:29" ht="15">
      <c r="A5" s="358"/>
      <c r="B5" s="359"/>
      <c r="C5" s="3659" t="s">
        <v>1673</v>
      </c>
      <c r="D5" s="3660"/>
      <c r="E5" s="3657" t="s">
        <v>1674</v>
      </c>
      <c r="F5" s="3658"/>
      <c r="G5" s="3659" t="s">
        <v>1675</v>
      </c>
      <c r="H5" s="3660"/>
      <c r="I5" s="3659" t="s">
        <v>1676</v>
      </c>
      <c r="J5" s="3660"/>
      <c r="K5" s="559"/>
      <c r="L5" s="2709"/>
      <c r="M5" s="2710"/>
      <c r="N5" s="2710"/>
      <c r="O5" s="2710"/>
      <c r="P5" s="3728"/>
      <c r="Q5" s="3673"/>
      <c r="R5" s="3655"/>
      <c r="S5" s="3656"/>
      <c r="T5" s="3655"/>
      <c r="U5" s="3656"/>
      <c r="V5" s="3678"/>
      <c r="W5" s="3678"/>
      <c r="X5" s="1355"/>
      <c r="Y5" s="3655"/>
      <c r="Z5" s="3656"/>
      <c r="AA5" s="3649"/>
      <c r="AB5" s="3649"/>
      <c r="AC5" s="3724"/>
    </row>
    <row r="6" spans="1:29" ht="15.75" thickBot="1">
      <c r="A6" s="360"/>
      <c r="B6" s="361"/>
      <c r="C6" s="3661" t="s">
        <v>1677</v>
      </c>
      <c r="D6" s="3662"/>
      <c r="E6" s="3663" t="s">
        <v>1677</v>
      </c>
      <c r="F6" s="3664"/>
      <c r="G6" s="3661" t="s">
        <v>1677</v>
      </c>
      <c r="H6" s="3662"/>
      <c r="I6" s="3661" t="s">
        <v>1677</v>
      </c>
      <c r="J6" s="3662"/>
      <c r="K6" s="559" t="s">
        <v>1678</v>
      </c>
      <c r="L6" s="2709"/>
      <c r="M6" s="2710"/>
      <c r="N6" s="2710"/>
      <c r="O6" s="2710"/>
      <c r="P6" s="3729"/>
      <c r="Q6" s="3675"/>
      <c r="R6" s="3655"/>
      <c r="S6" s="3656"/>
      <c r="T6" s="3676"/>
      <c r="U6" s="3677"/>
      <c r="V6" s="3678"/>
      <c r="W6" s="3678"/>
      <c r="X6" s="1355"/>
      <c r="Y6" s="3676"/>
      <c r="Z6" s="3677"/>
      <c r="AA6" s="3650"/>
      <c r="AB6" s="3650"/>
      <c r="AC6" s="3725"/>
    </row>
    <row r="7" spans="1:29" s="108" customFormat="1" ht="15.75" thickBot="1">
      <c r="A7" s="362" t="s">
        <v>1679</v>
      </c>
      <c r="B7" s="363"/>
      <c r="C7" s="364">
        <f>'数据-取费表'!B2</f>
        <v>45013</v>
      </c>
      <c r="D7" s="365">
        <v>100</v>
      </c>
      <c r="E7" s="366"/>
      <c r="F7" s="367">
        <f>SUMIF(59:59,YEAR(E7)&amp;"-"&amp;MONTH(E7),60:60)</f>
        <v>0</v>
      </c>
      <c r="G7" s="366"/>
      <c r="H7" s="365">
        <f>SUMIF(59:59,YEAR(G7)&amp;"-"&amp;MONTH(G7),60:60)</f>
        <v>0</v>
      </c>
      <c r="I7" s="366"/>
      <c r="J7" s="365">
        <f>SUMIF(59:59,YEAR(I7)&amp;"-"&amp;MONTH(I7),60:60)</f>
        <v>0</v>
      </c>
      <c r="K7" s="560"/>
      <c r="L7" s="2711"/>
      <c r="M7" s="2712"/>
      <c r="N7" s="2712"/>
      <c r="O7" s="2712"/>
      <c r="P7" s="3731" t="s">
        <v>1680</v>
      </c>
      <c r="Q7" s="3679"/>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731"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665"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6">
        <f t="shared" si="5"/>
        <v>1</v>
      </c>
    </row>
    <row r="10" spans="1:29" s="378" customFormat="1" ht="27">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5"/>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5"/>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11"/>
      <c r="M12" s="2712"/>
      <c r="N12" s="2712"/>
      <c r="O12" s="2712"/>
      <c r="P12" s="3665"/>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6"/>
      <c r="M13" s="2710"/>
      <c r="N13" s="2710"/>
      <c r="O13" s="2710"/>
      <c r="P13" s="3665"/>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6"/>
      <c r="M14" s="2710"/>
      <c r="N14" s="2710"/>
      <c r="O14" s="2710"/>
      <c r="P14" s="3665"/>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6">
        <f t="shared" si="5"/>
        <v>1</v>
      </c>
    </row>
    <row r="15" spans="1:29" ht="71.25">
      <c r="A15" s="391" t="s">
        <v>1690</v>
      </c>
      <c r="B15" s="577" t="s">
        <v>1811</v>
      </c>
      <c r="C15" s="1958" t="str">
        <f>估价对象房地状况!C5</f>
        <v>估价对象周边有望京SOHO、悠乐汇等同类型项目，综合评价物业聚集程度较好</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692" t="s">
        <v>1691</v>
      </c>
      <c r="Q15" s="1352" t="str">
        <f t="shared" si="6"/>
        <v>办公集聚程度</v>
      </c>
      <c r="R15" s="705" t="s">
        <v>14</v>
      </c>
      <c r="S15" s="706">
        <f t="shared" si="0"/>
        <v>100</v>
      </c>
      <c r="T15" s="705" t="s">
        <v>14</v>
      </c>
      <c r="U15" s="706">
        <f t="shared" si="1"/>
        <v>100</v>
      </c>
      <c r="V15" s="705" t="s">
        <v>14</v>
      </c>
      <c r="W15" s="706">
        <f t="shared" si="2"/>
        <v>100</v>
      </c>
      <c r="X15" s="1355"/>
      <c r="Y15" s="3685" t="s">
        <v>1691</v>
      </c>
      <c r="Z15" s="1356" t="str">
        <f t="shared" si="7"/>
        <v>办公集聚程度</v>
      </c>
      <c r="AA15" s="1353">
        <f t="shared" si="3"/>
        <v>1</v>
      </c>
      <c r="AB15" s="1353">
        <f t="shared" si="4"/>
        <v>1</v>
      </c>
      <c r="AC15" s="1959">
        <f t="shared" si="5"/>
        <v>1</v>
      </c>
    </row>
    <row r="16" spans="1:29" ht="15">
      <c r="A16" s="379"/>
      <c r="B16" s="578"/>
      <c r="C16" s="1903"/>
      <c r="D16" s="399"/>
      <c r="E16" s="398"/>
      <c r="F16" s="399"/>
      <c r="G16" s="1903"/>
      <c r="H16" s="401"/>
      <c r="I16" s="398"/>
      <c r="J16" s="399"/>
      <c r="K16" s="564"/>
      <c r="L16" s="2716"/>
      <c r="M16" s="2710"/>
      <c r="N16" s="2710"/>
      <c r="O16" s="2710"/>
      <c r="P16" s="3693"/>
      <c r="Q16" s="1352"/>
      <c r="R16" s="705"/>
      <c r="S16" s="706"/>
      <c r="T16" s="705"/>
      <c r="U16" s="706"/>
      <c r="V16" s="705"/>
      <c r="W16" s="706"/>
      <c r="X16" s="1355"/>
      <c r="Y16" s="3686"/>
      <c r="Z16" s="1356"/>
      <c r="AA16" s="1353">
        <v>1</v>
      </c>
      <c r="AB16" s="1353">
        <v>1</v>
      </c>
      <c r="AC16" s="1959">
        <v>1</v>
      </c>
    </row>
    <row r="17" spans="1:29" ht="213.75">
      <c r="A17" s="379"/>
      <c r="B17" s="579" t="s">
        <v>1259</v>
      </c>
      <c r="C17" s="1960" t="str">
        <f>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693"/>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959">
        <f t="shared" si="5"/>
        <v>1</v>
      </c>
    </row>
    <row r="18" spans="1:29" ht="15">
      <c r="A18" s="379"/>
      <c r="B18" s="580"/>
      <c r="C18" s="1961"/>
      <c r="D18" s="401"/>
      <c r="E18" s="1901"/>
      <c r="F18" s="401"/>
      <c r="G18" s="1902"/>
      <c r="H18" s="399"/>
      <c r="I18" s="1902"/>
      <c r="J18" s="399"/>
      <c r="K18" s="564"/>
      <c r="L18" s="2716"/>
      <c r="M18" s="2710"/>
      <c r="N18" s="2710"/>
      <c r="O18" s="2710"/>
      <c r="P18" s="3693"/>
      <c r="Q18" s="1352"/>
      <c r="R18" s="705"/>
      <c r="S18" s="706"/>
      <c r="T18" s="705"/>
      <c r="U18" s="706"/>
      <c r="V18" s="705"/>
      <c r="W18" s="706"/>
      <c r="X18" s="1355"/>
      <c r="Y18" s="3686"/>
      <c r="Z18" s="1356"/>
      <c r="AA18" s="1353">
        <v>1</v>
      </c>
      <c r="AB18" s="1353">
        <v>1</v>
      </c>
      <c r="AC18" s="1959">
        <v>1</v>
      </c>
    </row>
    <row r="19" spans="1:29" ht="327.75">
      <c r="A19" s="379"/>
      <c r="B19" s="579" t="s">
        <v>1812</v>
      </c>
      <c r="C19" s="1960" t="str">
        <f>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693"/>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959">
        <f t="shared" si="5"/>
        <v>1</v>
      </c>
    </row>
    <row r="20" spans="1:29" ht="15">
      <c r="A20" s="379"/>
      <c r="B20" s="580"/>
      <c r="C20" s="1903"/>
      <c r="D20" s="399"/>
      <c r="E20" s="1896"/>
      <c r="F20" s="399"/>
      <c r="G20" s="1897"/>
      <c r="H20" s="399"/>
      <c r="I20" s="1897"/>
      <c r="J20" s="399"/>
      <c r="K20" s="564"/>
      <c r="L20" s="2716"/>
      <c r="M20" s="2710"/>
      <c r="N20" s="2710"/>
      <c r="O20" s="2710"/>
      <c r="P20" s="3693"/>
      <c r="Q20" s="1352"/>
      <c r="R20" s="705"/>
      <c r="S20" s="706"/>
      <c r="T20" s="705"/>
      <c r="U20" s="706"/>
      <c r="V20" s="705"/>
      <c r="W20" s="706"/>
      <c r="X20" s="1355"/>
      <c r="Y20" s="3686"/>
      <c r="Z20" s="1356"/>
      <c r="AA20" s="1353">
        <v>1</v>
      </c>
      <c r="AB20" s="1353">
        <v>1</v>
      </c>
      <c r="AC20" s="1959">
        <v>1</v>
      </c>
    </row>
    <row r="21" spans="1:29" ht="28.5">
      <c r="A21" s="379"/>
      <c r="B21" s="581" t="s">
        <v>1813</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693"/>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959">
        <f t="shared" ref="AC21" si="10">D21/J21</f>
        <v>1</v>
      </c>
    </row>
    <row r="22" spans="1:29" ht="15">
      <c r="A22" s="379"/>
      <c r="B22" s="581"/>
      <c r="C22" s="1961"/>
      <c r="D22" s="399"/>
      <c r="E22" s="398"/>
      <c r="F22" s="399"/>
      <c r="G22" s="1903"/>
      <c r="H22" s="399"/>
      <c r="I22" s="1903"/>
      <c r="J22" s="399"/>
      <c r="K22" s="1130"/>
      <c r="L22" s="2716"/>
      <c r="M22" s="2710"/>
      <c r="N22" s="2710"/>
      <c r="O22" s="2710"/>
      <c r="P22" s="3693"/>
      <c r="Q22" s="1352"/>
      <c r="R22" s="705"/>
      <c r="S22" s="706"/>
      <c r="T22" s="705"/>
      <c r="U22" s="706"/>
      <c r="V22" s="705"/>
      <c r="W22" s="706"/>
      <c r="X22" s="1355"/>
      <c r="Y22" s="3686"/>
      <c r="Z22" s="1356"/>
      <c r="AA22" s="1353">
        <v>1</v>
      </c>
      <c r="AB22" s="1353">
        <v>1</v>
      </c>
      <c r="AC22" s="1959">
        <v>1</v>
      </c>
    </row>
    <row r="23" spans="1:29" ht="85.5">
      <c r="A23" s="379"/>
      <c r="B23" s="579" t="s">
        <v>1814</v>
      </c>
      <c r="C23" s="1960" t="str">
        <f>估价对象房地状况!C9</f>
        <v xml:space="preserve">有望京文化体育公园等自然、人文设施；
综上，自然及人文环境一般。
</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693"/>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959">
        <f t="shared" si="5"/>
        <v>1</v>
      </c>
    </row>
    <row r="24" spans="1:29" ht="15">
      <c r="A24" s="379"/>
      <c r="B24" s="581"/>
      <c r="C24" s="1903"/>
      <c r="D24" s="399"/>
      <c r="E24" s="1896"/>
      <c r="F24" s="399"/>
      <c r="G24" s="1897"/>
      <c r="H24" s="399"/>
      <c r="I24" s="1897"/>
      <c r="J24" s="399"/>
      <c r="K24" s="564"/>
      <c r="L24" s="2716"/>
      <c r="M24" s="2710"/>
      <c r="N24" s="2710"/>
      <c r="O24" s="2710"/>
      <c r="P24" s="3693"/>
      <c r="Q24" s="1352"/>
      <c r="R24" s="705"/>
      <c r="S24" s="706"/>
      <c r="T24" s="705"/>
      <c r="U24" s="706"/>
      <c r="V24" s="705"/>
      <c r="W24" s="706"/>
      <c r="X24" s="1355"/>
      <c r="Y24" s="3686"/>
      <c r="Z24" s="1356"/>
      <c r="AA24" s="1353">
        <v>1</v>
      </c>
      <c r="AB24" s="1353">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6"/>
      <c r="M25" s="2710"/>
      <c r="N25" s="2710"/>
      <c r="O25" s="2710"/>
      <c r="P25" s="3693"/>
      <c r="Q25" s="1352" t="str">
        <f>B25</f>
        <v>毗邻道路的类型与等级</v>
      </c>
      <c r="R25" s="705" t="s">
        <v>14</v>
      </c>
      <c r="S25" s="706">
        <f>F25</f>
        <v>100</v>
      </c>
      <c r="T25" s="705" t="s">
        <v>14</v>
      </c>
      <c r="U25" s="706">
        <f>H25</f>
        <v>100</v>
      </c>
      <c r="V25" s="705" t="s">
        <v>14</v>
      </c>
      <c r="W25" s="706">
        <f>J25</f>
        <v>100</v>
      </c>
      <c r="X25" s="1355"/>
      <c r="Y25" s="3686"/>
      <c r="Z25" s="1356" t="str">
        <f>Q25</f>
        <v>毗邻道路的类型与等级</v>
      </c>
      <c r="AA25" s="1353">
        <f t="shared" si="3"/>
        <v>1</v>
      </c>
      <c r="AB25" s="1353">
        <f t="shared" si="4"/>
        <v>1</v>
      </c>
      <c r="AC25" s="1959">
        <f t="shared" si="5"/>
        <v>1</v>
      </c>
    </row>
    <row r="26" spans="1:29" ht="15">
      <c r="A26" s="358"/>
      <c r="B26" s="580"/>
      <c r="C26" s="582"/>
      <c r="D26" s="386"/>
      <c r="E26" s="565"/>
      <c r="F26" s="386"/>
      <c r="G26" s="582"/>
      <c r="H26" s="386"/>
      <c r="I26" s="565"/>
      <c r="J26" s="386"/>
      <c r="K26" s="564"/>
      <c r="L26" s="2716"/>
      <c r="M26" s="2710"/>
      <c r="N26" s="2710"/>
      <c r="O26" s="2710"/>
      <c r="P26" s="3693"/>
      <c r="Q26" s="1352"/>
      <c r="R26" s="705"/>
      <c r="S26" s="706"/>
      <c r="T26" s="705"/>
      <c r="U26" s="706"/>
      <c r="V26" s="705"/>
      <c r="W26" s="706"/>
      <c r="X26" s="1355"/>
      <c r="Y26" s="3686"/>
      <c r="Z26" s="1356"/>
      <c r="AA26" s="1353">
        <v>1</v>
      </c>
      <c r="AB26" s="1353">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693"/>
      <c r="Q27" s="1352" t="str">
        <f t="shared" ref="Q27:Q47" si="11">B27</f>
        <v>楼层</v>
      </c>
      <c r="R27" s="705" t="s">
        <v>14</v>
      </c>
      <c r="S27" s="706">
        <f>F27</f>
        <v>100</v>
      </c>
      <c r="T27" s="705" t="s">
        <v>14</v>
      </c>
      <c r="U27" s="706">
        <f>H27</f>
        <v>100</v>
      </c>
      <c r="V27" s="705" t="s">
        <v>14</v>
      </c>
      <c r="W27" s="706">
        <f>J27</f>
        <v>100</v>
      </c>
      <c r="X27" s="1355"/>
      <c r="Y27" s="3686"/>
      <c r="Z27" s="1356" t="str">
        <f>Q27</f>
        <v>楼层</v>
      </c>
      <c r="AA27" s="1353">
        <f t="shared" si="3"/>
        <v>1</v>
      </c>
      <c r="AB27" s="1353">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11"/>
      <c r="M28" s="2712"/>
      <c r="N28" s="2712"/>
      <c r="O28" s="2712"/>
      <c r="P28" s="3693"/>
      <c r="Q28" s="1343" t="str">
        <f t="shared" si="11"/>
        <v>朝向</v>
      </c>
      <c r="R28" s="701" t="s">
        <v>14</v>
      </c>
      <c r="S28" s="702">
        <f>F28</f>
        <v>100</v>
      </c>
      <c r="T28" s="701" t="s">
        <v>14</v>
      </c>
      <c r="U28" s="702">
        <f>H28</f>
        <v>100</v>
      </c>
      <c r="V28" s="701" t="s">
        <v>14</v>
      </c>
      <c r="W28" s="702">
        <f>J28</f>
        <v>100</v>
      </c>
      <c r="X28" s="703"/>
      <c r="Y28" s="3686"/>
      <c r="Z28" s="52" t="str">
        <f>Q28</f>
        <v>朝向</v>
      </c>
      <c r="AA28" s="1353">
        <f>D28/F28</f>
        <v>1</v>
      </c>
      <c r="AB28" s="1353">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6"/>
      <c r="M29" s="2710"/>
      <c r="N29" s="2710"/>
      <c r="O29" s="2710"/>
      <c r="P29" s="3693"/>
      <c r="Q29" s="1352">
        <f t="shared" si="11"/>
        <v>111</v>
      </c>
      <c r="R29" s="705" t="s">
        <v>14</v>
      </c>
      <c r="S29" s="706">
        <f t="shared" ref="S29:S47" si="12">F29</f>
        <v>100</v>
      </c>
      <c r="T29" s="705" t="s">
        <v>14</v>
      </c>
      <c r="U29" s="706">
        <f t="shared" ref="U29:U47" si="13">H29</f>
        <v>100</v>
      </c>
      <c r="V29" s="705" t="s">
        <v>14</v>
      </c>
      <c r="W29" s="706">
        <f t="shared" ref="W29:W47" si="14">J29</f>
        <v>100</v>
      </c>
      <c r="X29" s="1355"/>
      <c r="Y29" s="3686"/>
      <c r="Z29" s="1356">
        <f t="shared" ref="Z29:Z47" si="15">Q29</f>
        <v>111</v>
      </c>
      <c r="AA29" s="1353">
        <f t="shared" si="3"/>
        <v>1</v>
      </c>
      <c r="AB29" s="1353">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6"/>
      <c r="M30" s="2710"/>
      <c r="N30" s="2710"/>
      <c r="O30" s="2710"/>
      <c r="P30" s="3693"/>
      <c r="Q30" s="1352">
        <f t="shared" si="11"/>
        <v>111</v>
      </c>
      <c r="R30" s="705" t="s">
        <v>14</v>
      </c>
      <c r="S30" s="706">
        <f t="shared" si="12"/>
        <v>100</v>
      </c>
      <c r="T30" s="705" t="s">
        <v>14</v>
      </c>
      <c r="U30" s="706">
        <f t="shared" si="13"/>
        <v>100</v>
      </c>
      <c r="V30" s="705" t="s">
        <v>14</v>
      </c>
      <c r="W30" s="706">
        <f t="shared" si="14"/>
        <v>100</v>
      </c>
      <c r="X30" s="1355"/>
      <c r="Y30" s="3686"/>
      <c r="Z30" s="1356">
        <f t="shared" si="15"/>
        <v>111</v>
      </c>
      <c r="AA30" s="1353">
        <f t="shared" si="3"/>
        <v>1</v>
      </c>
      <c r="AB30" s="1353">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6"/>
      <c r="M31" s="2710"/>
      <c r="N31" s="2710"/>
      <c r="O31" s="2710"/>
      <c r="P31" s="3693"/>
      <c r="Q31" s="1352">
        <f t="shared" si="11"/>
        <v>111</v>
      </c>
      <c r="R31" s="705" t="s">
        <v>14</v>
      </c>
      <c r="S31" s="706">
        <f t="shared" si="12"/>
        <v>100</v>
      </c>
      <c r="T31" s="705" t="s">
        <v>14</v>
      </c>
      <c r="U31" s="706">
        <f t="shared" si="13"/>
        <v>100</v>
      </c>
      <c r="V31" s="705" t="s">
        <v>14</v>
      </c>
      <c r="W31" s="706">
        <f t="shared" si="14"/>
        <v>100</v>
      </c>
      <c r="X31" s="1355"/>
      <c r="Y31" s="3686"/>
      <c r="Z31" s="1356">
        <f t="shared" si="15"/>
        <v>111</v>
      </c>
      <c r="AA31" s="1353">
        <f t="shared" si="3"/>
        <v>1</v>
      </c>
      <c r="AB31" s="1353">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6"/>
      <c r="M32" s="2710"/>
      <c r="N32" s="2710"/>
      <c r="O32" s="2710"/>
      <c r="P32" s="3693"/>
      <c r="Q32" s="1352">
        <f t="shared" si="11"/>
        <v>111</v>
      </c>
      <c r="R32" s="705" t="s">
        <v>14</v>
      </c>
      <c r="S32" s="706">
        <f t="shared" si="12"/>
        <v>100</v>
      </c>
      <c r="T32" s="705" t="s">
        <v>14</v>
      </c>
      <c r="U32" s="706">
        <f t="shared" si="13"/>
        <v>100</v>
      </c>
      <c r="V32" s="705" t="s">
        <v>14</v>
      </c>
      <c r="W32" s="706">
        <f t="shared" si="14"/>
        <v>100</v>
      </c>
      <c r="X32" s="1355"/>
      <c r="Y32" s="3686"/>
      <c r="Z32" s="1356">
        <f t="shared" si="15"/>
        <v>111</v>
      </c>
      <c r="AA32" s="1353">
        <f t="shared" si="3"/>
        <v>1</v>
      </c>
      <c r="AB32" s="1353">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6"/>
      <c r="M33" s="2710"/>
      <c r="N33" s="2710"/>
      <c r="O33" s="2710"/>
      <c r="P33" s="3687" t="s">
        <v>1696</v>
      </c>
      <c r="Q33" s="1352" t="str">
        <f t="shared" si="11"/>
        <v>建筑类型</v>
      </c>
      <c r="R33" s="705" t="s">
        <v>14</v>
      </c>
      <c r="S33" s="706">
        <f t="shared" si="12"/>
        <v>100</v>
      </c>
      <c r="T33" s="705" t="s">
        <v>14</v>
      </c>
      <c r="U33" s="706">
        <f t="shared" si="13"/>
        <v>100</v>
      </c>
      <c r="V33" s="705" t="s">
        <v>14</v>
      </c>
      <c r="W33" s="706">
        <f t="shared" si="14"/>
        <v>100</v>
      </c>
      <c r="X33" s="1355"/>
      <c r="Y33" s="3690" t="s">
        <v>1696</v>
      </c>
      <c r="Z33" s="1356" t="str">
        <f t="shared" si="15"/>
        <v>建筑类型</v>
      </c>
      <c r="AA33" s="1353">
        <f t="shared" si="3"/>
        <v>1</v>
      </c>
      <c r="AB33" s="1353">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688"/>
      <c r="Q34" s="707" t="str">
        <f t="shared" si="11"/>
        <v>项目建筑规模</v>
      </c>
      <c r="R34" s="708" t="s">
        <v>14</v>
      </c>
      <c r="S34" s="709" t="e">
        <f t="shared" si="12"/>
        <v>#N/A</v>
      </c>
      <c r="T34" s="708" t="s">
        <v>14</v>
      </c>
      <c r="U34" s="709" t="e">
        <f t="shared" si="13"/>
        <v>#N/A</v>
      </c>
      <c r="V34" s="708" t="s">
        <v>14</v>
      </c>
      <c r="W34" s="709" t="e">
        <f t="shared" si="14"/>
        <v>#N/A</v>
      </c>
      <c r="X34" s="710"/>
      <c r="Y34" s="3690"/>
      <c r="Z34" s="711" t="str">
        <f t="shared" si="15"/>
        <v>项目建筑规模</v>
      </c>
      <c r="AA34" s="1353" t="e">
        <f t="shared" si="3"/>
        <v>#N/A</v>
      </c>
      <c r="AB34" s="1353"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688"/>
      <c r="Q35" s="1352" t="str">
        <f t="shared" si="11"/>
        <v>建筑结构</v>
      </c>
      <c r="R35" s="705" t="s">
        <v>14</v>
      </c>
      <c r="S35" s="706">
        <f t="shared" si="12"/>
        <v>100</v>
      </c>
      <c r="T35" s="705" t="s">
        <v>14</v>
      </c>
      <c r="U35" s="706">
        <f t="shared" si="13"/>
        <v>100</v>
      </c>
      <c r="V35" s="705" t="s">
        <v>14</v>
      </c>
      <c r="W35" s="706">
        <f t="shared" si="14"/>
        <v>100</v>
      </c>
      <c r="X35" s="1355"/>
      <c r="Y35" s="3690"/>
      <c r="Z35" s="1356" t="str">
        <f t="shared" si="15"/>
        <v>建筑结构</v>
      </c>
      <c r="AA35" s="1353">
        <f t="shared" si="3"/>
        <v>1</v>
      </c>
      <c r="AB35" s="1353">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688"/>
      <c r="Q36" s="1352" t="str">
        <f t="shared" si="11"/>
        <v>公共部分装修</v>
      </c>
      <c r="R36" s="705" t="s">
        <v>14</v>
      </c>
      <c r="S36" s="706">
        <f t="shared" si="12"/>
        <v>100</v>
      </c>
      <c r="T36" s="705" t="s">
        <v>14</v>
      </c>
      <c r="U36" s="706">
        <f t="shared" si="13"/>
        <v>100</v>
      </c>
      <c r="V36" s="705" t="s">
        <v>14</v>
      </c>
      <c r="W36" s="706">
        <f t="shared" si="14"/>
        <v>100</v>
      </c>
      <c r="X36" s="1355"/>
      <c r="Y36" s="3690"/>
      <c r="Z36" s="1356" t="str">
        <f t="shared" si="15"/>
        <v>公共部分装修</v>
      </c>
      <c r="AA36" s="1353">
        <f t="shared" si="3"/>
        <v>1</v>
      </c>
      <c r="AB36" s="1353">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688"/>
      <c r="Q37" s="1352" t="str">
        <f t="shared" si="11"/>
        <v>成新度</v>
      </c>
      <c r="R37" s="705" t="s">
        <v>14</v>
      </c>
      <c r="S37" s="706" t="e">
        <f t="shared" si="12"/>
        <v>#N/A</v>
      </c>
      <c r="T37" s="705" t="s">
        <v>14</v>
      </c>
      <c r="U37" s="706" t="e">
        <f t="shared" si="13"/>
        <v>#N/A</v>
      </c>
      <c r="V37" s="705" t="s">
        <v>14</v>
      </c>
      <c r="W37" s="706" t="e">
        <f t="shared" si="14"/>
        <v>#N/A</v>
      </c>
      <c r="X37" s="1355"/>
      <c r="Y37" s="3690"/>
      <c r="Z37" s="1356" t="str">
        <f t="shared" si="15"/>
        <v>成新度</v>
      </c>
      <c r="AA37" s="1353" t="e">
        <f t="shared" si="3"/>
        <v>#N/A</v>
      </c>
      <c r="AB37" s="1353"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688"/>
      <c r="Q38" s="1343" t="str">
        <f t="shared" si="11"/>
        <v>写字楼等级</v>
      </c>
      <c r="R38" s="701" t="s">
        <v>14</v>
      </c>
      <c r="S38" s="702">
        <f t="shared" si="12"/>
        <v>100</v>
      </c>
      <c r="T38" s="701" t="s">
        <v>14</v>
      </c>
      <c r="U38" s="702">
        <f t="shared" si="13"/>
        <v>100</v>
      </c>
      <c r="V38" s="701" t="s">
        <v>14</v>
      </c>
      <c r="W38" s="702">
        <f t="shared" si="14"/>
        <v>100</v>
      </c>
      <c r="X38" s="703"/>
      <c r="Y38" s="3690"/>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688" t="s">
        <v>1696</v>
      </c>
      <c r="Q39" s="1352" t="str">
        <f t="shared" si="11"/>
        <v>物业管理</v>
      </c>
      <c r="R39" s="705" t="s">
        <v>14</v>
      </c>
      <c r="S39" s="706">
        <f t="shared" si="12"/>
        <v>100</v>
      </c>
      <c r="T39" s="705" t="s">
        <v>14</v>
      </c>
      <c r="U39" s="706">
        <f t="shared" si="13"/>
        <v>100</v>
      </c>
      <c r="V39" s="705" t="s">
        <v>14</v>
      </c>
      <c r="W39" s="706">
        <f t="shared" si="14"/>
        <v>100</v>
      </c>
      <c r="X39" s="1355"/>
      <c r="Y39" s="3690" t="s">
        <v>1696</v>
      </c>
      <c r="Z39" s="1356" t="str">
        <f t="shared" si="15"/>
        <v>物业管理</v>
      </c>
      <c r="AA39" s="1353">
        <f t="shared" si="3"/>
        <v>1</v>
      </c>
      <c r="AB39" s="1353">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688"/>
      <c r="Q40" s="1352" t="str">
        <f t="shared" si="11"/>
        <v>市政基础设施</v>
      </c>
      <c r="R40" s="705" t="s">
        <v>14</v>
      </c>
      <c r="S40" s="706">
        <f t="shared" si="12"/>
        <v>100</v>
      </c>
      <c r="T40" s="705" t="s">
        <v>14</v>
      </c>
      <c r="U40" s="706">
        <f t="shared" si="13"/>
        <v>100</v>
      </c>
      <c r="V40" s="705" t="s">
        <v>14</v>
      </c>
      <c r="W40" s="706">
        <f t="shared" si="14"/>
        <v>100</v>
      </c>
      <c r="X40" s="1355"/>
      <c r="Y40" s="3690"/>
      <c r="Z40" s="1356" t="str">
        <f t="shared" si="15"/>
        <v>市政基础设施</v>
      </c>
      <c r="AA40" s="1353">
        <f t="shared" si="3"/>
        <v>1</v>
      </c>
      <c r="AB40" s="1353">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688"/>
      <c r="Q41" s="1352" t="str">
        <f t="shared" si="11"/>
        <v>层高</v>
      </c>
      <c r="R41" s="705" t="s">
        <v>14</v>
      </c>
      <c r="S41" s="706">
        <f t="shared" si="12"/>
        <v>100</v>
      </c>
      <c r="T41" s="705" t="s">
        <v>14</v>
      </c>
      <c r="U41" s="706">
        <f t="shared" si="13"/>
        <v>100</v>
      </c>
      <c r="V41" s="705" t="s">
        <v>14</v>
      </c>
      <c r="W41" s="706">
        <f t="shared" si="14"/>
        <v>100</v>
      </c>
      <c r="X41" s="1355"/>
      <c r="Y41" s="3690"/>
      <c r="Z41" s="1356" t="str">
        <f t="shared" si="15"/>
        <v>层高</v>
      </c>
      <c r="AA41" s="1353">
        <f t="shared" si="3"/>
        <v>1</v>
      </c>
      <c r="AB41" s="1353">
        <f t="shared" si="4"/>
        <v>1</v>
      </c>
      <c r="AC41" s="1959">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688"/>
      <c r="Q42" s="707" t="str">
        <f t="shared" si="11"/>
        <v>单套建筑面积</v>
      </c>
      <c r="R42" s="708" t="s">
        <v>14</v>
      </c>
      <c r="S42" s="709">
        <f t="shared" si="12"/>
        <v>100</v>
      </c>
      <c r="T42" s="708" t="s">
        <v>14</v>
      </c>
      <c r="U42" s="709">
        <f t="shared" si="13"/>
        <v>100</v>
      </c>
      <c r="V42" s="708" t="s">
        <v>14</v>
      </c>
      <c r="W42" s="709">
        <f t="shared" si="14"/>
        <v>100</v>
      </c>
      <c r="X42" s="710"/>
      <c r="Y42" s="3690"/>
      <c r="Z42" s="711" t="str">
        <f t="shared" si="15"/>
        <v>单套建筑面积</v>
      </c>
      <c r="AA42" s="1353">
        <f t="shared" si="3"/>
        <v>1</v>
      </c>
      <c r="AB42" s="1353">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688"/>
      <c r="Q43" s="1352" t="str">
        <f t="shared" si="11"/>
        <v>内部装修</v>
      </c>
      <c r="R43" s="705" t="s">
        <v>14</v>
      </c>
      <c r="S43" s="706">
        <f t="shared" si="12"/>
        <v>100</v>
      </c>
      <c r="T43" s="705" t="s">
        <v>14</v>
      </c>
      <c r="U43" s="706">
        <f t="shared" si="13"/>
        <v>100</v>
      </c>
      <c r="V43" s="705" t="s">
        <v>14</v>
      </c>
      <c r="W43" s="706">
        <f t="shared" si="14"/>
        <v>100</v>
      </c>
      <c r="X43" s="1355"/>
      <c r="Y43" s="3690"/>
      <c r="Z43" s="1356" t="str">
        <f t="shared" si="15"/>
        <v>内部装修</v>
      </c>
      <c r="AA43" s="1353">
        <f t="shared" si="3"/>
        <v>1</v>
      </c>
      <c r="AB43" s="1353">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6"/>
      <c r="M44" s="2710"/>
      <c r="N44" s="2710"/>
      <c r="O44" s="2710"/>
      <c r="P44" s="3688"/>
      <c r="Q44" s="1352" t="str">
        <f t="shared" si="11"/>
        <v>内部装修维护情况</v>
      </c>
      <c r="R44" s="705" t="s">
        <v>14</v>
      </c>
      <c r="S44" s="706">
        <f t="shared" si="12"/>
        <v>100</v>
      </c>
      <c r="T44" s="705" t="s">
        <v>14</v>
      </c>
      <c r="U44" s="706">
        <f t="shared" si="13"/>
        <v>100</v>
      </c>
      <c r="V44" s="705" t="s">
        <v>14</v>
      </c>
      <c r="W44" s="706">
        <f t="shared" si="14"/>
        <v>100</v>
      </c>
      <c r="X44" s="1355"/>
      <c r="Y44" s="3690"/>
      <c r="Z44" s="1356" t="str">
        <f t="shared" si="15"/>
        <v>内部装修维护情况</v>
      </c>
      <c r="AA44" s="1353">
        <f t="shared" si="3"/>
        <v>1</v>
      </c>
      <c r="AB44" s="1353">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88"/>
      <c r="Q45" s="1343">
        <f t="shared" si="11"/>
        <v>111</v>
      </c>
      <c r="R45" s="701" t="s">
        <v>14</v>
      </c>
      <c r="S45" s="702">
        <f t="shared" si="12"/>
        <v>100</v>
      </c>
      <c r="T45" s="701" t="s">
        <v>14</v>
      </c>
      <c r="U45" s="702">
        <f t="shared" si="13"/>
        <v>100</v>
      </c>
      <c r="V45" s="701" t="s">
        <v>14</v>
      </c>
      <c r="W45" s="702">
        <f t="shared" si="14"/>
        <v>100</v>
      </c>
      <c r="X45" s="703"/>
      <c r="Y45" s="3690"/>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88"/>
      <c r="Q46" s="1352">
        <f t="shared" si="11"/>
        <v>111</v>
      </c>
      <c r="R46" s="705" t="s">
        <v>14</v>
      </c>
      <c r="S46" s="706">
        <f t="shared" si="12"/>
        <v>100</v>
      </c>
      <c r="T46" s="705" t="s">
        <v>14</v>
      </c>
      <c r="U46" s="706">
        <f t="shared" si="13"/>
        <v>100</v>
      </c>
      <c r="V46" s="705" t="s">
        <v>14</v>
      </c>
      <c r="W46" s="706">
        <f t="shared" si="14"/>
        <v>100</v>
      </c>
      <c r="X46" s="1355"/>
      <c r="Y46" s="3690"/>
      <c r="Z46" s="1356">
        <f t="shared" si="15"/>
        <v>111</v>
      </c>
      <c r="AA46" s="1353">
        <f t="shared" si="3"/>
        <v>1</v>
      </c>
      <c r="AB46" s="1353">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89"/>
      <c r="Q47" s="1352">
        <f t="shared" si="11"/>
        <v>111</v>
      </c>
      <c r="R47" s="705" t="s">
        <v>14</v>
      </c>
      <c r="S47" s="706">
        <f t="shared" si="12"/>
        <v>100</v>
      </c>
      <c r="T47" s="705" t="s">
        <v>14</v>
      </c>
      <c r="U47" s="706">
        <f t="shared" si="13"/>
        <v>100</v>
      </c>
      <c r="V47" s="705" t="s">
        <v>14</v>
      </c>
      <c r="W47" s="706">
        <f t="shared" si="14"/>
        <v>100</v>
      </c>
      <c r="X47" s="1355"/>
      <c r="Y47" s="3691"/>
      <c r="Z47" s="1356">
        <f t="shared" si="15"/>
        <v>111</v>
      </c>
      <c r="AA47" s="1353">
        <f t="shared" si="3"/>
        <v>1</v>
      </c>
      <c r="AB47" s="1353">
        <f t="shared" si="4"/>
        <v>1</v>
      </c>
      <c r="AC47" s="1959">
        <f t="shared" si="5"/>
        <v>1</v>
      </c>
    </row>
    <row r="48" spans="1:29" ht="15">
      <c r="A48" s="430" t="s">
        <v>1708</v>
      </c>
      <c r="B48" s="431"/>
      <c r="C48" s="1154" t="s">
        <v>0</v>
      </c>
      <c r="D48" s="1155"/>
      <c r="E48" s="1156"/>
      <c r="F48" s="1157"/>
      <c r="G48" s="1158"/>
      <c r="H48" s="1159"/>
      <c r="I48" s="1156"/>
      <c r="J48" s="436"/>
      <c r="K48" s="714"/>
      <c r="L48" s="2718"/>
      <c r="M48" s="2710"/>
      <c r="N48" s="2710"/>
      <c r="O48" s="2710"/>
      <c r="P48" s="3665" t="str">
        <f>A48</f>
        <v>成交单价（元/平方米）</v>
      </c>
      <c r="Q48" s="3683"/>
      <c r="R48" s="3684">
        <f>E48</f>
        <v>0</v>
      </c>
      <c r="S48" s="3684"/>
      <c r="T48" s="3684">
        <f>G48</f>
        <v>0</v>
      </c>
      <c r="U48" s="3684"/>
      <c r="V48" s="3684">
        <f>I48</f>
        <v>0</v>
      </c>
      <c r="W48" s="3684"/>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8"/>
      <c r="M49" s="2710"/>
      <c r="N49" s="2710"/>
      <c r="O49" s="2710"/>
      <c r="P49" s="3665"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8"/>
      <c r="M50" s="2710"/>
      <c r="N50" s="2710"/>
      <c r="O50" s="2710"/>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3"/>
      <c r="Y50" s="1943"/>
      <c r="Z50" s="1943"/>
      <c r="AA50" s="1943"/>
      <c r="AB50" s="1943"/>
      <c r="AC50" s="1944"/>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42"/>
      <c r="M58" s="940"/>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3"/>
      <c r="Q59" s="2735"/>
      <c r="R59" s="2735"/>
      <c r="S59" s="2735"/>
      <c r="T59" s="2735"/>
      <c r="U59" s="2735"/>
      <c r="V59" s="2735"/>
      <c r="W59" s="2735"/>
      <c r="X59" s="2735"/>
      <c r="Y59" s="2735"/>
      <c r="Z59" s="2735"/>
      <c r="AA59" s="2735"/>
      <c r="AB59" s="2735"/>
      <c r="AC59" s="2735"/>
    </row>
    <row r="60" spans="1:29" s="108" customFormat="1" ht="15">
      <c r="A60" s="458"/>
      <c r="B60" s="459"/>
      <c r="C60" s="1183">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9"/>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4"/>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5"/>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5"/>
      <c r="M119" s="1966"/>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5"/>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4" t="s">
        <v>1826</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70.150000000000006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913"/>
      <c r="M4" s="914"/>
      <c r="N4" s="914"/>
      <c r="O4" s="914"/>
      <c r="P4" s="3670" t="s">
        <v>1775</v>
      </c>
      <c r="Q4" s="3671"/>
      <c r="R4" s="3653" t="s">
        <v>1771</v>
      </c>
      <c r="S4" s="3654"/>
      <c r="T4" s="3653" t="s">
        <v>1772</v>
      </c>
      <c r="U4" s="3654"/>
      <c r="V4" s="3678" t="s">
        <v>1773</v>
      </c>
      <c r="W4" s="3678"/>
      <c r="X4" s="1355"/>
      <c r="Y4" s="3653" t="s">
        <v>1775</v>
      </c>
      <c r="Z4" s="3654"/>
      <c r="AA4" s="3648" t="s">
        <v>1771</v>
      </c>
      <c r="AB4" s="3649" t="s">
        <v>1772</v>
      </c>
      <c r="AC4" s="3648" t="s">
        <v>1773</v>
      </c>
    </row>
    <row r="5" spans="1:29" ht="15">
      <c r="A5" s="358"/>
      <c r="B5" s="359"/>
      <c r="C5" s="3659" t="s">
        <v>1673</v>
      </c>
      <c r="D5" s="3660"/>
      <c r="E5" s="3657" t="s">
        <v>1674</v>
      </c>
      <c r="F5" s="3658"/>
      <c r="G5" s="3659" t="s">
        <v>1675</v>
      </c>
      <c r="H5" s="3660"/>
      <c r="I5" s="3659" t="s">
        <v>1676</v>
      </c>
      <c r="J5" s="3660"/>
      <c r="K5" s="559"/>
      <c r="L5" s="913"/>
      <c r="M5" s="914"/>
      <c r="N5" s="914"/>
      <c r="O5" s="914"/>
      <c r="P5" s="3672"/>
      <c r="Q5" s="3673"/>
      <c r="R5" s="3655"/>
      <c r="S5" s="3656"/>
      <c r="T5" s="3655"/>
      <c r="U5" s="3656"/>
      <c r="V5" s="3678"/>
      <c r="W5" s="3678"/>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559" t="s">
        <v>1678</v>
      </c>
      <c r="L6" s="913"/>
      <c r="M6" s="914"/>
      <c r="N6" s="914"/>
      <c r="O6" s="914"/>
      <c r="P6" s="3674"/>
      <c r="Q6" s="3675"/>
      <c r="R6" s="3655"/>
      <c r="S6" s="3656"/>
      <c r="T6" s="3676"/>
      <c r="U6" s="3677"/>
      <c r="V6" s="3678"/>
      <c r="W6" s="3678"/>
      <c r="X6" s="1355"/>
      <c r="Y6" s="3676"/>
      <c r="Z6" s="3677"/>
      <c r="AA6" s="3650"/>
      <c r="AB6" s="3650"/>
      <c r="AC6" s="3650"/>
    </row>
    <row r="7" spans="1:29" s="108" customFormat="1" ht="15.75" thickBot="1">
      <c r="A7" s="362" t="s">
        <v>1679</v>
      </c>
      <c r="B7" s="363"/>
      <c r="C7" s="364">
        <f>'数据-取费表'!B2</f>
        <v>45013</v>
      </c>
      <c r="D7" s="365">
        <v>100</v>
      </c>
      <c r="E7" s="366"/>
      <c r="F7" s="367">
        <f>SUMIF(52:52,YEAR(E7)&amp;"-"&amp;MONTH(E7),53:53)</f>
        <v>0</v>
      </c>
      <c r="G7" s="366"/>
      <c r="H7" s="365">
        <f>SUMIF(52:52,YEAR(G7)&amp;"-"&amp;MONTH(G7),53:53)</f>
        <v>0</v>
      </c>
      <c r="I7" s="366"/>
      <c r="J7" s="365">
        <f>SUMIF(52:52,YEAR(I7)&amp;"-"&amp;MONTH(I7),53:53)</f>
        <v>0</v>
      </c>
      <c r="K7" s="560"/>
      <c r="L7" s="915"/>
      <c r="M7" s="916"/>
      <c r="N7" s="916"/>
      <c r="O7" s="916"/>
      <c r="P7" s="3651" t="s">
        <v>1680</v>
      </c>
      <c r="Q7" s="3679"/>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1" t="s">
        <v>1683</v>
      </c>
      <c r="Q8" s="3652"/>
      <c r="R8" s="701" t="s">
        <v>14</v>
      </c>
      <c r="S8" s="702">
        <f t="shared" si="0"/>
        <v>100</v>
      </c>
      <c r="T8" s="701" t="s">
        <v>14</v>
      </c>
      <c r="U8" s="702">
        <f t="shared" si="1"/>
        <v>100</v>
      </c>
      <c r="V8" s="701" t="s">
        <v>14</v>
      </c>
      <c r="W8" s="702">
        <f t="shared" si="2"/>
        <v>100</v>
      </c>
      <c r="X8" s="703"/>
      <c r="Y8" s="3651" t="s">
        <v>1683</v>
      </c>
      <c r="Z8" s="365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3"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8"/>
      <c r="M10" s="919"/>
      <c r="N10" s="919"/>
      <c r="O10" s="920"/>
      <c r="P10" s="3683"/>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3"/>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83"/>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83"/>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83"/>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6"/>
      <c r="Q16" s="1352"/>
      <c r="R16" s="705"/>
      <c r="S16" s="706"/>
      <c r="T16" s="705"/>
      <c r="U16" s="706"/>
      <c r="V16" s="705"/>
      <c r="W16" s="706"/>
      <c r="X16" s="1355"/>
      <c r="Y16" s="3686"/>
      <c r="Z16" s="1356"/>
      <c r="AA16" s="1353">
        <v>1</v>
      </c>
      <c r="AB16" s="1353">
        <v>1</v>
      </c>
      <c r="AC16" s="1353">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686"/>
      <c r="Q18" s="1352"/>
      <c r="R18" s="705"/>
      <c r="S18" s="706"/>
      <c r="T18" s="705"/>
      <c r="U18" s="706"/>
      <c r="V18" s="705"/>
      <c r="W18" s="706"/>
      <c r="X18" s="1355"/>
      <c r="Y18" s="3686"/>
      <c r="Z18" s="1356"/>
      <c r="AA18" s="1353">
        <v>1</v>
      </c>
      <c r="AB18" s="1353">
        <v>1</v>
      </c>
      <c r="AC18" s="1353">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6"/>
      <c r="Q19" s="1352" t="str">
        <f>B19</f>
        <v>公共配套设施</v>
      </c>
      <c r="R19" s="705" t="s">
        <v>14</v>
      </c>
      <c r="S19" s="706">
        <f>F19</f>
        <v>100</v>
      </c>
      <c r="T19" s="705" t="s">
        <v>14</v>
      </c>
      <c r="U19" s="706">
        <f>H19</f>
        <v>100</v>
      </c>
      <c r="V19" s="705" t="s">
        <v>14</v>
      </c>
      <c r="W19" s="706">
        <f>J19</f>
        <v>100</v>
      </c>
      <c r="X19" s="1355"/>
      <c r="Y19" s="3686"/>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686"/>
      <c r="Q20" s="1352"/>
      <c r="R20" s="705"/>
      <c r="S20" s="706"/>
      <c r="T20" s="705"/>
      <c r="U20" s="706"/>
      <c r="V20" s="705"/>
      <c r="W20" s="706"/>
      <c r="X20" s="1355"/>
      <c r="Y20" s="3686"/>
      <c r="Z20" s="1356"/>
      <c r="AA20" s="1353">
        <v>1</v>
      </c>
      <c r="AB20" s="1353">
        <v>1</v>
      </c>
      <c r="AC20" s="1353">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6"/>
      <c r="Q21" s="1352" t="str">
        <f>B21</f>
        <v>基础设施水平</v>
      </c>
      <c r="R21" s="705" t="s">
        <v>14</v>
      </c>
      <c r="S21" s="706">
        <f>F21</f>
        <v>100</v>
      </c>
      <c r="T21" s="705" t="s">
        <v>14</v>
      </c>
      <c r="U21" s="706">
        <f>H21</f>
        <v>100</v>
      </c>
      <c r="V21" s="705" t="s">
        <v>14</v>
      </c>
      <c r="W21" s="706">
        <f>J21</f>
        <v>100</v>
      </c>
      <c r="X21" s="1355"/>
      <c r="Y21" s="3686"/>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686"/>
      <c r="Q22" s="1352"/>
      <c r="R22" s="705"/>
      <c r="S22" s="706"/>
      <c r="T22" s="705"/>
      <c r="U22" s="706"/>
      <c r="V22" s="705"/>
      <c r="W22" s="706"/>
      <c r="X22" s="1355"/>
      <c r="Y22" s="3686"/>
      <c r="Z22" s="1356"/>
      <c r="AA22" s="1353">
        <v>1</v>
      </c>
      <c r="AB22" s="1353">
        <v>1</v>
      </c>
      <c r="AC22" s="1353">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6"/>
      <c r="Q23" s="1352" t="str">
        <f>B23</f>
        <v>环境质量</v>
      </c>
      <c r="R23" s="705" t="s">
        <v>14</v>
      </c>
      <c r="S23" s="706">
        <f>F23</f>
        <v>100</v>
      </c>
      <c r="T23" s="705" t="s">
        <v>14</v>
      </c>
      <c r="U23" s="706">
        <f>H23</f>
        <v>100</v>
      </c>
      <c r="V23" s="705" t="s">
        <v>14</v>
      </c>
      <c r="W23" s="706">
        <f>J23</f>
        <v>100</v>
      </c>
      <c r="X23" s="1355"/>
      <c r="Y23" s="3686"/>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686"/>
      <c r="Q24" s="1352"/>
      <c r="R24" s="705"/>
      <c r="S24" s="706"/>
      <c r="T24" s="705"/>
      <c r="U24" s="706"/>
      <c r="V24" s="705"/>
      <c r="W24" s="706"/>
      <c r="X24" s="1355"/>
      <c r="Y24" s="368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6"/>
      <c r="Q25" s="1352">
        <f>B25</f>
        <v>111</v>
      </c>
      <c r="R25" s="705" t="s">
        <v>14</v>
      </c>
      <c r="S25" s="706">
        <f>F25</f>
        <v>100</v>
      </c>
      <c r="T25" s="705" t="s">
        <v>14</v>
      </c>
      <c r="U25" s="706">
        <f>H25</f>
        <v>100</v>
      </c>
      <c r="V25" s="705" t="s">
        <v>14</v>
      </c>
      <c r="W25" s="706">
        <f>J25</f>
        <v>100</v>
      </c>
      <c r="X25" s="1355"/>
      <c r="Y25" s="368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6"/>
      <c r="Q26" s="1352">
        <f t="shared" ref="Q26:Q40" si="11">B26</f>
        <v>111</v>
      </c>
      <c r="R26" s="705" t="s">
        <v>14</v>
      </c>
      <c r="S26" s="706">
        <f>F26</f>
        <v>100</v>
      </c>
      <c r="T26" s="705" t="s">
        <v>14</v>
      </c>
      <c r="U26" s="706">
        <f>H26</f>
        <v>100</v>
      </c>
      <c r="V26" s="705" t="s">
        <v>14</v>
      </c>
      <c r="W26" s="706">
        <f>J26</f>
        <v>100</v>
      </c>
      <c r="X26" s="1355"/>
      <c r="Y26" s="368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6"/>
      <c r="Q27" s="1343">
        <f t="shared" si="11"/>
        <v>111</v>
      </c>
      <c r="R27" s="701" t="s">
        <v>14</v>
      </c>
      <c r="S27" s="702">
        <f>F27</f>
        <v>100</v>
      </c>
      <c r="T27" s="701" t="s">
        <v>14</v>
      </c>
      <c r="U27" s="702">
        <f>H27</f>
        <v>100</v>
      </c>
      <c r="V27" s="701" t="s">
        <v>14</v>
      </c>
      <c r="W27" s="702">
        <f>J27</f>
        <v>100</v>
      </c>
      <c r="X27" s="703"/>
      <c r="Y27" s="368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6"/>
      <c r="Q28" s="1352">
        <f t="shared" si="11"/>
        <v>111</v>
      </c>
      <c r="R28" s="705" t="s">
        <v>14</v>
      </c>
      <c r="S28" s="706">
        <f t="shared" ref="S28:S40" si="12">F28</f>
        <v>100</v>
      </c>
      <c r="T28" s="705" t="s">
        <v>14</v>
      </c>
      <c r="U28" s="706">
        <f t="shared" ref="U28:U40" si="13">H28</f>
        <v>100</v>
      </c>
      <c r="V28" s="705" t="s">
        <v>14</v>
      </c>
      <c r="W28" s="706">
        <f t="shared" ref="W28:W40" si="14">J28</f>
        <v>100</v>
      </c>
      <c r="X28" s="1355"/>
      <c r="Y28" s="3686"/>
      <c r="Z28" s="1356">
        <f t="shared" ref="Z28:Z40" si="15">Q28</f>
        <v>111</v>
      </c>
      <c r="AA28" s="1353">
        <f t="shared" si="3"/>
        <v>1</v>
      </c>
      <c r="AB28" s="1353">
        <f t="shared" si="4"/>
        <v>1</v>
      </c>
      <c r="AC28" s="1353">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9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0"/>
      <c r="Q30" s="707" t="str">
        <f t="shared" si="11"/>
        <v>项目建筑规模</v>
      </c>
      <c r="R30" s="708" t="s">
        <v>14</v>
      </c>
      <c r="S30" s="709" t="e">
        <f t="shared" si="12"/>
        <v>#N/A</v>
      </c>
      <c r="T30" s="708" t="s">
        <v>14</v>
      </c>
      <c r="U30" s="709" t="e">
        <f t="shared" si="13"/>
        <v>#N/A</v>
      </c>
      <c r="V30" s="708" t="s">
        <v>14</v>
      </c>
      <c r="W30" s="709" t="e">
        <f t="shared" si="14"/>
        <v>#N/A</v>
      </c>
      <c r="X30" s="710"/>
      <c r="Y30" s="369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0"/>
      <c r="Q31" s="1352" t="str">
        <f t="shared" si="11"/>
        <v>建筑结构</v>
      </c>
      <c r="R31" s="705" t="s">
        <v>14</v>
      </c>
      <c r="S31" s="706">
        <f t="shared" si="12"/>
        <v>100</v>
      </c>
      <c r="T31" s="705" t="s">
        <v>14</v>
      </c>
      <c r="U31" s="706">
        <f t="shared" si="13"/>
        <v>100</v>
      </c>
      <c r="V31" s="705" t="s">
        <v>14</v>
      </c>
      <c r="W31" s="706">
        <f t="shared" si="14"/>
        <v>100</v>
      </c>
      <c r="X31" s="1355"/>
      <c r="Y31" s="369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0"/>
      <c r="Q32" s="1352" t="str">
        <f t="shared" si="11"/>
        <v>公共部分装修</v>
      </c>
      <c r="R32" s="705" t="s">
        <v>14</v>
      </c>
      <c r="S32" s="706">
        <f t="shared" si="12"/>
        <v>100</v>
      </c>
      <c r="T32" s="705" t="s">
        <v>14</v>
      </c>
      <c r="U32" s="706">
        <f t="shared" si="13"/>
        <v>100</v>
      </c>
      <c r="V32" s="705" t="s">
        <v>14</v>
      </c>
      <c r="W32" s="706">
        <f t="shared" si="14"/>
        <v>100</v>
      </c>
      <c r="X32" s="1355"/>
      <c r="Y32" s="369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0"/>
      <c r="Q33" s="1352" t="str">
        <f t="shared" si="11"/>
        <v>成新度</v>
      </c>
      <c r="R33" s="705" t="s">
        <v>14</v>
      </c>
      <c r="S33" s="706" t="e">
        <f t="shared" si="12"/>
        <v>#N/A</v>
      </c>
      <c r="T33" s="705" t="s">
        <v>14</v>
      </c>
      <c r="U33" s="706" t="e">
        <f t="shared" si="13"/>
        <v>#N/A</v>
      </c>
      <c r="V33" s="705" t="s">
        <v>14</v>
      </c>
      <c r="W33" s="706" t="e">
        <f t="shared" si="14"/>
        <v>#N/A</v>
      </c>
      <c r="X33" s="1355"/>
      <c r="Y33" s="369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0"/>
      <c r="Q34" s="1343" t="str">
        <f t="shared" si="11"/>
        <v>物业管理</v>
      </c>
      <c r="R34" s="701" t="s">
        <v>14</v>
      </c>
      <c r="S34" s="702">
        <f t="shared" si="12"/>
        <v>100</v>
      </c>
      <c r="T34" s="701" t="s">
        <v>14</v>
      </c>
      <c r="U34" s="702">
        <f t="shared" si="13"/>
        <v>100</v>
      </c>
      <c r="V34" s="701" t="s">
        <v>14</v>
      </c>
      <c r="W34" s="702">
        <f t="shared" si="14"/>
        <v>100</v>
      </c>
      <c r="X34" s="703"/>
      <c r="Y34" s="369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0" t="s">
        <v>1696</v>
      </c>
      <c r="Q35" s="1352" t="str">
        <f t="shared" si="11"/>
        <v>市政基础设施</v>
      </c>
      <c r="R35" s="705" t="s">
        <v>14</v>
      </c>
      <c r="S35" s="706">
        <f t="shared" si="12"/>
        <v>100</v>
      </c>
      <c r="T35" s="705" t="s">
        <v>14</v>
      </c>
      <c r="U35" s="706">
        <f t="shared" si="13"/>
        <v>100</v>
      </c>
      <c r="V35" s="705" t="s">
        <v>14</v>
      </c>
      <c r="W35" s="706">
        <f t="shared" si="14"/>
        <v>100</v>
      </c>
      <c r="X35" s="1355"/>
      <c r="Y35" s="369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0"/>
      <c r="Q36" s="1352" t="str">
        <f t="shared" si="11"/>
        <v>内部装修</v>
      </c>
      <c r="R36" s="705" t="s">
        <v>14</v>
      </c>
      <c r="S36" s="706">
        <f t="shared" si="12"/>
        <v>100</v>
      </c>
      <c r="T36" s="705" t="s">
        <v>14</v>
      </c>
      <c r="U36" s="706">
        <f t="shared" si="13"/>
        <v>100</v>
      </c>
      <c r="V36" s="705" t="s">
        <v>14</v>
      </c>
      <c r="W36" s="706">
        <f t="shared" si="14"/>
        <v>100</v>
      </c>
      <c r="X36" s="1355"/>
      <c r="Y36" s="369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0"/>
      <c r="Q37" s="1352" t="str">
        <f t="shared" si="11"/>
        <v>内部装修状况</v>
      </c>
      <c r="R37" s="705" t="s">
        <v>14</v>
      </c>
      <c r="S37" s="706">
        <f t="shared" si="12"/>
        <v>100</v>
      </c>
      <c r="T37" s="705" t="s">
        <v>14</v>
      </c>
      <c r="U37" s="706">
        <f t="shared" si="13"/>
        <v>100</v>
      </c>
      <c r="V37" s="705" t="s">
        <v>14</v>
      </c>
      <c r="W37" s="706">
        <f t="shared" si="14"/>
        <v>100</v>
      </c>
      <c r="X37" s="1355"/>
      <c r="Y37" s="369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0"/>
      <c r="Q38" s="707">
        <f t="shared" si="11"/>
        <v>111</v>
      </c>
      <c r="R38" s="708" t="s">
        <v>14</v>
      </c>
      <c r="S38" s="709">
        <f t="shared" si="12"/>
        <v>100</v>
      </c>
      <c r="T38" s="708" t="s">
        <v>14</v>
      </c>
      <c r="U38" s="709">
        <f t="shared" si="13"/>
        <v>100</v>
      </c>
      <c r="V38" s="708" t="s">
        <v>14</v>
      </c>
      <c r="W38" s="709">
        <f t="shared" si="14"/>
        <v>100</v>
      </c>
      <c r="X38" s="710"/>
      <c r="Y38" s="369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0"/>
      <c r="Q39" s="1352">
        <f t="shared" si="11"/>
        <v>111</v>
      </c>
      <c r="R39" s="705" t="s">
        <v>14</v>
      </c>
      <c r="S39" s="706">
        <f t="shared" si="12"/>
        <v>100</v>
      </c>
      <c r="T39" s="705" t="s">
        <v>14</v>
      </c>
      <c r="U39" s="706">
        <f t="shared" si="13"/>
        <v>100</v>
      </c>
      <c r="V39" s="705" t="s">
        <v>14</v>
      </c>
      <c r="W39" s="706">
        <f t="shared" si="14"/>
        <v>100</v>
      </c>
      <c r="X39" s="1355"/>
      <c r="Y39" s="3690"/>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1"/>
      <c r="Q40" s="1352">
        <f t="shared" si="11"/>
        <v>111</v>
      </c>
      <c r="R40" s="705" t="s">
        <v>14</v>
      </c>
      <c r="S40" s="706">
        <f t="shared" si="12"/>
        <v>100</v>
      </c>
      <c r="T40" s="705" t="s">
        <v>14</v>
      </c>
      <c r="U40" s="706">
        <f t="shared" si="13"/>
        <v>100</v>
      </c>
      <c r="V40" s="705" t="s">
        <v>14</v>
      </c>
      <c r="W40" s="706">
        <f t="shared" si="14"/>
        <v>100</v>
      </c>
      <c r="X40" s="1355"/>
      <c r="Y40" s="369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3" t="str">
        <f>A41</f>
        <v>成交单价（元/平方米）</v>
      </c>
      <c r="Q41" s="3683"/>
      <c r="R41" s="3684">
        <f>E41</f>
        <v>0</v>
      </c>
      <c r="S41" s="3684"/>
      <c r="T41" s="3684">
        <f>G41</f>
        <v>0</v>
      </c>
      <c r="U41" s="3684"/>
      <c r="V41" s="3684">
        <f>I41</f>
        <v>0</v>
      </c>
      <c r="W41" s="3684"/>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0" t="str">
        <f>A43</f>
        <v>估价对象XX用房的比较价值（楼面单价，元/平方米）</v>
      </c>
      <c r="Q43" s="3681"/>
      <c r="R43" s="3682" t="e">
        <f>IF(F1="售价",ROUND(IF(D42="简单平均",AVERAGE(R42:V42),R42*F42+T42*H42+V42*J42),0),ROUND(IF(D42="简单平均",AVERAGE(R42:V42),R42*F42+T42*H42+V42*J42),1))</f>
        <v>#DIV/0!</v>
      </c>
      <c r="S43" s="3682"/>
      <c r="T43" s="3682"/>
      <c r="U43" s="3682"/>
      <c r="V43" s="3682"/>
      <c r="W43" s="3682"/>
      <c r="X43" s="690"/>
      <c r="Y43" s="690"/>
      <c r="Z43" s="690"/>
      <c r="AA43" s="690"/>
      <c r="AB43" s="690"/>
      <c r="AC43" s="690"/>
    </row>
    <row r="44" spans="1:29">
      <c r="A44" s="2719"/>
      <c r="B44" s="2719"/>
      <c r="C44" s="2719"/>
      <c r="D44" s="2719"/>
      <c r="E44" s="2719"/>
      <c r="F44" s="2719"/>
      <c r="G44" s="2723"/>
      <c r="H44" s="2719"/>
      <c r="I44" s="2719"/>
      <c r="J44" s="2719"/>
      <c r="K44" s="2724"/>
      <c r="L44" s="889"/>
      <c r="M44" s="927"/>
      <c r="N44" s="927"/>
      <c r="O44" s="927"/>
    </row>
    <row r="45" spans="1:29">
      <c r="A45" s="2719"/>
      <c r="B45" s="2719"/>
      <c r="C45" s="2719"/>
      <c r="D45" s="2719"/>
      <c r="E45" s="2719"/>
      <c r="F45" s="2719"/>
      <c r="G45" s="2719"/>
      <c r="H45" s="2719"/>
      <c r="I45" s="2719"/>
      <c r="J45" s="2719"/>
      <c r="K45" s="2724"/>
      <c r="L45" s="889"/>
      <c r="M45" s="927"/>
      <c r="N45" s="927"/>
      <c r="O45" s="927"/>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9"/>
      <c r="M46" s="927"/>
      <c r="N46" s="927"/>
      <c r="O46" s="927"/>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9"/>
      <c r="M47" s="927"/>
      <c r="N47" s="927"/>
      <c r="O47" s="927"/>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30"/>
      <c r="M48" s="928"/>
      <c r="N48" s="928"/>
      <c r="O48" s="928"/>
    </row>
    <row r="49" spans="1:17" s="451" customFormat="1">
      <c r="A49" s="2722"/>
      <c r="B49" s="2725"/>
      <c r="C49" s="2726"/>
      <c r="D49" s="2722"/>
      <c r="E49" s="2722"/>
      <c r="F49" s="2722"/>
      <c r="G49" s="2722"/>
      <c r="H49" s="2722"/>
      <c r="I49" s="2722"/>
      <c r="J49" s="2722"/>
      <c r="K49" s="2727"/>
      <c r="L49" s="930"/>
      <c r="M49" s="928"/>
      <c r="N49" s="928"/>
      <c r="O49" s="928"/>
    </row>
    <row r="50" spans="1:17">
      <c r="A50" s="2719"/>
      <c r="B50" s="2725"/>
      <c r="C50" s="2726"/>
      <c r="D50" s="2719"/>
      <c r="E50" s="2719"/>
      <c r="F50" s="2719"/>
      <c r="G50" s="2719"/>
      <c r="H50" s="2719"/>
      <c r="I50" s="2719"/>
      <c r="J50" s="2719"/>
      <c r="K50" s="2724"/>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27"/>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8"/>
      <c r="M3" s="2729" t="e">
        <f ca="1">IF(C2="——",IF(B37="元/平方米",ROUND(C39*D3/10000,0),ROUND(F3*C39/10000,0)),IF(B37="元/平方米",ROUND(C39*D3/10000,0),ROUND(F3*C39/10000,0))-D2)</f>
        <v>#DIV/0!</v>
      </c>
      <c r="N3" s="2729"/>
      <c r="O3" s="2729"/>
      <c r="P3" s="1165"/>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09"/>
      <c r="M4" s="2710"/>
      <c r="N4" s="2710"/>
      <c r="O4" s="2710"/>
      <c r="P4" s="3670" t="s">
        <v>1775</v>
      </c>
      <c r="Q4" s="3671"/>
      <c r="R4" s="3653" t="s">
        <v>1771</v>
      </c>
      <c r="S4" s="3654"/>
      <c r="T4" s="3653" t="s">
        <v>1772</v>
      </c>
      <c r="U4" s="3654"/>
      <c r="V4" s="3678" t="s">
        <v>1773</v>
      </c>
      <c r="W4" s="3678"/>
      <c r="X4" s="1355"/>
      <c r="Y4" s="3653" t="s">
        <v>1775</v>
      </c>
      <c r="Z4" s="3654"/>
      <c r="AA4" s="3648" t="s">
        <v>1771</v>
      </c>
      <c r="AB4" s="3649" t="s">
        <v>1772</v>
      </c>
      <c r="AC4" s="3648" t="s">
        <v>1773</v>
      </c>
    </row>
    <row r="5" spans="1:29" ht="15">
      <c r="A5" s="358"/>
      <c r="B5" s="359"/>
      <c r="C5" s="3659" t="s">
        <v>1673</v>
      </c>
      <c r="D5" s="3660"/>
      <c r="E5" s="3657" t="s">
        <v>1674</v>
      </c>
      <c r="F5" s="3658"/>
      <c r="G5" s="3659" t="s">
        <v>1675</v>
      </c>
      <c r="H5" s="3660"/>
      <c r="I5" s="3659" t="s">
        <v>1676</v>
      </c>
      <c r="J5" s="3660"/>
      <c r="K5" s="559"/>
      <c r="L5" s="2709"/>
      <c r="M5" s="2710"/>
      <c r="N5" s="2710"/>
      <c r="O5" s="2710"/>
      <c r="P5" s="3672"/>
      <c r="Q5" s="3673"/>
      <c r="R5" s="3655"/>
      <c r="S5" s="3656"/>
      <c r="T5" s="3655"/>
      <c r="U5" s="3656"/>
      <c r="V5" s="3678"/>
      <c r="W5" s="3678"/>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559" t="s">
        <v>1678</v>
      </c>
      <c r="L6" s="2709"/>
      <c r="M6" s="2710"/>
      <c r="N6" s="2710"/>
      <c r="O6" s="2710"/>
      <c r="P6" s="3674"/>
      <c r="Q6" s="3675"/>
      <c r="R6" s="3655"/>
      <c r="S6" s="3656"/>
      <c r="T6" s="3676"/>
      <c r="U6" s="3677"/>
      <c r="V6" s="3678"/>
      <c r="W6" s="3678"/>
      <c r="X6" s="1355"/>
      <c r="Y6" s="3676"/>
      <c r="Z6" s="3677"/>
      <c r="AA6" s="3650"/>
      <c r="AB6" s="3650"/>
      <c r="AC6" s="3650"/>
    </row>
    <row r="7" spans="1:29" s="108" customFormat="1" ht="15.75" thickBot="1">
      <c r="A7" s="362" t="s">
        <v>1679</v>
      </c>
      <c r="B7" s="363"/>
      <c r="C7" s="364">
        <f>'数据-取费表'!B2</f>
        <v>45013</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51" t="s">
        <v>1680</v>
      </c>
      <c r="Q7" s="3679"/>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51" t="s">
        <v>1683</v>
      </c>
      <c r="Q8" s="3652"/>
      <c r="R8" s="701" t="s">
        <v>14</v>
      </c>
      <c r="S8" s="702">
        <f t="shared" si="0"/>
        <v>100</v>
      </c>
      <c r="T8" s="701" t="s">
        <v>14</v>
      </c>
      <c r="U8" s="702">
        <f t="shared" si="1"/>
        <v>100</v>
      </c>
      <c r="V8" s="701" t="s">
        <v>14</v>
      </c>
      <c r="W8" s="702">
        <f t="shared" si="2"/>
        <v>100</v>
      </c>
      <c r="X8" s="703"/>
      <c r="Y8" s="3651" t="s">
        <v>1683</v>
      </c>
      <c r="Z8" s="36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83"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83"/>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83"/>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83"/>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83"/>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228">
      <c r="A14" s="355" t="s">
        <v>1690</v>
      </c>
      <c r="B14" s="577"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6"/>
      <c r="M15" s="2710"/>
      <c r="N15" s="2710"/>
      <c r="O15" s="2710"/>
      <c r="P15" s="3686"/>
      <c r="Q15" s="1352"/>
      <c r="R15" s="705"/>
      <c r="S15" s="706"/>
      <c r="T15" s="705"/>
      <c r="U15" s="706"/>
      <c r="V15" s="705"/>
      <c r="W15" s="706"/>
      <c r="X15" s="1355"/>
      <c r="Y15" s="3686"/>
      <c r="Z15" s="1356"/>
      <c r="AA15" s="1353">
        <v>1</v>
      </c>
      <c r="AB15" s="1353">
        <v>1</v>
      </c>
      <c r="AC15" s="1353">
        <v>1</v>
      </c>
    </row>
    <row r="16" spans="1:29" ht="342">
      <c r="A16" s="358"/>
      <c r="B16" s="579"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16"/>
      <c r="M17" s="2710"/>
      <c r="N17" s="2710"/>
      <c r="O17" s="2710"/>
      <c r="P17" s="3686"/>
      <c r="Q17" s="1352"/>
      <c r="R17" s="705"/>
      <c r="S17" s="706"/>
      <c r="T17" s="705"/>
      <c r="U17" s="706"/>
      <c r="V17" s="705"/>
      <c r="W17" s="706"/>
      <c r="X17" s="1355"/>
      <c r="Y17" s="3686"/>
      <c r="Z17" s="1356"/>
      <c r="AA17" s="1353">
        <v>1</v>
      </c>
      <c r="AB17" s="1353">
        <v>1</v>
      </c>
      <c r="AC17" s="1353">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16"/>
      <c r="M19" s="2710"/>
      <c r="N19" s="2710"/>
      <c r="O19" s="2710"/>
      <c r="P19" s="3686"/>
      <c r="Q19" s="1352"/>
      <c r="R19" s="705"/>
      <c r="S19" s="706"/>
      <c r="T19" s="705"/>
      <c r="U19" s="706"/>
      <c r="V19" s="705"/>
      <c r="W19" s="706"/>
      <c r="X19" s="1355"/>
      <c r="Y19" s="3686"/>
      <c r="Z19" s="1356"/>
      <c r="AA19" s="1353">
        <v>1</v>
      </c>
      <c r="AB19" s="1353">
        <v>1</v>
      </c>
      <c r="AC19" s="1353">
        <v>1</v>
      </c>
    </row>
    <row r="20" spans="1:29" ht="85.5">
      <c r="A20" s="358"/>
      <c r="B20" s="579" t="s">
        <v>1834</v>
      </c>
      <c r="C20" s="1899" t="str">
        <f>IF(B1="工业",估价对象房地状况!G7,估价对象房地状况!C9)</f>
        <v xml:space="preserve">有望京文化体育公园等自然、人文设施；
综上，自然及人文环境一般。
</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6"/>
      <c r="M21" s="2710"/>
      <c r="N21" s="2710"/>
      <c r="O21" s="2710"/>
      <c r="P21" s="3686"/>
      <c r="Q21" s="1352"/>
      <c r="R21" s="705"/>
      <c r="S21" s="706"/>
      <c r="T21" s="705"/>
      <c r="U21" s="706"/>
      <c r="V21" s="705"/>
      <c r="W21" s="706"/>
      <c r="X21" s="1355"/>
      <c r="Y21" s="368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86"/>
      <c r="Q24" s="1352">
        <f t="shared" ref="Q24:Q36"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90"/>
      <c r="Q27" s="707" t="str">
        <f t="shared" si="11"/>
        <v>项目停车位配比</v>
      </c>
      <c r="R27" s="708" t="s">
        <v>14</v>
      </c>
      <c r="S27" s="709">
        <f t="shared" si="12"/>
        <v>100</v>
      </c>
      <c r="T27" s="708" t="s">
        <v>14</v>
      </c>
      <c r="U27" s="709">
        <f t="shared" si="13"/>
        <v>100</v>
      </c>
      <c r="V27" s="708" t="s">
        <v>14</v>
      </c>
      <c r="W27" s="709">
        <f t="shared" si="14"/>
        <v>100</v>
      </c>
      <c r="X27" s="710"/>
      <c r="Y27" s="369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90"/>
      <c r="Q28" s="1352" t="str">
        <f t="shared" si="11"/>
        <v>公共部分装修</v>
      </c>
      <c r="R28" s="705" t="s">
        <v>14</v>
      </c>
      <c r="S28" s="706">
        <f t="shared" si="12"/>
        <v>100</v>
      </c>
      <c r="T28" s="705" t="s">
        <v>14</v>
      </c>
      <c r="U28" s="706">
        <f t="shared" si="13"/>
        <v>100</v>
      </c>
      <c r="V28" s="705" t="s">
        <v>14</v>
      </c>
      <c r="W28" s="706">
        <f t="shared" si="14"/>
        <v>100</v>
      </c>
      <c r="X28" s="1355"/>
      <c r="Y28" s="369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90"/>
      <c r="Q29" s="1352" t="str">
        <f t="shared" si="11"/>
        <v>成新率</v>
      </c>
      <c r="R29" s="705" t="s">
        <v>14</v>
      </c>
      <c r="S29" s="706" t="e">
        <f t="shared" si="12"/>
        <v>#N/A</v>
      </c>
      <c r="T29" s="705" t="s">
        <v>14</v>
      </c>
      <c r="U29" s="706" t="e">
        <f t="shared" si="13"/>
        <v>#N/A</v>
      </c>
      <c r="V29" s="705" t="s">
        <v>14</v>
      </c>
      <c r="W29" s="706" t="e">
        <f t="shared" si="14"/>
        <v>#N/A</v>
      </c>
      <c r="X29" s="1355"/>
      <c r="Y29" s="369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90"/>
      <c r="Q30" s="1352" t="str">
        <f t="shared" si="11"/>
        <v>物业等级</v>
      </c>
      <c r="R30" s="705" t="s">
        <v>14</v>
      </c>
      <c r="S30" s="706">
        <f t="shared" si="12"/>
        <v>100</v>
      </c>
      <c r="T30" s="705" t="s">
        <v>14</v>
      </c>
      <c r="U30" s="706">
        <f t="shared" si="13"/>
        <v>100</v>
      </c>
      <c r="V30" s="705" t="s">
        <v>14</v>
      </c>
      <c r="W30" s="706">
        <f t="shared" si="14"/>
        <v>100</v>
      </c>
      <c r="X30" s="1355"/>
      <c r="Y30" s="369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90"/>
      <c r="Q31" s="1343" t="str">
        <f t="shared" si="11"/>
        <v>停车位面积</v>
      </c>
      <c r="R31" s="701" t="s">
        <v>14</v>
      </c>
      <c r="S31" s="702" t="e">
        <f t="shared" si="12"/>
        <v>#N/A</v>
      </c>
      <c r="T31" s="701" t="s">
        <v>14</v>
      </c>
      <c r="U31" s="702" t="e">
        <f t="shared" si="13"/>
        <v>#N/A</v>
      </c>
      <c r="V31" s="701" t="s">
        <v>14</v>
      </c>
      <c r="W31" s="702" t="e">
        <f t="shared" si="14"/>
        <v>#N/A</v>
      </c>
      <c r="X31" s="703"/>
      <c r="Y31" s="369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90" t="s">
        <v>1696</v>
      </c>
      <c r="Q32" s="1352" t="str">
        <f t="shared" si="11"/>
        <v>车位类型</v>
      </c>
      <c r="R32" s="705" t="s">
        <v>14</v>
      </c>
      <c r="S32" s="706">
        <f t="shared" si="12"/>
        <v>100</v>
      </c>
      <c r="T32" s="705" t="s">
        <v>14</v>
      </c>
      <c r="U32" s="706">
        <f t="shared" si="13"/>
        <v>100</v>
      </c>
      <c r="V32" s="705" t="s">
        <v>14</v>
      </c>
      <c r="W32" s="706">
        <f t="shared" si="14"/>
        <v>100</v>
      </c>
      <c r="X32" s="1355"/>
      <c r="Y32" s="369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90"/>
      <c r="Q33" s="1352" t="str">
        <f t="shared" si="11"/>
        <v>是否直接入户</v>
      </c>
      <c r="R33" s="705" t="s">
        <v>14</v>
      </c>
      <c r="S33" s="706">
        <f t="shared" si="12"/>
        <v>100</v>
      </c>
      <c r="T33" s="705" t="s">
        <v>14</v>
      </c>
      <c r="U33" s="706">
        <f t="shared" si="13"/>
        <v>100</v>
      </c>
      <c r="V33" s="705" t="s">
        <v>14</v>
      </c>
      <c r="W33" s="706">
        <f t="shared" si="14"/>
        <v>100</v>
      </c>
      <c r="X33" s="1355"/>
      <c r="Y33" s="369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90"/>
      <c r="Q35" s="707">
        <f t="shared" si="11"/>
        <v>111</v>
      </c>
      <c r="R35" s="708" t="s">
        <v>14</v>
      </c>
      <c r="S35" s="709">
        <f t="shared" si="12"/>
        <v>100</v>
      </c>
      <c r="T35" s="708" t="s">
        <v>14</v>
      </c>
      <c r="U35" s="709">
        <f t="shared" si="13"/>
        <v>100</v>
      </c>
      <c r="V35" s="708" t="s">
        <v>14</v>
      </c>
      <c r="W35" s="709">
        <f t="shared" si="14"/>
        <v>100</v>
      </c>
      <c r="X35" s="710"/>
      <c r="Y35" s="369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90"/>
      <c r="Q36" s="1352">
        <f t="shared" si="11"/>
        <v>111</v>
      </c>
      <c r="R36" s="705" t="s">
        <v>14</v>
      </c>
      <c r="S36" s="706">
        <f t="shared" si="12"/>
        <v>100</v>
      </c>
      <c r="T36" s="705" t="s">
        <v>14</v>
      </c>
      <c r="U36" s="706">
        <f t="shared" si="13"/>
        <v>100</v>
      </c>
      <c r="V36" s="705" t="s">
        <v>14</v>
      </c>
      <c r="W36" s="706">
        <f t="shared" si="14"/>
        <v>100</v>
      </c>
      <c r="X36" s="1355"/>
      <c r="Y36" s="3690"/>
      <c r="Z36" s="1356">
        <f t="shared" si="15"/>
        <v>111</v>
      </c>
      <c r="AA36" s="1353">
        <f t="shared" si="3"/>
        <v>1</v>
      </c>
      <c r="AB36" s="1353">
        <f t="shared" si="4"/>
        <v>1</v>
      </c>
      <c r="AC36" s="1353">
        <f t="shared" si="5"/>
        <v>1</v>
      </c>
    </row>
    <row r="37" spans="1:29" ht="15">
      <c r="A37" s="430" t="s">
        <v>1844</v>
      </c>
      <c r="B37" s="1970" t="s">
        <v>3357</v>
      </c>
      <c r="C37" s="1154" t="s">
        <v>0</v>
      </c>
      <c r="D37" s="1155"/>
      <c r="E37" s="1156"/>
      <c r="F37" s="1157"/>
      <c r="G37" s="1158"/>
      <c r="H37" s="1159"/>
      <c r="I37" s="1156"/>
      <c r="J37" s="1159"/>
      <c r="K37" s="568"/>
      <c r="L37" s="2718"/>
      <c r="M37" s="2719"/>
      <c r="N37" s="2710"/>
      <c r="O37" s="2719"/>
      <c r="P37" s="3683" t="str">
        <f>A37</f>
        <v>成交单价</v>
      </c>
      <c r="Q37" s="3683"/>
      <c r="R37" s="3684">
        <f>E37</f>
        <v>0</v>
      </c>
      <c r="S37" s="3684"/>
      <c r="T37" s="3684">
        <f>G37</f>
        <v>0</v>
      </c>
      <c r="U37" s="3684"/>
      <c r="V37" s="3684">
        <f>I37</f>
        <v>0</v>
      </c>
      <c r="W37" s="3684"/>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8"/>
      <c r="M38" s="2719"/>
      <c r="N38" s="2719"/>
      <c r="O38" s="2719"/>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8"/>
      <c r="M39" s="2719"/>
      <c r="N39" s="2719"/>
      <c r="O39" s="2719"/>
      <c r="P39" s="3680" t="str">
        <f>A39</f>
        <v>估价对象XX用房的比较价值（楼面单价，元/平方米）</v>
      </c>
      <c r="Q39" s="3681"/>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6" t="s">
        <v>1850</v>
      </c>
      <c r="B47" s="927"/>
      <c r="C47" s="940"/>
      <c r="D47" s="940"/>
      <c r="E47" s="940"/>
      <c r="F47" s="1167"/>
      <c r="G47" s="1167"/>
      <c r="H47" s="940"/>
      <c r="I47" s="940"/>
      <c r="J47" s="940"/>
      <c r="K47" s="941"/>
      <c r="L47" s="942"/>
      <c r="M47" s="940"/>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3"/>
      <c r="Q48" s="2735"/>
      <c r="R48" s="2735"/>
      <c r="S48" s="2735"/>
      <c r="T48" s="2735"/>
      <c r="U48" s="2735"/>
      <c r="V48" s="2735"/>
      <c r="W48" s="2735"/>
      <c r="X48" s="2735"/>
      <c r="Y48" s="2735"/>
      <c r="Z48" s="2735"/>
      <c r="AA48" s="2735"/>
      <c r="AB48" s="2735"/>
      <c r="AC48" s="2735"/>
    </row>
    <row r="49" spans="1:29" s="108" customFormat="1" ht="15">
      <c r="A49" s="458"/>
      <c r="B49" s="459"/>
      <c r="C49" s="1177">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9"/>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估价对象为北京市房地产，为所有。根据《国有土地使用证》[]，估价对象（分摊）出让国有建设用地使用权面积为0平方米，建筑面积为70.15平方米。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估价对象为北京市房地产,属开发建设的，该项目尚在开发建设中。根据《国有土地使用证》[]，估价对象（分摊）出让国有建设用地使用权面积为0平方米，规划建筑面积为70.15平方米。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2023年3月28日（评估专业人员实地查勘之日）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27"/>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09"/>
      <c r="M4" s="2710"/>
      <c r="N4" s="2710"/>
      <c r="O4" s="2710"/>
      <c r="P4" s="3670" t="s">
        <v>1775</v>
      </c>
      <c r="Q4" s="3671"/>
      <c r="R4" s="3653" t="s">
        <v>1771</v>
      </c>
      <c r="S4" s="3654"/>
      <c r="T4" s="3653" t="s">
        <v>1772</v>
      </c>
      <c r="U4" s="3654"/>
      <c r="V4" s="3678" t="s">
        <v>1773</v>
      </c>
      <c r="W4" s="3678"/>
      <c r="X4" s="1355"/>
      <c r="Y4" s="3653" t="s">
        <v>1775</v>
      </c>
      <c r="Z4" s="3654"/>
      <c r="AA4" s="3648" t="s">
        <v>1771</v>
      </c>
      <c r="AB4" s="3649" t="s">
        <v>1772</v>
      </c>
      <c r="AC4" s="3648" t="s">
        <v>1773</v>
      </c>
    </row>
    <row r="5" spans="1:29" ht="15">
      <c r="A5" s="358"/>
      <c r="B5" s="359"/>
      <c r="C5" s="3659" t="s">
        <v>1673</v>
      </c>
      <c r="D5" s="3660"/>
      <c r="E5" s="3657" t="s">
        <v>1674</v>
      </c>
      <c r="F5" s="3658"/>
      <c r="G5" s="3659" t="s">
        <v>1675</v>
      </c>
      <c r="H5" s="3660"/>
      <c r="I5" s="3659" t="s">
        <v>1676</v>
      </c>
      <c r="J5" s="3660"/>
      <c r="K5" s="559"/>
      <c r="L5" s="2709"/>
      <c r="M5" s="2710"/>
      <c r="N5" s="2710"/>
      <c r="O5" s="2710"/>
      <c r="P5" s="3672"/>
      <c r="Q5" s="3673"/>
      <c r="R5" s="3655"/>
      <c r="S5" s="3656"/>
      <c r="T5" s="3655"/>
      <c r="U5" s="3656"/>
      <c r="V5" s="3678"/>
      <c r="W5" s="3678"/>
      <c r="X5" s="1355"/>
      <c r="Y5" s="3655"/>
      <c r="Z5" s="3656"/>
      <c r="AA5" s="3649"/>
      <c r="AB5" s="3649"/>
      <c r="AC5" s="3649"/>
    </row>
    <row r="6" spans="1:29" ht="15.75" thickBot="1">
      <c r="A6" s="360"/>
      <c r="B6" s="361"/>
      <c r="C6" s="3661" t="s">
        <v>1677</v>
      </c>
      <c r="D6" s="3662"/>
      <c r="E6" s="3663" t="s">
        <v>1677</v>
      </c>
      <c r="F6" s="3664"/>
      <c r="G6" s="3661" t="s">
        <v>1677</v>
      </c>
      <c r="H6" s="3662"/>
      <c r="I6" s="3661" t="s">
        <v>1677</v>
      </c>
      <c r="J6" s="3662"/>
      <c r="K6" s="559" t="s">
        <v>1678</v>
      </c>
      <c r="L6" s="2709"/>
      <c r="M6" s="2710"/>
      <c r="N6" s="2710"/>
      <c r="O6" s="2710"/>
      <c r="P6" s="3674"/>
      <c r="Q6" s="3675"/>
      <c r="R6" s="3655"/>
      <c r="S6" s="3656"/>
      <c r="T6" s="3676"/>
      <c r="U6" s="3677"/>
      <c r="V6" s="3678"/>
      <c r="W6" s="3678"/>
      <c r="X6" s="1355"/>
      <c r="Y6" s="3676"/>
      <c r="Z6" s="3677"/>
      <c r="AA6" s="3650"/>
      <c r="AB6" s="3650"/>
      <c r="AC6" s="3650"/>
    </row>
    <row r="7" spans="1:29" s="108" customFormat="1" ht="15.75" thickBot="1">
      <c r="A7" s="362" t="s">
        <v>1679</v>
      </c>
      <c r="B7" s="363"/>
      <c r="C7" s="364">
        <f>'数据-取费表'!B2</f>
        <v>45013</v>
      </c>
      <c r="D7" s="365">
        <v>100</v>
      </c>
      <c r="E7" s="366"/>
      <c r="F7" s="367">
        <f>SUMIF(46:46,YEAR(E7)&amp;"-"&amp;MONTH(E7),47:47)</f>
        <v>0</v>
      </c>
      <c r="G7" s="1971"/>
      <c r="H7" s="365">
        <f>SUMIF(46:46,YEAR(G7)&amp;"-"&amp;MONTH(G7),47:47)</f>
        <v>0</v>
      </c>
      <c r="I7" s="366"/>
      <c r="J7" s="365">
        <f>SUMIF(46:46,YEAR(I7)&amp;"-"&amp;MONTH(I7),47:47)</f>
        <v>0</v>
      </c>
      <c r="K7" s="560"/>
      <c r="L7" s="2711"/>
      <c r="M7" s="2712"/>
      <c r="N7" s="2712"/>
      <c r="O7" s="2712"/>
      <c r="P7" s="3651" t="s">
        <v>1680</v>
      </c>
      <c r="Q7" s="3679"/>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51" t="s">
        <v>1683</v>
      </c>
      <c r="Q8" s="3652"/>
      <c r="R8" s="701" t="s">
        <v>14</v>
      </c>
      <c r="S8" s="702">
        <f t="shared" si="0"/>
        <v>100</v>
      </c>
      <c r="T8" s="701" t="s">
        <v>14</v>
      </c>
      <c r="U8" s="702">
        <f t="shared" si="1"/>
        <v>100</v>
      </c>
      <c r="V8" s="701" t="s">
        <v>14</v>
      </c>
      <c r="W8" s="702">
        <f t="shared" si="2"/>
        <v>100</v>
      </c>
      <c r="X8" s="703"/>
      <c r="Y8" s="3651" t="s">
        <v>1683</v>
      </c>
      <c r="Z8" s="36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83"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83"/>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83"/>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83"/>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6"/>
      <c r="M13" s="2710"/>
      <c r="N13" s="2710"/>
      <c r="O13" s="2768"/>
      <c r="P13" s="3683"/>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228">
      <c r="A14" s="391" t="s">
        <v>1690</v>
      </c>
      <c r="B14" s="61" t="s">
        <v>1833</v>
      </c>
      <c r="C14" s="1968" t="str">
        <f>IF(B1="工业",估价对象房地状况!G4,估价对象房地状况!C6)</f>
        <v>估价对象周边距离地铁14、15号线望京站约700米，距离地铁14号线阜通站约700米，距离北四环约2.6公里，距离北五环约1.6公里；周边有专15路、专212路、132路、421路、467路、538路等公交线路途径并设立站点，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85" t="s">
        <v>1691</v>
      </c>
      <c r="Q14" s="1352" t="str">
        <f t="shared" si="6"/>
        <v>交通便捷度</v>
      </c>
      <c r="R14" s="705" t="s">
        <v>14</v>
      </c>
      <c r="S14" s="706">
        <f t="shared" si="0"/>
        <v>100</v>
      </c>
      <c r="T14" s="705" t="s">
        <v>14</v>
      </c>
      <c r="U14" s="706">
        <f t="shared" si="1"/>
        <v>100</v>
      </c>
      <c r="V14" s="705" t="s">
        <v>14</v>
      </c>
      <c r="W14" s="706">
        <f t="shared" si="2"/>
        <v>100</v>
      </c>
      <c r="X14" s="1355"/>
      <c r="Y14" s="368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6"/>
      <c r="M15" s="2710"/>
      <c r="N15" s="2710"/>
      <c r="O15" s="2768"/>
      <c r="P15" s="3686"/>
      <c r="Q15" s="1352"/>
      <c r="R15" s="705"/>
      <c r="S15" s="706"/>
      <c r="T15" s="705"/>
      <c r="U15" s="706"/>
      <c r="V15" s="705"/>
      <c r="W15" s="706"/>
      <c r="X15" s="1355"/>
      <c r="Y15" s="3686"/>
      <c r="Z15" s="1356"/>
      <c r="AA15" s="1353">
        <v>1</v>
      </c>
      <c r="AB15" s="1353">
        <v>1</v>
      </c>
      <c r="AC15" s="1353">
        <v>1</v>
      </c>
    </row>
    <row r="16" spans="1:29" ht="342">
      <c r="A16" s="379"/>
      <c r="B16" s="402" t="s">
        <v>1812</v>
      </c>
      <c r="C16" s="1899" t="str">
        <f>IF(B1="工业",估价对象房地状况!G5,估价对象房地状况!C7)</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86"/>
      <c r="Q16" s="1352" t="str">
        <f>B16</f>
        <v>公共配套设施</v>
      </c>
      <c r="R16" s="705" t="s">
        <v>14</v>
      </c>
      <c r="S16" s="706">
        <f>F16</f>
        <v>100</v>
      </c>
      <c r="T16" s="705" t="s">
        <v>14</v>
      </c>
      <c r="U16" s="706">
        <f>H16</f>
        <v>100</v>
      </c>
      <c r="V16" s="705" t="s">
        <v>14</v>
      </c>
      <c r="W16" s="706">
        <f>J16</f>
        <v>100</v>
      </c>
      <c r="X16" s="1355"/>
      <c r="Y16" s="3686"/>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16"/>
      <c r="M17" s="2710"/>
      <c r="N17" s="2710"/>
      <c r="O17" s="2768"/>
      <c r="P17" s="3686"/>
      <c r="Q17" s="1352"/>
      <c r="R17" s="705"/>
      <c r="S17" s="706"/>
      <c r="T17" s="705"/>
      <c r="U17" s="706"/>
      <c r="V17" s="705"/>
      <c r="W17" s="706"/>
      <c r="X17" s="1355"/>
      <c r="Y17" s="3686"/>
      <c r="Z17" s="1356"/>
      <c r="AA17" s="1353">
        <v>1</v>
      </c>
      <c r="AB17" s="1353">
        <v>1</v>
      </c>
      <c r="AC17" s="1353">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86"/>
      <c r="Q18" s="1352" t="str">
        <f>B18</f>
        <v>基础设施水平</v>
      </c>
      <c r="R18" s="705" t="s">
        <v>14</v>
      </c>
      <c r="S18" s="706">
        <f>F18</f>
        <v>100</v>
      </c>
      <c r="T18" s="705" t="s">
        <v>14</v>
      </c>
      <c r="U18" s="706">
        <f>H18</f>
        <v>100</v>
      </c>
      <c r="V18" s="705" t="s">
        <v>14</v>
      </c>
      <c r="W18" s="706">
        <f>J18</f>
        <v>100</v>
      </c>
      <c r="X18" s="1355"/>
      <c r="Y18" s="3686"/>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16"/>
      <c r="M19" s="2710"/>
      <c r="N19" s="2710"/>
      <c r="O19" s="2768"/>
      <c r="P19" s="3686"/>
      <c r="Q19" s="1352"/>
      <c r="R19" s="705"/>
      <c r="S19" s="706"/>
      <c r="T19" s="705"/>
      <c r="U19" s="706"/>
      <c r="V19" s="705"/>
      <c r="W19" s="706"/>
      <c r="X19" s="1355"/>
      <c r="Y19" s="3686"/>
      <c r="Z19" s="1356"/>
      <c r="AA19" s="1353">
        <v>1</v>
      </c>
      <c r="AB19" s="1353">
        <v>1</v>
      </c>
      <c r="AC19" s="1353">
        <v>1</v>
      </c>
    </row>
    <row r="20" spans="1:29" ht="85.5">
      <c r="A20" s="379"/>
      <c r="B20" s="402" t="s">
        <v>1834</v>
      </c>
      <c r="C20" s="1899" t="str">
        <f>IF(B1="工业",估价对象房地状况!G7,估价对象房地状况!C9)</f>
        <v xml:space="preserve">有望京文化体育公园等自然、人文设施；
综上，自然及人文环境一般。
</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86"/>
      <c r="Q20" s="1352" t="str">
        <f>B20</f>
        <v>自然及人文环境</v>
      </c>
      <c r="R20" s="705" t="s">
        <v>14</v>
      </c>
      <c r="S20" s="706">
        <f>F20</f>
        <v>100</v>
      </c>
      <c r="T20" s="705" t="s">
        <v>14</v>
      </c>
      <c r="U20" s="706">
        <f>H20</f>
        <v>100</v>
      </c>
      <c r="V20" s="705" t="s">
        <v>14</v>
      </c>
      <c r="W20" s="706">
        <f>J20</f>
        <v>100</v>
      </c>
      <c r="X20" s="1355"/>
      <c r="Y20" s="368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6"/>
      <c r="M21" s="2710"/>
      <c r="N21" s="2710"/>
      <c r="O21" s="2768"/>
      <c r="P21" s="3686"/>
      <c r="Q21" s="1352"/>
      <c r="R21" s="705"/>
      <c r="S21" s="706"/>
      <c r="T21" s="705"/>
      <c r="U21" s="706"/>
      <c r="V21" s="705"/>
      <c r="W21" s="706"/>
      <c r="X21" s="1355"/>
      <c r="Y21" s="368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86"/>
      <c r="Q22" s="1352" t="str">
        <f>B22</f>
        <v>楼层</v>
      </c>
      <c r="R22" s="705" t="s">
        <v>14</v>
      </c>
      <c r="S22" s="706">
        <f>F22</f>
        <v>100</v>
      </c>
      <c r="T22" s="705" t="s">
        <v>14</v>
      </c>
      <c r="U22" s="706">
        <f>H22</f>
        <v>100</v>
      </c>
      <c r="V22" s="705" t="s">
        <v>14</v>
      </c>
      <c r="W22" s="706">
        <f>J22</f>
        <v>100</v>
      </c>
      <c r="X22" s="1355"/>
      <c r="Y22" s="3686"/>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86"/>
      <c r="Q23" s="1352">
        <f>B23</f>
        <v>111</v>
      </c>
      <c r="R23" s="705" t="s">
        <v>14</v>
      </c>
      <c r="S23" s="706">
        <f>F23</f>
        <v>100</v>
      </c>
      <c r="T23" s="705" t="s">
        <v>14</v>
      </c>
      <c r="U23" s="706">
        <f>H23</f>
        <v>100</v>
      </c>
      <c r="V23" s="705" t="s">
        <v>14</v>
      </c>
      <c r="W23" s="706">
        <f>J23</f>
        <v>100</v>
      </c>
      <c r="X23" s="1355"/>
      <c r="Y23" s="3686"/>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86"/>
      <c r="Q24" s="1352">
        <f t="shared" ref="Q24:Q34" si="11">B24</f>
        <v>111</v>
      </c>
      <c r="R24" s="705" t="s">
        <v>14</v>
      </c>
      <c r="S24" s="706">
        <f>F24</f>
        <v>100</v>
      </c>
      <c r="T24" s="705" t="s">
        <v>14</v>
      </c>
      <c r="U24" s="706">
        <f>H24</f>
        <v>100</v>
      </c>
      <c r="V24" s="705" t="s">
        <v>14</v>
      </c>
      <c r="W24" s="706">
        <f>J24</f>
        <v>100</v>
      </c>
      <c r="X24" s="1355"/>
      <c r="Y24" s="3686"/>
      <c r="Z24" s="1356">
        <f>Q24</f>
        <v>111</v>
      </c>
      <c r="AA24" s="1353">
        <f t="shared" si="3"/>
        <v>1</v>
      </c>
      <c r="AB24" s="1353">
        <f t="shared" si="4"/>
        <v>1</v>
      </c>
      <c r="AC24" s="1353">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11"/>
      <c r="M25" s="2712"/>
      <c r="N25" s="2712"/>
      <c r="O25" s="2766"/>
      <c r="P25" s="3686"/>
      <c r="Q25" s="1343">
        <f t="shared" si="11"/>
        <v>111</v>
      </c>
      <c r="R25" s="701" t="s">
        <v>14</v>
      </c>
      <c r="S25" s="702">
        <f>F25</f>
        <v>100</v>
      </c>
      <c r="T25" s="701" t="s">
        <v>14</v>
      </c>
      <c r="U25" s="702">
        <f>H25</f>
        <v>100</v>
      </c>
      <c r="V25" s="701" t="s">
        <v>14</v>
      </c>
      <c r="W25" s="702">
        <f>J25</f>
        <v>100</v>
      </c>
      <c r="X25" s="703"/>
      <c r="Y25" s="3686"/>
      <c r="Z25" s="52">
        <f>Q25</f>
        <v>111</v>
      </c>
      <c r="AA25" s="1353">
        <f>D25/F25</f>
        <v>1</v>
      </c>
      <c r="AB25" s="1353">
        <f>D25/H25</f>
        <v>1</v>
      </c>
      <c r="AC25" s="1353">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6"/>
      <c r="M26" s="2710"/>
      <c r="N26" s="2710"/>
      <c r="O26" s="2768"/>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90"/>
      <c r="Q27" s="707" t="str">
        <f t="shared" si="11"/>
        <v>成新率</v>
      </c>
      <c r="R27" s="708" t="s">
        <v>14</v>
      </c>
      <c r="S27" s="709" t="e">
        <f t="shared" si="12"/>
        <v>#N/A</v>
      </c>
      <c r="T27" s="708" t="s">
        <v>14</v>
      </c>
      <c r="U27" s="709" t="e">
        <f t="shared" si="13"/>
        <v>#N/A</v>
      </c>
      <c r="V27" s="708" t="s">
        <v>14</v>
      </c>
      <c r="W27" s="709" t="e">
        <f t="shared" si="14"/>
        <v>#N/A</v>
      </c>
      <c r="X27" s="710"/>
      <c r="Y27" s="369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90"/>
      <c r="Q28" s="1352" t="str">
        <f t="shared" si="11"/>
        <v>物业等级</v>
      </c>
      <c r="R28" s="705" t="s">
        <v>14</v>
      </c>
      <c r="S28" s="706">
        <f t="shared" si="12"/>
        <v>100</v>
      </c>
      <c r="T28" s="705" t="s">
        <v>14</v>
      </c>
      <c r="U28" s="706">
        <f t="shared" si="13"/>
        <v>100</v>
      </c>
      <c r="V28" s="705" t="s">
        <v>14</v>
      </c>
      <c r="W28" s="706">
        <f t="shared" si="14"/>
        <v>100</v>
      </c>
      <c r="X28" s="1355"/>
      <c r="Y28" s="369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90"/>
      <c r="Q29" s="1352" t="str">
        <f t="shared" si="11"/>
        <v>有无电梯</v>
      </c>
      <c r="R29" s="705" t="s">
        <v>14</v>
      </c>
      <c r="S29" s="706">
        <f t="shared" si="12"/>
        <v>100</v>
      </c>
      <c r="T29" s="705" t="s">
        <v>14</v>
      </c>
      <c r="U29" s="706">
        <f t="shared" si="13"/>
        <v>100</v>
      </c>
      <c r="V29" s="705" t="s">
        <v>14</v>
      </c>
      <c r="W29" s="706">
        <f t="shared" si="14"/>
        <v>100</v>
      </c>
      <c r="X29" s="1355"/>
      <c r="Y29" s="369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90"/>
      <c r="Q30" s="1352" t="str">
        <f t="shared" si="11"/>
        <v>建筑面积</v>
      </c>
      <c r="R30" s="705" t="s">
        <v>14</v>
      </c>
      <c r="S30" s="706" t="e">
        <f t="shared" si="12"/>
        <v>#N/A</v>
      </c>
      <c r="T30" s="705" t="s">
        <v>14</v>
      </c>
      <c r="U30" s="706" t="e">
        <f t="shared" si="13"/>
        <v>#N/A</v>
      </c>
      <c r="V30" s="705" t="s">
        <v>14</v>
      </c>
      <c r="W30" s="706" t="e">
        <f t="shared" si="14"/>
        <v>#N/A</v>
      </c>
      <c r="X30" s="1355"/>
      <c r="Y30" s="369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90"/>
      <c r="Q31" s="1343" t="str">
        <f t="shared" si="11"/>
        <v>是否封闭</v>
      </c>
      <c r="R31" s="701" t="s">
        <v>14</v>
      </c>
      <c r="S31" s="702">
        <f t="shared" si="12"/>
        <v>100</v>
      </c>
      <c r="T31" s="701" t="s">
        <v>14</v>
      </c>
      <c r="U31" s="702">
        <f t="shared" si="13"/>
        <v>100</v>
      </c>
      <c r="V31" s="701" t="s">
        <v>14</v>
      </c>
      <c r="W31" s="702">
        <f t="shared" si="14"/>
        <v>100</v>
      </c>
      <c r="X31" s="703"/>
      <c r="Y31" s="369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90" t="s">
        <v>1696</v>
      </c>
      <c r="Q32" s="1352">
        <f t="shared" si="11"/>
        <v>111</v>
      </c>
      <c r="R32" s="705" t="s">
        <v>14</v>
      </c>
      <c r="S32" s="706">
        <f t="shared" si="12"/>
        <v>100</v>
      </c>
      <c r="T32" s="705" t="s">
        <v>14</v>
      </c>
      <c r="U32" s="706">
        <f t="shared" si="13"/>
        <v>100</v>
      </c>
      <c r="V32" s="705" t="s">
        <v>14</v>
      </c>
      <c r="W32" s="706">
        <f t="shared" si="14"/>
        <v>100</v>
      </c>
      <c r="X32" s="1355"/>
      <c r="Y32" s="3690" t="s">
        <v>1696</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90"/>
      <c r="Q33" s="1352">
        <f t="shared" si="11"/>
        <v>111</v>
      </c>
      <c r="R33" s="705" t="s">
        <v>14</v>
      </c>
      <c r="S33" s="706">
        <f t="shared" si="12"/>
        <v>100</v>
      </c>
      <c r="T33" s="705" t="s">
        <v>14</v>
      </c>
      <c r="U33" s="706">
        <f t="shared" si="13"/>
        <v>100</v>
      </c>
      <c r="V33" s="705" t="s">
        <v>14</v>
      </c>
      <c r="W33" s="706">
        <f t="shared" si="14"/>
        <v>100</v>
      </c>
      <c r="X33" s="1355"/>
      <c r="Y33" s="3690"/>
      <c r="Z33" s="1356">
        <f t="shared" si="15"/>
        <v>111</v>
      </c>
      <c r="AA33" s="1353">
        <f t="shared" si="3"/>
        <v>1</v>
      </c>
      <c r="AB33" s="1353">
        <f t="shared" si="4"/>
        <v>1</v>
      </c>
      <c r="AC33" s="1353">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6"/>
      <c r="M34" s="2710"/>
      <c r="N34" s="2710"/>
      <c r="O34" s="2768"/>
      <c r="P34" s="3690"/>
      <c r="Q34" s="1352">
        <f t="shared" si="11"/>
        <v>111</v>
      </c>
      <c r="R34" s="705" t="s">
        <v>14</v>
      </c>
      <c r="S34" s="706">
        <f t="shared" si="12"/>
        <v>100</v>
      </c>
      <c r="T34" s="705" t="s">
        <v>14</v>
      </c>
      <c r="U34" s="706">
        <f t="shared" si="13"/>
        <v>100</v>
      </c>
      <c r="V34" s="705" t="s">
        <v>14</v>
      </c>
      <c r="W34" s="706">
        <f t="shared" si="14"/>
        <v>100</v>
      </c>
      <c r="X34" s="1355"/>
      <c r="Y34" s="369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18"/>
      <c r="M35" s="2719"/>
      <c r="N35" s="2710"/>
      <c r="O35" s="2719"/>
      <c r="P35" s="3683" t="str">
        <f>A35</f>
        <v>成交单价（元/平方米）</v>
      </c>
      <c r="Q35" s="3683"/>
      <c r="R35" s="3684">
        <f>E35</f>
        <v>0</v>
      </c>
      <c r="S35" s="3684"/>
      <c r="T35" s="3684">
        <f>G35</f>
        <v>0</v>
      </c>
      <c r="U35" s="3684"/>
      <c r="V35" s="3684">
        <f>I35</f>
        <v>0</v>
      </c>
      <c r="W35" s="3684"/>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8"/>
      <c r="M36" s="2719"/>
      <c r="N36" s="2710"/>
      <c r="O36" s="2719"/>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8"/>
      <c r="M37" s="2719"/>
      <c r="N37" s="2719"/>
      <c r="O37" s="2719"/>
      <c r="P37" s="3680" t="str">
        <f>A37</f>
        <v>估价对象XX用房的比较价值（楼面单价，元/平方米）</v>
      </c>
      <c r="Q37" s="3681"/>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83">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9"/>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6"/>
      <c r="B98" s="936"/>
      <c r="C98" s="936"/>
      <c r="D98" s="936"/>
      <c r="E98" s="936"/>
      <c r="F98" s="936"/>
      <c r="G98" s="936"/>
      <c r="H98" s="936"/>
      <c r="I98" s="936"/>
      <c r="J98" s="936"/>
      <c r="K98" s="937"/>
      <c r="L98" s="938"/>
      <c r="M98" s="936"/>
      <c r="N98" s="2719"/>
      <c r="O98" s="2719"/>
      <c r="P98" s="2719"/>
      <c r="Q98" s="2719"/>
      <c r="R98" s="2719"/>
      <c r="S98" s="2719"/>
      <c r="T98" s="2719"/>
      <c r="U98" s="2719"/>
      <c r="V98" s="2719"/>
      <c r="W98" s="2719"/>
      <c r="X98" s="2719"/>
      <c r="Y98" s="2719"/>
      <c r="Z98" s="2719"/>
      <c r="AA98" s="2719"/>
      <c r="AB98" s="2719"/>
      <c r="AC98" s="2719"/>
      <c r="AD98" s="2719"/>
    </row>
    <row r="99" spans="1:30">
      <c r="A99" s="936"/>
      <c r="B99" s="936"/>
      <c r="C99" s="936"/>
      <c r="D99" s="936"/>
      <c r="E99" s="936"/>
      <c r="F99" s="936"/>
      <c r="G99" s="936"/>
      <c r="H99" s="936"/>
      <c r="I99" s="936"/>
      <c r="J99" s="936"/>
      <c r="K99" s="937"/>
      <c r="L99" s="938"/>
      <c r="M99" s="936"/>
      <c r="N99" s="2719"/>
      <c r="O99" s="2719"/>
      <c r="P99" s="2719"/>
      <c r="Q99" s="2719"/>
      <c r="R99" s="2719"/>
      <c r="S99" s="2719"/>
      <c r="T99" s="2719"/>
      <c r="U99" s="2719"/>
      <c r="V99" s="2719"/>
      <c r="W99" s="2719"/>
      <c r="X99" s="2719"/>
      <c r="Y99" s="2719"/>
      <c r="Z99" s="2719"/>
      <c r="AA99" s="2719"/>
      <c r="AB99" s="2719"/>
      <c r="AC99" s="2719"/>
      <c r="AD99" s="2719"/>
    </row>
    <row r="100" spans="1:30">
      <c r="A100" s="936"/>
      <c r="B100" s="936"/>
      <c r="C100" s="936"/>
      <c r="D100" s="936"/>
      <c r="E100" s="936"/>
      <c r="F100" s="936"/>
      <c r="G100" s="936"/>
      <c r="H100" s="936"/>
      <c r="I100" s="936"/>
      <c r="J100" s="936"/>
      <c r="K100" s="937"/>
      <c r="L100" s="938"/>
      <c r="M100" s="936"/>
      <c r="N100" s="2719"/>
      <c r="O100" s="2719"/>
      <c r="P100" s="2719"/>
      <c r="Q100" s="2719"/>
      <c r="R100" s="2719"/>
      <c r="S100" s="2719"/>
      <c r="T100" s="2719"/>
      <c r="U100" s="2719"/>
      <c r="V100" s="2719"/>
      <c r="W100" s="2719"/>
      <c r="X100" s="2719"/>
      <c r="Y100" s="2719"/>
      <c r="Z100" s="2719"/>
      <c r="AA100" s="2719"/>
      <c r="AB100" s="2719"/>
      <c r="AC100" s="2719"/>
      <c r="AD100" s="2719"/>
    </row>
    <row r="101" spans="1:30">
      <c r="A101" s="936"/>
      <c r="B101" s="936"/>
      <c r="C101" s="936"/>
      <c r="D101" s="936"/>
      <c r="E101" s="936"/>
      <c r="F101" s="936"/>
      <c r="G101" s="936"/>
      <c r="H101" s="936"/>
      <c r="I101" s="936"/>
      <c r="J101" s="936"/>
      <c r="K101" s="937"/>
      <c r="L101" s="938"/>
      <c r="M101" s="936"/>
      <c r="N101" s="2719"/>
      <c r="O101" s="2719"/>
      <c r="P101" s="2719"/>
      <c r="Q101" s="2719"/>
      <c r="R101" s="2719"/>
      <c r="S101" s="2719"/>
      <c r="T101" s="2719"/>
      <c r="U101" s="2719"/>
      <c r="V101" s="2719"/>
      <c r="W101" s="2719"/>
      <c r="X101" s="2719"/>
      <c r="Y101" s="2719"/>
      <c r="Z101" s="2719"/>
      <c r="AA101" s="2719"/>
      <c r="AB101" s="2719"/>
      <c r="AC101" s="2719"/>
      <c r="AD101" s="2719"/>
    </row>
    <row r="102" spans="1:30">
      <c r="A102" s="936"/>
      <c r="B102" s="936"/>
      <c r="C102" s="936"/>
      <c r="D102" s="936"/>
      <c r="E102" s="936"/>
      <c r="F102" s="936"/>
      <c r="G102" s="936"/>
      <c r="H102" s="936"/>
      <c r="I102" s="936"/>
      <c r="J102" s="936"/>
      <c r="K102" s="937"/>
      <c r="L102" s="938"/>
      <c r="M102" s="936"/>
      <c r="N102" s="2719"/>
      <c r="O102" s="2719"/>
      <c r="P102" s="2719"/>
      <c r="Q102" s="2719"/>
      <c r="R102" s="2719"/>
      <c r="S102" s="2719"/>
      <c r="T102" s="2719"/>
      <c r="U102" s="2719"/>
      <c r="V102" s="2719"/>
      <c r="W102" s="2719"/>
      <c r="X102" s="2719"/>
      <c r="Y102" s="2719"/>
      <c r="Z102" s="2719"/>
      <c r="AA102" s="2719"/>
      <c r="AB102" s="2719"/>
      <c r="AC102" s="2719"/>
      <c r="AD102" s="2719"/>
    </row>
    <row r="103" spans="1:30">
      <c r="A103" s="936"/>
      <c r="B103" s="936"/>
      <c r="C103" s="936"/>
      <c r="D103" s="936"/>
      <c r="E103" s="936"/>
      <c r="F103" s="936"/>
      <c r="G103" s="936"/>
      <c r="H103" s="936"/>
      <c r="I103" s="936"/>
      <c r="J103" s="936"/>
      <c r="K103" s="937"/>
      <c r="L103" s="938"/>
      <c r="M103" s="936"/>
      <c r="N103" s="936"/>
      <c r="O103" s="936"/>
      <c r="P103" s="2719"/>
      <c r="Q103" s="2719"/>
      <c r="R103" s="2719"/>
      <c r="S103" s="2719"/>
      <c r="T103" s="2719"/>
      <c r="U103" s="2719"/>
      <c r="V103" s="2719"/>
      <c r="W103" s="2719"/>
      <c r="X103" s="2719"/>
      <c r="Y103" s="2719"/>
      <c r="Z103" s="2719"/>
      <c r="AA103" s="2719"/>
      <c r="AB103" s="2719"/>
      <c r="AC103" s="2719"/>
      <c r="AD103" s="2719"/>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30" ht="15">
      <c r="A4" s="355" t="s">
        <v>1769</v>
      </c>
      <c r="B4" s="356"/>
      <c r="C4" s="3666" t="s">
        <v>1770</v>
      </c>
      <c r="D4" s="3667"/>
      <c r="E4" s="3668" t="s">
        <v>1771</v>
      </c>
      <c r="F4" s="3669"/>
      <c r="G4" s="3666" t="s">
        <v>1772</v>
      </c>
      <c r="H4" s="3667"/>
      <c r="I4" s="3666" t="s">
        <v>1773</v>
      </c>
      <c r="J4" s="3667"/>
      <c r="K4" s="559" t="s">
        <v>1774</v>
      </c>
      <c r="L4" s="2709"/>
      <c r="M4" s="2710"/>
      <c r="N4" s="2710"/>
      <c r="O4" s="2710"/>
      <c r="P4" s="3670" t="s">
        <v>1775</v>
      </c>
      <c r="Q4" s="3671"/>
      <c r="R4" s="3653" t="s">
        <v>1771</v>
      </c>
      <c r="S4" s="3654"/>
      <c r="T4" s="3653" t="s">
        <v>1772</v>
      </c>
      <c r="U4" s="3654"/>
      <c r="V4" s="3678" t="s">
        <v>1773</v>
      </c>
      <c r="W4" s="3678"/>
      <c r="X4" s="1355"/>
      <c r="Y4" s="3653" t="s">
        <v>1775</v>
      </c>
      <c r="Z4" s="3654"/>
      <c r="AA4" s="3648" t="s">
        <v>1771</v>
      </c>
      <c r="AB4" s="3649" t="s">
        <v>1772</v>
      </c>
      <c r="AC4" s="3648" t="s">
        <v>1773</v>
      </c>
    </row>
    <row r="5" spans="1:30" ht="15">
      <c r="A5" s="358"/>
      <c r="B5" s="359"/>
      <c r="C5" s="3659" t="s">
        <v>1673</v>
      </c>
      <c r="D5" s="3660"/>
      <c r="E5" s="3657" t="s">
        <v>1674</v>
      </c>
      <c r="F5" s="3658"/>
      <c r="G5" s="3659" t="s">
        <v>1675</v>
      </c>
      <c r="H5" s="3660"/>
      <c r="I5" s="3659" t="s">
        <v>1676</v>
      </c>
      <c r="J5" s="3660"/>
      <c r="K5" s="559"/>
      <c r="L5" s="2709"/>
      <c r="M5" s="2710"/>
      <c r="N5" s="2710"/>
      <c r="O5" s="2710"/>
      <c r="P5" s="3672"/>
      <c r="Q5" s="3673"/>
      <c r="R5" s="3655"/>
      <c r="S5" s="3656"/>
      <c r="T5" s="3655"/>
      <c r="U5" s="3656"/>
      <c r="V5" s="3678"/>
      <c r="W5" s="3678"/>
      <c r="X5" s="1355"/>
      <c r="Y5" s="3655"/>
      <c r="Z5" s="3656"/>
      <c r="AA5" s="3649"/>
      <c r="AB5" s="3649"/>
      <c r="AC5" s="3649"/>
    </row>
    <row r="6" spans="1:30" ht="15.75" thickBot="1">
      <c r="A6" s="360"/>
      <c r="B6" s="361"/>
      <c r="C6" s="3661" t="s">
        <v>1677</v>
      </c>
      <c r="D6" s="3662"/>
      <c r="E6" s="3663" t="s">
        <v>1677</v>
      </c>
      <c r="F6" s="3664"/>
      <c r="G6" s="3661" t="s">
        <v>1677</v>
      </c>
      <c r="H6" s="3662"/>
      <c r="I6" s="3661" t="s">
        <v>1677</v>
      </c>
      <c r="J6" s="3662"/>
      <c r="K6" s="559" t="s">
        <v>1678</v>
      </c>
      <c r="L6" s="2709"/>
      <c r="M6" s="2710"/>
      <c r="N6" s="2710"/>
      <c r="O6" s="2710"/>
      <c r="P6" s="3674"/>
      <c r="Q6" s="3675"/>
      <c r="R6" s="3655"/>
      <c r="S6" s="3656"/>
      <c r="T6" s="3676"/>
      <c r="U6" s="3677"/>
      <c r="V6" s="3678"/>
      <c r="W6" s="3678"/>
      <c r="X6" s="1355"/>
      <c r="Y6" s="3676"/>
      <c r="Z6" s="3677"/>
      <c r="AA6" s="3650"/>
      <c r="AB6" s="3650"/>
      <c r="AC6" s="3650"/>
    </row>
    <row r="7" spans="1:30" s="108" customFormat="1" ht="15.75" thickBot="1">
      <c r="A7" s="362" t="s">
        <v>1679</v>
      </c>
      <c r="B7" s="363"/>
      <c r="C7" s="364">
        <f>'数据-取费表'!B2</f>
        <v>45013</v>
      </c>
      <c r="D7" s="365">
        <v>100</v>
      </c>
      <c r="E7" s="366"/>
      <c r="F7" s="367">
        <f>SUMIF(69:69,YEAR(E7)&amp;"-"&amp;INT((MONTH(E7)+2)/3),70:70)</f>
        <v>0</v>
      </c>
      <c r="G7" s="1971"/>
      <c r="H7" s="365">
        <f>SUMIF(69:69,YEAR(G7)&amp;"-"&amp;INT((MONTH(G7)+2)/3),70:70)</f>
        <v>0</v>
      </c>
      <c r="I7" s="1971"/>
      <c r="J7" s="365">
        <f>SUMIF(69:69,YEAR(I7)&amp;"-"&amp;INT((MONTH(I7)+2)/3),70:70)</f>
        <v>0</v>
      </c>
      <c r="K7" s="560"/>
      <c r="L7" s="2711"/>
      <c r="M7" s="2712"/>
      <c r="N7" s="2712"/>
      <c r="O7" s="2712"/>
      <c r="P7" s="3651" t="s">
        <v>1680</v>
      </c>
      <c r="Q7" s="3679"/>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51" t="s">
        <v>1683</v>
      </c>
      <c r="Q8" s="3652"/>
      <c r="R8" s="701" t="s">
        <v>14</v>
      </c>
      <c r="S8" s="702">
        <f t="shared" si="0"/>
        <v>0</v>
      </c>
      <c r="T8" s="701" t="s">
        <v>14</v>
      </c>
      <c r="U8" s="702">
        <f t="shared" si="1"/>
        <v>0</v>
      </c>
      <c r="V8" s="701" t="s">
        <v>14</v>
      </c>
      <c r="W8" s="702">
        <f t="shared" si="2"/>
        <v>0</v>
      </c>
      <c r="X8" s="703"/>
      <c r="Y8" s="3651" t="s">
        <v>1683</v>
      </c>
      <c r="Z8" s="3652"/>
      <c r="AA8" s="704" t="e">
        <f t="shared" ref="AA8:AA45" si="3">D8/F8</f>
        <v>#DIV/0!</v>
      </c>
      <c r="AB8" s="704" t="e">
        <f t="shared" ref="AB8:AB45" si="4">D8/H8</f>
        <v>#DIV/0!</v>
      </c>
      <c r="AC8" s="704" t="e">
        <f t="shared" ref="AC8:AC45" si="5">D8/J8</f>
        <v>#DIV/0!</v>
      </c>
    </row>
    <row r="9" spans="1:30" s="108" customFormat="1">
      <c r="A9" s="369" t="s">
        <v>1684</v>
      </c>
      <c r="B9" s="63" t="s">
        <v>1685</v>
      </c>
      <c r="C9" s="1974"/>
      <c r="D9" s="126">
        <v>100</v>
      </c>
      <c r="E9" s="1974"/>
      <c r="F9" s="126">
        <f>SUMIF(74:74,E9,75:75)-SUMIF(74:74,C9,75:75)+100</f>
        <v>100</v>
      </c>
      <c r="G9" s="1974"/>
      <c r="H9" s="126">
        <f>SUMIF(74:74,G9,75:75)-SUMIF(74:74,C9,75:75)+100</f>
        <v>100</v>
      </c>
      <c r="I9" s="1974"/>
      <c r="J9" s="126">
        <f>SUMIF(74:74,I9,75:75)-SUMIF(74:74,C9,75:75)+100</f>
        <v>100</v>
      </c>
      <c r="K9" s="560"/>
      <c r="L9" s="2711"/>
      <c r="M9" s="2712"/>
      <c r="N9" s="2712"/>
      <c r="O9" s="2766"/>
      <c r="P9" s="3683"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3"/>
      <c r="M10" s="2714"/>
      <c r="N10" s="2714"/>
      <c r="O10" s="2767"/>
      <c r="P10" s="3683"/>
      <c r="Q10" s="1343" t="str">
        <f t="shared" si="6"/>
        <v>土地使用年限（年）</v>
      </c>
      <c r="R10" s="701" t="s">
        <v>14</v>
      </c>
      <c r="S10" s="702">
        <f t="shared" si="0"/>
        <v>125</v>
      </c>
      <c r="T10" s="701" t="s">
        <v>14</v>
      </c>
      <c r="U10" s="702">
        <f t="shared" si="1"/>
        <v>125</v>
      </c>
      <c r="V10" s="701" t="s">
        <v>14</v>
      </c>
      <c r="W10" s="702">
        <f t="shared" si="2"/>
        <v>125</v>
      </c>
      <c r="X10" s="703"/>
      <c r="Y10" s="3621"/>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83"/>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83"/>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83"/>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83"/>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5" t="str">
        <f>估价对象房地状况!C15</f>
        <v>周边有华鼎世家、望京西园、宝星园等住宅小区，居住小区规模较大，综合评价居住社区成熟度较好。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85" t="s">
        <v>1691</v>
      </c>
      <c r="Q15" s="1352" t="str">
        <f t="shared" si="6"/>
        <v>居住社区成熟度</v>
      </c>
      <c r="R15" s="705" t="s">
        <v>14</v>
      </c>
      <c r="S15" s="706">
        <f t="shared" si="0"/>
        <v>100</v>
      </c>
      <c r="T15" s="705" t="s">
        <v>14</v>
      </c>
      <c r="U15" s="706">
        <f t="shared" si="1"/>
        <v>100</v>
      </c>
      <c r="V15" s="705" t="s">
        <v>14</v>
      </c>
      <c r="W15" s="706">
        <f t="shared" si="2"/>
        <v>100</v>
      </c>
      <c r="X15" s="1355"/>
      <c r="Y15" s="3685" t="s">
        <v>1691</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16"/>
      <c r="M16" s="2710"/>
      <c r="N16" s="2710"/>
      <c r="O16" s="2768"/>
      <c r="P16" s="3686"/>
      <c r="Q16" s="1352"/>
      <c r="R16" s="705"/>
      <c r="S16" s="706"/>
      <c r="T16" s="705"/>
      <c r="U16" s="706"/>
      <c r="V16" s="705"/>
      <c r="W16" s="706"/>
      <c r="X16" s="1355"/>
      <c r="Y16" s="3686"/>
      <c r="Z16" s="1356"/>
      <c r="AA16" s="1353">
        <v>1</v>
      </c>
      <c r="AB16" s="1353">
        <v>1</v>
      </c>
      <c r="AC16" s="1353">
        <v>1</v>
      </c>
    </row>
    <row r="17" spans="1:29" ht="99.75">
      <c r="A17" s="379"/>
      <c r="B17" s="402" t="s">
        <v>1777</v>
      </c>
      <c r="C17" s="1952" t="str">
        <f>估价对象房地状况!C16</f>
        <v>估价对象位于望京商圈，周边商业氛围成熟，有望京SOHO、悠乐汇等，人流量大，商业繁华度好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86"/>
      <c r="Q17" s="1352" t="str">
        <f>B17</f>
        <v>商业繁华度</v>
      </c>
      <c r="R17" s="705" t="s">
        <v>14</v>
      </c>
      <c r="S17" s="706">
        <f>F17</f>
        <v>100</v>
      </c>
      <c r="T17" s="705" t="s">
        <v>14</v>
      </c>
      <c r="U17" s="706">
        <f>H17</f>
        <v>100</v>
      </c>
      <c r="V17" s="705" t="s">
        <v>14</v>
      </c>
      <c r="W17" s="706">
        <f>J17</f>
        <v>100</v>
      </c>
      <c r="X17" s="1355"/>
      <c r="Y17" s="3686"/>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16"/>
      <c r="M18" s="2710"/>
      <c r="N18" s="2710"/>
      <c r="O18" s="2768"/>
      <c r="P18" s="3686"/>
      <c r="Q18" s="1352"/>
      <c r="R18" s="705"/>
      <c r="S18" s="706"/>
      <c r="T18" s="705"/>
      <c r="U18" s="706"/>
      <c r="V18" s="705"/>
      <c r="W18" s="706"/>
      <c r="X18" s="1355"/>
      <c r="Y18" s="3686"/>
      <c r="Z18" s="1356"/>
      <c r="AA18" s="1353">
        <v>1</v>
      </c>
      <c r="AB18" s="1353">
        <v>1</v>
      </c>
      <c r="AC18" s="1353">
        <v>1</v>
      </c>
    </row>
    <row r="19" spans="1:29" ht="71.25">
      <c r="A19" s="379"/>
      <c r="B19" s="402" t="s">
        <v>1811</v>
      </c>
      <c r="C19" s="1952" t="str">
        <f>估价对象房地状况!C17</f>
        <v>估价对象周边有望京SOHO、悠乐汇等同类型项目，综合评价物业聚集程度较好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86"/>
      <c r="Q19" s="1352" t="str">
        <f>B19</f>
        <v>办公集聚程度</v>
      </c>
      <c r="R19" s="705" t="s">
        <v>14</v>
      </c>
      <c r="S19" s="706">
        <f>F19</f>
        <v>100</v>
      </c>
      <c r="T19" s="705" t="s">
        <v>14</v>
      </c>
      <c r="U19" s="706">
        <f>H19</f>
        <v>100</v>
      </c>
      <c r="V19" s="705" t="s">
        <v>14</v>
      </c>
      <c r="W19" s="706">
        <f>J19</f>
        <v>100</v>
      </c>
      <c r="X19" s="1355"/>
      <c r="Y19" s="3686"/>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16"/>
      <c r="M20" s="2710"/>
      <c r="N20" s="2710"/>
      <c r="O20" s="2768"/>
      <c r="P20" s="3686"/>
      <c r="Q20" s="1352"/>
      <c r="R20" s="705"/>
      <c r="S20" s="706"/>
      <c r="T20" s="705"/>
      <c r="U20" s="706"/>
      <c r="V20" s="705"/>
      <c r="W20" s="706"/>
      <c r="X20" s="1355"/>
      <c r="Y20" s="3686"/>
      <c r="Z20" s="1356"/>
      <c r="AA20" s="1353">
        <v>1</v>
      </c>
      <c r="AB20" s="1353">
        <v>1</v>
      </c>
      <c r="AC20" s="1353">
        <v>1</v>
      </c>
    </row>
    <row r="21" spans="1:29" ht="228">
      <c r="A21" s="379"/>
      <c r="B21" s="402" t="s">
        <v>1833</v>
      </c>
      <c r="C21" s="1899"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86"/>
      <c r="Q21" s="1352" t="str">
        <f>B21</f>
        <v>交通便捷度</v>
      </c>
      <c r="R21" s="705" t="s">
        <v>14</v>
      </c>
      <c r="S21" s="706">
        <f>F21</f>
        <v>100</v>
      </c>
      <c r="T21" s="705" t="s">
        <v>14</v>
      </c>
      <c r="U21" s="706">
        <f>H21</f>
        <v>100</v>
      </c>
      <c r="V21" s="705" t="s">
        <v>14</v>
      </c>
      <c r="W21" s="706">
        <f>J21</f>
        <v>100</v>
      </c>
      <c r="X21" s="1355"/>
      <c r="Y21" s="3686"/>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16"/>
      <c r="M22" s="2710"/>
      <c r="N22" s="2710"/>
      <c r="O22" s="2768"/>
      <c r="P22" s="3686"/>
      <c r="Q22" s="1352"/>
      <c r="R22" s="705"/>
      <c r="S22" s="706"/>
      <c r="T22" s="705"/>
      <c r="U22" s="706"/>
      <c r="V22" s="705"/>
      <c r="W22" s="706"/>
      <c r="X22" s="1355"/>
      <c r="Y22" s="368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86"/>
      <c r="Q23" s="1352" t="str">
        <f t="shared" ref="Q23:Q37" si="8">B23</f>
        <v>区域土地利用方向</v>
      </c>
      <c r="R23" s="705" t="s">
        <v>14</v>
      </c>
      <c r="S23" s="706">
        <f>F23</f>
        <v>100</v>
      </c>
      <c r="T23" s="705" t="s">
        <v>14</v>
      </c>
      <c r="U23" s="706">
        <f>H23</f>
        <v>100</v>
      </c>
      <c r="V23" s="705" t="s">
        <v>14</v>
      </c>
      <c r="W23" s="706">
        <f>J23</f>
        <v>100</v>
      </c>
      <c r="X23" s="1355"/>
      <c r="Y23" s="3686"/>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16"/>
      <c r="M24" s="2710"/>
      <c r="N24" s="2710"/>
      <c r="O24" s="2768"/>
      <c r="P24" s="3686"/>
      <c r="Q24" s="1352"/>
      <c r="R24" s="705"/>
      <c r="S24" s="706"/>
      <c r="T24" s="705"/>
      <c r="U24" s="706"/>
      <c r="V24" s="705"/>
      <c r="W24" s="706"/>
      <c r="X24" s="1355"/>
      <c r="Y24" s="3686"/>
      <c r="Z24" s="1356"/>
      <c r="AA24" s="1353"/>
      <c r="AB24" s="1353"/>
      <c r="AC24" s="1353"/>
    </row>
    <row r="25" spans="1:29" ht="85.5">
      <c r="A25" s="358"/>
      <c r="B25" s="1131" t="s">
        <v>1872</v>
      </c>
      <c r="C25" s="1952" t="str">
        <f>估价对象房地状况!C20</f>
        <v xml:space="preserve">有望京文化体育公园等自然、人文设施；
综上，自然及人文环境一般。
</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86"/>
      <c r="Q25" s="1352" t="str">
        <f t="shared" si="8"/>
        <v>自然及人文环境状况</v>
      </c>
      <c r="R25" s="705" t="s">
        <v>14</v>
      </c>
      <c r="S25" s="706">
        <f>F25</f>
        <v>100</v>
      </c>
      <c r="T25" s="705" t="s">
        <v>14</v>
      </c>
      <c r="U25" s="706">
        <f>H25</f>
        <v>100</v>
      </c>
      <c r="V25" s="705" t="s">
        <v>14</v>
      </c>
      <c r="W25" s="706">
        <f>J25</f>
        <v>100</v>
      </c>
      <c r="X25" s="1355"/>
      <c r="Y25" s="3686"/>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16"/>
      <c r="M26" s="2710"/>
      <c r="N26" s="2710"/>
      <c r="O26" s="2768"/>
      <c r="P26" s="3686"/>
      <c r="Q26" s="1352"/>
      <c r="R26" s="705"/>
      <c r="S26" s="706"/>
      <c r="T26" s="705"/>
      <c r="U26" s="706"/>
      <c r="V26" s="705"/>
      <c r="W26" s="706"/>
      <c r="X26" s="1355"/>
      <c r="Y26" s="3686"/>
      <c r="Z26" s="1356"/>
      <c r="AA26" s="1353">
        <v>1</v>
      </c>
      <c r="AB26" s="1353">
        <v>1</v>
      </c>
      <c r="AC26" s="1353">
        <v>1</v>
      </c>
    </row>
    <row r="27" spans="1:29" s="108" customFormat="1" ht="342">
      <c r="A27" s="597"/>
      <c r="B27" s="1131" t="s">
        <v>1778</v>
      </c>
      <c r="C27" s="1899"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86"/>
      <c r="Q27" s="1343" t="str">
        <f t="shared" si="8"/>
        <v>公共配套设施</v>
      </c>
      <c r="R27" s="701" t="s">
        <v>14</v>
      </c>
      <c r="S27" s="702">
        <f>F27</f>
        <v>100</v>
      </c>
      <c r="T27" s="701" t="s">
        <v>14</v>
      </c>
      <c r="U27" s="702">
        <f>H27</f>
        <v>100</v>
      </c>
      <c r="V27" s="701" t="s">
        <v>14</v>
      </c>
      <c r="W27" s="702">
        <f>J27</f>
        <v>100</v>
      </c>
      <c r="X27" s="703"/>
      <c r="Y27" s="3686"/>
      <c r="Z27" s="52" t="str">
        <f>Q27</f>
        <v>公共配套设施</v>
      </c>
      <c r="AA27" s="1353">
        <f>D27/F27</f>
        <v>1</v>
      </c>
      <c r="AB27" s="1353">
        <f>D27/H27</f>
        <v>1</v>
      </c>
      <c r="AC27" s="1353">
        <f>D27/J27</f>
        <v>1</v>
      </c>
    </row>
    <row r="28" spans="1:29" s="108" customFormat="1" ht="15">
      <c r="A28" s="597"/>
      <c r="B28" s="407"/>
      <c r="C28" s="1975"/>
      <c r="D28" s="399"/>
      <c r="E28" s="1903"/>
      <c r="F28" s="399"/>
      <c r="G28" s="1903"/>
      <c r="H28" s="399"/>
      <c r="I28" s="398"/>
      <c r="J28" s="399"/>
      <c r="K28" s="620"/>
      <c r="L28" s="2711"/>
      <c r="M28" s="2712"/>
      <c r="N28" s="2712"/>
      <c r="O28" s="2766"/>
      <c r="P28" s="3686"/>
      <c r="Q28" s="1343"/>
      <c r="R28" s="701"/>
      <c r="S28" s="702"/>
      <c r="T28" s="701"/>
      <c r="U28" s="702"/>
      <c r="V28" s="701"/>
      <c r="W28" s="702"/>
      <c r="X28" s="703"/>
      <c r="Y28" s="3686"/>
      <c r="Z28" s="52"/>
      <c r="AA28" s="1353">
        <v>1</v>
      </c>
      <c r="AB28" s="1353">
        <v>1</v>
      </c>
      <c r="AC28" s="1353">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86"/>
      <c r="Q29" s="1343" t="str">
        <f t="shared" ref="Q29" si="9">B29</f>
        <v>基础设施水平</v>
      </c>
      <c r="R29" s="701" t="s">
        <v>14</v>
      </c>
      <c r="S29" s="702">
        <f>F29</f>
        <v>100</v>
      </c>
      <c r="T29" s="701" t="s">
        <v>14</v>
      </c>
      <c r="U29" s="702">
        <f>H29</f>
        <v>100</v>
      </c>
      <c r="V29" s="701" t="s">
        <v>14</v>
      </c>
      <c r="W29" s="702">
        <f>J29</f>
        <v>100</v>
      </c>
      <c r="X29" s="703"/>
      <c r="Y29" s="3686"/>
      <c r="Z29" s="52" t="str">
        <f>Q29</f>
        <v>基础设施水平</v>
      </c>
      <c r="AA29" s="1353">
        <f>D29/F29</f>
        <v>1</v>
      </c>
      <c r="AB29" s="1353">
        <f>D29/H29</f>
        <v>1</v>
      </c>
      <c r="AC29" s="1353">
        <f>D29/J29</f>
        <v>1</v>
      </c>
    </row>
    <row r="30" spans="1:29" s="108" customFormat="1" ht="15">
      <c r="A30" s="597"/>
      <c r="B30" s="407"/>
      <c r="C30" s="1975"/>
      <c r="D30" s="399"/>
      <c r="E30" s="1976"/>
      <c r="F30" s="399"/>
      <c r="G30" s="1976"/>
      <c r="H30" s="399"/>
      <c r="I30" s="1976"/>
      <c r="J30" s="399"/>
      <c r="K30" s="620"/>
      <c r="L30" s="2711"/>
      <c r="M30" s="2712"/>
      <c r="N30" s="2712"/>
      <c r="O30" s="2766"/>
      <c r="P30" s="3686"/>
      <c r="Q30" s="1343"/>
      <c r="R30" s="701"/>
      <c r="S30" s="702"/>
      <c r="T30" s="701"/>
      <c r="U30" s="702"/>
      <c r="V30" s="701"/>
      <c r="W30" s="702"/>
      <c r="X30" s="703"/>
      <c r="Y30" s="368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8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86"/>
      <c r="Q32" s="1352" t="str">
        <f t="shared" si="8"/>
        <v>毗邻道路的类型与等级</v>
      </c>
      <c r="R32" s="705" t="s">
        <v>14</v>
      </c>
      <c r="S32" s="706">
        <f t="shared" si="10"/>
        <v>100</v>
      </c>
      <c r="T32" s="705" t="s">
        <v>14</v>
      </c>
      <c r="U32" s="706">
        <f t="shared" si="11"/>
        <v>100</v>
      </c>
      <c r="V32" s="705" t="s">
        <v>14</v>
      </c>
      <c r="W32" s="706">
        <f t="shared" si="12"/>
        <v>100</v>
      </c>
      <c r="X32" s="1355"/>
      <c r="Y32" s="3686"/>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16"/>
      <c r="M33" s="2710"/>
      <c r="N33" s="2710"/>
      <c r="O33" s="2768"/>
      <c r="P33" s="3686"/>
      <c r="Q33" s="1352"/>
      <c r="R33" s="705"/>
      <c r="S33" s="706"/>
      <c r="T33" s="705"/>
      <c r="U33" s="706"/>
      <c r="V33" s="705"/>
      <c r="W33" s="706"/>
      <c r="X33" s="1355"/>
      <c r="Y33" s="368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86"/>
      <c r="Q34" s="1352" t="str">
        <f t="shared" si="8"/>
        <v>土地级别</v>
      </c>
      <c r="R34" s="705" t="s">
        <v>14</v>
      </c>
      <c r="S34" s="706">
        <f t="shared" si="10"/>
        <v>100</v>
      </c>
      <c r="T34" s="705" t="s">
        <v>14</v>
      </c>
      <c r="U34" s="706">
        <f t="shared" si="11"/>
        <v>100</v>
      </c>
      <c r="V34" s="705" t="s">
        <v>14</v>
      </c>
      <c r="W34" s="706">
        <f t="shared" si="12"/>
        <v>100</v>
      </c>
      <c r="X34" s="1355"/>
      <c r="Y34" s="368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86"/>
      <c r="Q35" s="1352">
        <f t="shared" si="8"/>
        <v>111</v>
      </c>
      <c r="R35" s="705" t="s">
        <v>14</v>
      </c>
      <c r="S35" s="706">
        <f t="shared" si="10"/>
        <v>100</v>
      </c>
      <c r="T35" s="705" t="s">
        <v>14</v>
      </c>
      <c r="U35" s="706">
        <f t="shared" si="11"/>
        <v>100</v>
      </c>
      <c r="V35" s="705" t="s">
        <v>14</v>
      </c>
      <c r="W35" s="706">
        <f t="shared" si="12"/>
        <v>100</v>
      </c>
      <c r="X35" s="1355"/>
      <c r="Y35" s="368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35" t="s">
        <v>1696</v>
      </c>
      <c r="Q36" s="1352">
        <f t="shared" si="8"/>
        <v>111</v>
      </c>
      <c r="R36" s="705" t="s">
        <v>14</v>
      </c>
      <c r="S36" s="706">
        <f t="shared" si="10"/>
        <v>100</v>
      </c>
      <c r="T36" s="705" t="s">
        <v>14</v>
      </c>
      <c r="U36" s="706">
        <f t="shared" si="11"/>
        <v>100</v>
      </c>
      <c r="V36" s="705" t="s">
        <v>14</v>
      </c>
      <c r="W36" s="706">
        <f t="shared" si="12"/>
        <v>100</v>
      </c>
      <c r="X36" s="1355"/>
      <c r="Y36" s="369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90"/>
      <c r="Q37" s="1352">
        <f t="shared" si="8"/>
        <v>111</v>
      </c>
      <c r="R37" s="708" t="s">
        <v>14</v>
      </c>
      <c r="S37" s="709">
        <f t="shared" si="10"/>
        <v>100</v>
      </c>
      <c r="T37" s="708" t="s">
        <v>14</v>
      </c>
      <c r="U37" s="709">
        <f t="shared" si="11"/>
        <v>100</v>
      </c>
      <c r="V37" s="708" t="s">
        <v>14</v>
      </c>
      <c r="W37" s="709">
        <f t="shared" si="12"/>
        <v>100</v>
      </c>
      <c r="X37" s="710"/>
      <c r="Y37" s="369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90"/>
      <c r="Q38" s="1352" t="str">
        <f>B38</f>
        <v>宗地面积</v>
      </c>
      <c r="R38" s="705" t="s">
        <v>14</v>
      </c>
      <c r="S38" s="706" t="e">
        <f t="shared" si="10"/>
        <v>#N/A</v>
      </c>
      <c r="T38" s="705" t="s">
        <v>14</v>
      </c>
      <c r="U38" s="706" t="e">
        <f t="shared" si="11"/>
        <v>#N/A</v>
      </c>
      <c r="V38" s="705" t="s">
        <v>14</v>
      </c>
      <c r="W38" s="706" t="e">
        <f t="shared" si="12"/>
        <v>#N/A</v>
      </c>
      <c r="X38" s="1355"/>
      <c r="Y38" s="3690"/>
      <c r="Z38" s="1356" t="str">
        <f t="shared" si="13"/>
        <v>宗地面积</v>
      </c>
      <c r="AA38" s="1353" t="e">
        <f t="shared" si="3"/>
        <v>#N/A</v>
      </c>
      <c r="AB38" s="1353" t="e">
        <f t="shared" si="4"/>
        <v>#N/A</v>
      </c>
      <c r="AC38" s="1353"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6"/>
      <c r="M39" s="2710"/>
      <c r="N39" s="2710"/>
      <c r="O39" s="2768"/>
      <c r="P39" s="3690"/>
      <c r="Q39" s="1352" t="str">
        <f t="shared" ref="Q39:Q45" si="14">B39</f>
        <v>宗地形状</v>
      </c>
      <c r="R39" s="705" t="s">
        <v>14</v>
      </c>
      <c r="S39" s="706">
        <f t="shared" si="10"/>
        <v>100</v>
      </c>
      <c r="T39" s="705" t="s">
        <v>14</v>
      </c>
      <c r="U39" s="706">
        <f t="shared" si="11"/>
        <v>100</v>
      </c>
      <c r="V39" s="705" t="s">
        <v>14</v>
      </c>
      <c r="W39" s="706">
        <f t="shared" si="12"/>
        <v>100</v>
      </c>
      <c r="X39" s="1355"/>
      <c r="Y39" s="3690"/>
      <c r="Z39" s="1356" t="str">
        <f t="shared" si="13"/>
        <v>宗地形状</v>
      </c>
      <c r="AA39" s="1353">
        <f t="shared" si="3"/>
        <v>1</v>
      </c>
      <c r="AB39" s="1353">
        <f t="shared" si="4"/>
        <v>1</v>
      </c>
      <c r="AC39" s="1353">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6"/>
      <c r="M40" s="2710"/>
      <c r="N40" s="2710"/>
      <c r="O40" s="2768"/>
      <c r="P40" s="3690"/>
      <c r="Q40" s="1352" t="str">
        <f t="shared" si="14"/>
        <v>临街宽度及深度</v>
      </c>
      <c r="R40" s="705" t="s">
        <v>14</v>
      </c>
      <c r="S40" s="706">
        <f t="shared" si="10"/>
        <v>100</v>
      </c>
      <c r="T40" s="705" t="s">
        <v>14</v>
      </c>
      <c r="U40" s="706">
        <f t="shared" si="11"/>
        <v>100</v>
      </c>
      <c r="V40" s="705" t="s">
        <v>14</v>
      </c>
      <c r="W40" s="706">
        <f t="shared" si="12"/>
        <v>100</v>
      </c>
      <c r="X40" s="1355"/>
      <c r="Y40" s="3690"/>
      <c r="Z40" s="1356" t="str">
        <f t="shared" si="13"/>
        <v>临街宽度及深度</v>
      </c>
      <c r="AA40" s="1353">
        <f t="shared" si="3"/>
        <v>1</v>
      </c>
      <c r="AB40" s="1353">
        <f t="shared" si="4"/>
        <v>1</v>
      </c>
      <c r="AC40" s="1353">
        <f t="shared" si="5"/>
        <v>1</v>
      </c>
    </row>
    <row r="41" spans="1:29" s="108" customFormat="1" ht="15">
      <c r="A41" s="424"/>
      <c r="B41" s="375" t="s">
        <v>1877</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1"/>
      <c r="M41" s="2712"/>
      <c r="N41" s="2712"/>
      <c r="O41" s="2766"/>
      <c r="P41" s="3690"/>
      <c r="Q41" s="1352" t="str">
        <f t="shared" si="14"/>
        <v>宗地开发程度</v>
      </c>
      <c r="R41" s="701" t="s">
        <v>14</v>
      </c>
      <c r="S41" s="702">
        <f t="shared" si="10"/>
        <v>100</v>
      </c>
      <c r="T41" s="701" t="s">
        <v>14</v>
      </c>
      <c r="U41" s="702">
        <f t="shared" si="11"/>
        <v>100</v>
      </c>
      <c r="V41" s="701" t="s">
        <v>14</v>
      </c>
      <c r="W41" s="702">
        <f t="shared" si="12"/>
        <v>100</v>
      </c>
      <c r="X41" s="703"/>
      <c r="Y41" s="369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6"/>
      <c r="M42" s="2710"/>
      <c r="N42" s="2710"/>
      <c r="O42" s="2768"/>
      <c r="P42" s="3690" t="s">
        <v>1696</v>
      </c>
      <c r="Q42" s="1352" t="str">
        <f t="shared" si="14"/>
        <v>工程地质条件</v>
      </c>
      <c r="R42" s="705" t="s">
        <v>14</v>
      </c>
      <c r="S42" s="706">
        <f t="shared" si="10"/>
        <v>100</v>
      </c>
      <c r="T42" s="705" t="s">
        <v>14</v>
      </c>
      <c r="U42" s="706">
        <f t="shared" si="11"/>
        <v>100</v>
      </c>
      <c r="V42" s="705" t="s">
        <v>14</v>
      </c>
      <c r="W42" s="706">
        <f t="shared" si="12"/>
        <v>100</v>
      </c>
      <c r="X42" s="1355"/>
      <c r="Y42" s="369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90"/>
      <c r="Q43" s="1352">
        <f t="shared" si="14"/>
        <v>111</v>
      </c>
      <c r="R43" s="705" t="s">
        <v>14</v>
      </c>
      <c r="S43" s="706">
        <f t="shared" si="10"/>
        <v>100</v>
      </c>
      <c r="T43" s="705" t="s">
        <v>14</v>
      </c>
      <c r="U43" s="706">
        <f t="shared" si="11"/>
        <v>100</v>
      </c>
      <c r="V43" s="705" t="s">
        <v>14</v>
      </c>
      <c r="W43" s="706">
        <f t="shared" si="12"/>
        <v>100</v>
      </c>
      <c r="X43" s="1355"/>
      <c r="Y43" s="369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90"/>
      <c r="Q44" s="1352">
        <f t="shared" si="14"/>
        <v>111</v>
      </c>
      <c r="R44" s="705" t="s">
        <v>14</v>
      </c>
      <c r="S44" s="706">
        <f t="shared" si="10"/>
        <v>100</v>
      </c>
      <c r="T44" s="705" t="s">
        <v>14</v>
      </c>
      <c r="U44" s="706">
        <f t="shared" si="11"/>
        <v>100</v>
      </c>
      <c r="V44" s="705" t="s">
        <v>14</v>
      </c>
      <c r="W44" s="706">
        <f t="shared" si="12"/>
        <v>100</v>
      </c>
      <c r="X44" s="1355"/>
      <c r="Y44" s="3690"/>
      <c r="Z44" s="1356">
        <f t="shared" si="13"/>
        <v>111</v>
      </c>
      <c r="AA44" s="1353">
        <f t="shared" si="3"/>
        <v>1</v>
      </c>
      <c r="AB44" s="1353">
        <f t="shared" si="4"/>
        <v>1</v>
      </c>
      <c r="AC44" s="1353">
        <f t="shared" si="5"/>
        <v>1</v>
      </c>
    </row>
    <row r="45" spans="1:29" s="422" customFormat="1" ht="15.75"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90"/>
      <c r="Q45" s="1352">
        <f t="shared" si="14"/>
        <v>111</v>
      </c>
      <c r="R45" s="708" t="s">
        <v>14</v>
      </c>
      <c r="S45" s="709">
        <f t="shared" si="10"/>
        <v>100</v>
      </c>
      <c r="T45" s="708" t="s">
        <v>14</v>
      </c>
      <c r="U45" s="709">
        <f t="shared" si="11"/>
        <v>100</v>
      </c>
      <c r="V45" s="708" t="s">
        <v>14</v>
      </c>
      <c r="W45" s="709">
        <f t="shared" si="12"/>
        <v>100</v>
      </c>
      <c r="X45" s="710"/>
      <c r="Y45" s="3690"/>
      <c r="Z45" s="711">
        <f t="shared" si="13"/>
        <v>111</v>
      </c>
      <c r="AA45" s="1353">
        <f t="shared" si="3"/>
        <v>1</v>
      </c>
      <c r="AB45" s="1353">
        <f t="shared" si="4"/>
        <v>1</v>
      </c>
      <c r="AC45" s="1353">
        <f t="shared" si="5"/>
        <v>1</v>
      </c>
    </row>
    <row r="46" spans="1:29" ht="15">
      <c r="A46" s="430" t="s">
        <v>1844</v>
      </c>
      <c r="B46" s="1979" t="s">
        <v>1879</v>
      </c>
      <c r="C46" s="630" t="s">
        <v>0</v>
      </c>
      <c r="D46" s="432"/>
      <c r="E46" s="433"/>
      <c r="F46" s="434"/>
      <c r="G46" s="435"/>
      <c r="H46" s="436"/>
      <c r="I46" s="433"/>
      <c r="J46" s="436"/>
      <c r="K46" s="714"/>
      <c r="L46" s="2718"/>
      <c r="M46" s="2719"/>
      <c r="N46" s="2710"/>
      <c r="O46" s="2719"/>
      <c r="P46" s="3683" t="str">
        <f>A46</f>
        <v>成交单价</v>
      </c>
      <c r="Q46" s="3683"/>
      <c r="R46" s="3678">
        <f>E46</f>
        <v>0</v>
      </c>
      <c r="S46" s="3678"/>
      <c r="T46" s="3678">
        <f>G46</f>
        <v>0</v>
      </c>
      <c r="U46" s="3678"/>
      <c r="V46" s="3678">
        <f>I46</f>
        <v>0</v>
      </c>
      <c r="W46" s="3678"/>
      <c r="X46" s="690"/>
      <c r="Y46" s="712"/>
      <c r="Z46" s="690"/>
      <c r="AA46" s="690"/>
      <c r="AB46" s="690"/>
      <c r="AC46" s="690"/>
    </row>
    <row r="47" spans="1:29" ht="15.75" thickBot="1">
      <c r="A47" s="437" t="s">
        <v>1793</v>
      </c>
      <c r="B47" s="631"/>
      <c r="C47" s="440" t="e">
        <f>R48</f>
        <v>#DIV/0!</v>
      </c>
      <c r="D47" s="2314" t="s">
        <v>2138</v>
      </c>
      <c r="E47" s="440" t="e">
        <f>R47</f>
        <v>#DIV/0!</v>
      </c>
      <c r="F47" s="2315"/>
      <c r="G47" s="439" t="e">
        <f>T47</f>
        <v>#DIV/0!</v>
      </c>
      <c r="H47" s="2315"/>
      <c r="I47" s="440" t="e">
        <f>V47</f>
        <v>#DIV/0!</v>
      </c>
      <c r="J47" s="2315"/>
      <c r="K47" s="2317">
        <f>F47+H47+J47</f>
        <v>0</v>
      </c>
      <c r="L47" s="2718"/>
      <c r="M47" s="2719"/>
      <c r="N47" s="2719"/>
      <c r="O47" s="2719"/>
      <c r="P47" s="3683" t="str">
        <f>A47</f>
        <v>比较价值（元/平方米）</v>
      </c>
      <c r="Q47" s="3683"/>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680" t="str">
        <f>A48</f>
        <v>估价对象XX用房的比较价值（楼面单价，元/平方米）</v>
      </c>
      <c r="Q48" s="3681"/>
      <c r="R48" s="3738" t="e">
        <f>ROUND(IF(D47="简单平均",AVERAGE(R47:W47),R47*F47+T47*H47+V47*J47),0)</f>
        <v>#DIV/0!</v>
      </c>
      <c r="S48" s="3738"/>
      <c r="T48" s="3738"/>
      <c r="U48" s="3738"/>
      <c r="V48" s="3738"/>
      <c r="W48" s="3738"/>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80" t="s">
        <v>1883</v>
      </c>
      <c r="D55" s="1981" t="s">
        <v>1884</v>
      </c>
      <c r="E55" s="634" t="s">
        <v>1885</v>
      </c>
      <c r="F55" s="890" t="s">
        <v>1886</v>
      </c>
      <c r="G55" s="3666" t="s">
        <v>1887</v>
      </c>
      <c r="H55" s="3739"/>
      <c r="I55" s="135" t="s">
        <v>1888</v>
      </c>
      <c r="J55" s="1982">
        <f>项目基本情况!F35</f>
        <v>0</v>
      </c>
      <c r="K55" s="1983"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4">
        <v>1</v>
      </c>
      <c r="E56" s="638">
        <f>'数据-汇总表'!E8+'数据-汇总表'!E9</f>
        <v>70.150000000000006</v>
      </c>
      <c r="F56" s="886" t="e">
        <f t="shared" ref="F56:F64" si="15">ROUND(B56*E56/10000,0)</f>
        <v>#DIV/0!</v>
      </c>
      <c r="G56" s="3665"/>
      <c r="H56" s="3683"/>
      <c r="I56" s="891">
        <v>1</v>
      </c>
      <c r="J56" s="894">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0.6</v>
      </c>
      <c r="D57" s="945">
        <v>0.25</v>
      </c>
      <c r="E57" s="642"/>
      <c r="F57" s="886" t="e">
        <f t="shared" si="15"/>
        <v>#DIV/0!</v>
      </c>
      <c r="G57" s="3000" t="s">
        <v>1892</v>
      </c>
      <c r="H57" s="887" t="str">
        <f>项目基本情况!B37</f>
        <v>四级</v>
      </c>
      <c r="I57" s="891">
        <f>SUMIF(修正!A57:A68,H57,修正!B57:B68)</f>
        <v>0.6</v>
      </c>
      <c r="J57" s="895"/>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0.3</v>
      </c>
      <c r="D58" s="945">
        <v>0.25</v>
      </c>
      <c r="E58" s="642"/>
      <c r="F58" s="886" t="e">
        <f t="shared" si="15"/>
        <v>#DIV/0!</v>
      </c>
      <c r="G58" s="3001"/>
      <c r="H58" s="887" t="str">
        <f>项目基本情况!B37</f>
        <v>四级</v>
      </c>
      <c r="I58" s="891">
        <f>SUMIF(修正!A57:A68,H58,修正!C57:C68)</f>
        <v>0.3</v>
      </c>
      <c r="J58" s="895"/>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0.25</v>
      </c>
      <c r="D59" s="945">
        <v>0.25</v>
      </c>
      <c r="E59" s="642"/>
      <c r="F59" s="886" t="e">
        <f t="shared" si="15"/>
        <v>#DIV/0!</v>
      </c>
      <c r="G59" s="3001"/>
      <c r="H59" s="887" t="str">
        <f>项目基本情况!B37</f>
        <v>四级</v>
      </c>
      <c r="I59" s="891">
        <f>SUMIF(修正!A57:A68,H59,修正!D57:D68)</f>
        <v>0.25</v>
      </c>
      <c r="J59" s="895"/>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v>
      </c>
      <c r="D60" s="945">
        <v>0.25</v>
      </c>
      <c r="E60" s="217">
        <f>'数据-汇总表'!E11</f>
        <v>0</v>
      </c>
      <c r="F60" s="886" t="e">
        <f t="shared" si="15"/>
        <v>#DIV/0!</v>
      </c>
      <c r="G60" s="1984" t="s">
        <v>1896</v>
      </c>
      <c r="H60" s="887">
        <f>项目基本情况!C37</f>
        <v>0</v>
      </c>
      <c r="I60" s="891">
        <f>SUMIF(修正!A57:A68,H60,修正!E57:E68)</f>
        <v>0</v>
      </c>
      <c r="J60" s="895"/>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0.15</v>
      </c>
      <c r="D63" s="945">
        <v>0.25</v>
      </c>
      <c r="E63" s="217">
        <f>'数据-汇总表'!E14</f>
        <v>0</v>
      </c>
      <c r="F63" s="886" t="e">
        <f t="shared" si="15"/>
        <v>#DIV/0!</v>
      </c>
      <c r="G63" s="1984" t="s">
        <v>1892</v>
      </c>
      <c r="H63" s="887" t="str">
        <f>项目基本情况!B37</f>
        <v>四级</v>
      </c>
      <c r="I63" s="891">
        <f>SUMIF(修正!A57:A68,H63,修正!G57:G68)</f>
        <v>0.15</v>
      </c>
      <c r="J63" s="895"/>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v>
      </c>
      <c r="D64" s="945">
        <v>0.25</v>
      </c>
      <c r="E64" s="217">
        <f>'数据-汇总表'!E15</f>
        <v>0</v>
      </c>
      <c r="F64" s="886" t="e">
        <f t="shared" si="15"/>
        <v>#DIV/0!</v>
      </c>
      <c r="G64" s="1985" t="s">
        <v>1896</v>
      </c>
      <c r="H64" s="897">
        <f>项目基本情况!C37</f>
        <v>0</v>
      </c>
      <c r="I64" s="893">
        <f>SUMIF(修正!A57:A68,H64,修正!G57:G68)</f>
        <v>0</v>
      </c>
      <c r="J64" s="896"/>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70.150000000000006</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7"/>
      <c r="K66" s="888"/>
      <c r="L66" s="889"/>
      <c r="M66" s="927"/>
      <c r="N66" s="927"/>
      <c r="O66" s="927"/>
      <c r="P66" s="2719"/>
      <c r="Q66" s="2719"/>
      <c r="R66" s="2719"/>
      <c r="S66" s="2719"/>
      <c r="T66" s="2719"/>
      <c r="U66" s="2719"/>
      <c r="V66" s="2719"/>
      <c r="W66" s="2719"/>
      <c r="X66" s="2719"/>
      <c r="Y66" s="2719"/>
      <c r="Z66" s="2719"/>
      <c r="AA66" s="2719"/>
      <c r="AB66" s="2719"/>
      <c r="AC66" s="2719"/>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40"/>
      <c r="K68" s="941"/>
      <c r="L68" s="942"/>
      <c r="M68" s="940"/>
      <c r="N68" s="2763"/>
      <c r="O68" s="2763"/>
      <c r="P68" s="2763"/>
      <c r="Q68" s="2733"/>
      <c r="R68" s="2719"/>
      <c r="S68" s="2719"/>
      <c r="T68" s="2719"/>
      <c r="U68" s="2719"/>
      <c r="V68" s="2719"/>
      <c r="W68" s="2719"/>
      <c r="X68" s="2719"/>
      <c r="Y68" s="2719"/>
      <c r="Z68" s="2719"/>
      <c r="AA68" s="2719"/>
      <c r="AB68" s="2719"/>
      <c r="AC68" s="2719"/>
    </row>
    <row r="69" spans="1:29" s="457" customFormat="1" ht="15">
      <c r="A69" s="1986"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0"/>
      <c r="Q69" s="2735"/>
      <c r="R69" s="2735"/>
      <c r="S69" s="2735"/>
      <c r="T69" s="2735"/>
      <c r="U69" s="2735"/>
      <c r="V69" s="2735"/>
      <c r="W69" s="2735"/>
      <c r="X69" s="2735"/>
      <c r="Y69" s="2735"/>
      <c r="Z69" s="2735"/>
      <c r="AA69" s="2735"/>
      <c r="AB69" s="2735"/>
      <c r="AC69" s="2735"/>
    </row>
    <row r="70" spans="1:29" s="108" customFormat="1" ht="30" customHeight="1">
      <c r="A70" s="1987"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43"/>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28"/>
      <c r="M3" s="2729"/>
      <c r="N3" s="2729"/>
      <c r="O3" s="2729"/>
      <c r="P3" s="699"/>
      <c r="Q3" s="699"/>
      <c r="R3" s="699"/>
      <c r="S3" s="699"/>
      <c r="T3" s="699"/>
      <c r="U3" s="699"/>
      <c r="V3" s="699"/>
      <c r="W3" s="699"/>
      <c r="X3" s="699"/>
      <c r="Y3" s="699"/>
      <c r="Z3" s="699"/>
      <c r="AA3" s="699"/>
      <c r="AB3" s="716"/>
      <c r="AC3" s="713"/>
    </row>
    <row r="4" spans="1:29" ht="15">
      <c r="A4" s="355" t="s">
        <v>1769</v>
      </c>
      <c r="B4" s="356"/>
      <c r="C4" s="3666" t="s">
        <v>1770</v>
      </c>
      <c r="D4" s="3667"/>
      <c r="E4" s="3668" t="s">
        <v>1771</v>
      </c>
      <c r="F4" s="3669"/>
      <c r="G4" s="3666" t="s">
        <v>1772</v>
      </c>
      <c r="H4" s="3667"/>
      <c r="I4" s="3666" t="s">
        <v>1773</v>
      </c>
      <c r="J4" s="3667"/>
      <c r="K4" s="559" t="s">
        <v>1774</v>
      </c>
      <c r="L4" s="2709"/>
      <c r="M4" s="2710"/>
      <c r="N4" s="2710"/>
      <c r="O4" s="2710"/>
      <c r="P4" s="3670" t="s">
        <v>1775</v>
      </c>
      <c r="Q4" s="3671"/>
      <c r="R4" s="3653" t="s">
        <v>1771</v>
      </c>
      <c r="S4" s="3654"/>
      <c r="T4" s="3653" t="s">
        <v>1772</v>
      </c>
      <c r="U4" s="3654"/>
      <c r="V4" s="3678" t="s">
        <v>1773</v>
      </c>
      <c r="W4" s="3678"/>
      <c r="X4" s="1355"/>
      <c r="Y4" s="3653" t="s">
        <v>1775</v>
      </c>
      <c r="Z4" s="3654"/>
      <c r="AA4" s="3648" t="s">
        <v>1771</v>
      </c>
      <c r="AB4" s="3649" t="s">
        <v>1772</v>
      </c>
      <c r="AC4" s="3648" t="s">
        <v>1773</v>
      </c>
    </row>
    <row r="5" spans="1:29" ht="15">
      <c r="A5" s="358"/>
      <c r="B5" s="359"/>
      <c r="C5" s="3659" t="s">
        <v>1673</v>
      </c>
      <c r="D5" s="3660"/>
      <c r="E5" s="3657" t="s">
        <v>1674</v>
      </c>
      <c r="F5" s="3658"/>
      <c r="G5" s="3659" t="s">
        <v>1675</v>
      </c>
      <c r="H5" s="3660"/>
      <c r="I5" s="3659" t="s">
        <v>1676</v>
      </c>
      <c r="J5" s="3660"/>
      <c r="K5" s="559"/>
      <c r="L5" s="2709"/>
      <c r="M5" s="2710"/>
      <c r="N5" s="2710"/>
      <c r="O5" s="2710"/>
      <c r="P5" s="3672"/>
      <c r="Q5" s="3673"/>
      <c r="R5" s="3655"/>
      <c r="S5" s="3656"/>
      <c r="T5" s="3655"/>
      <c r="U5" s="3656"/>
      <c r="V5" s="3678"/>
      <c r="W5" s="3678"/>
      <c r="X5" s="1355"/>
      <c r="Y5" s="3655"/>
      <c r="Z5" s="3656"/>
      <c r="AA5" s="3649"/>
      <c r="AB5" s="3649"/>
      <c r="AC5" s="3649"/>
    </row>
    <row r="6" spans="1:29" ht="15.75" thickBot="1">
      <c r="A6" s="360"/>
      <c r="B6" s="361"/>
      <c r="C6" s="3740" t="s">
        <v>1919</v>
      </c>
      <c r="D6" s="3741"/>
      <c r="E6" s="3742" t="s">
        <v>1919</v>
      </c>
      <c r="F6" s="3743"/>
      <c r="G6" s="3740" t="s">
        <v>1919</v>
      </c>
      <c r="H6" s="3741"/>
      <c r="I6" s="3740" t="s">
        <v>1919</v>
      </c>
      <c r="J6" s="3741"/>
      <c r="K6" s="559" t="s">
        <v>1678</v>
      </c>
      <c r="L6" s="2709"/>
      <c r="M6" s="2710"/>
      <c r="N6" s="2710"/>
      <c r="O6" s="2710"/>
      <c r="P6" s="3674"/>
      <c r="Q6" s="3675"/>
      <c r="R6" s="3655"/>
      <c r="S6" s="3656"/>
      <c r="T6" s="3676"/>
      <c r="U6" s="3677"/>
      <c r="V6" s="3678"/>
      <c r="W6" s="3678"/>
      <c r="X6" s="1355"/>
      <c r="Y6" s="3676"/>
      <c r="Z6" s="3677"/>
      <c r="AA6" s="3650"/>
      <c r="AB6" s="3650"/>
      <c r="AC6" s="3650"/>
    </row>
    <row r="7" spans="1:29" s="108" customFormat="1" ht="15.75" thickBot="1">
      <c r="A7" s="362" t="s">
        <v>1679</v>
      </c>
      <c r="B7" s="363"/>
      <c r="C7" s="364">
        <f>'数据-取费表'!B2</f>
        <v>45013</v>
      </c>
      <c r="D7" s="365">
        <v>100</v>
      </c>
      <c r="E7" s="366"/>
      <c r="F7" s="367">
        <f>SUMIF(65:65,YEAR(E7)&amp;"-"&amp;INT((MONTH(E7)+2)/3),66:66)</f>
        <v>0</v>
      </c>
      <c r="G7" s="1971"/>
      <c r="H7" s="365">
        <f>SUMIF(65:65,YEAR(G7)&amp;"-"&amp;INT((MONTH(G7)+2)/3),66:66)</f>
        <v>0</v>
      </c>
      <c r="I7" s="1971"/>
      <c r="J7" s="365">
        <f>SUMIF(65:65,YEAR(I7)&amp;"-"&amp;INT((MONTH(I7)+2)/3),66:66)</f>
        <v>0</v>
      </c>
      <c r="K7" s="560"/>
      <c r="L7" s="2711"/>
      <c r="M7" s="2712"/>
      <c r="N7" s="2712"/>
      <c r="O7" s="2712"/>
      <c r="P7" s="3651" t="s">
        <v>1680</v>
      </c>
      <c r="Q7" s="3679"/>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51" t="s">
        <v>1683</v>
      </c>
      <c r="Q8" s="3652"/>
      <c r="R8" s="701" t="s">
        <v>14</v>
      </c>
      <c r="S8" s="702">
        <f t="shared" si="0"/>
        <v>0</v>
      </c>
      <c r="T8" s="701" t="s">
        <v>14</v>
      </c>
      <c r="U8" s="702">
        <f t="shared" si="1"/>
        <v>0</v>
      </c>
      <c r="V8" s="701" t="s">
        <v>14</v>
      </c>
      <c r="W8" s="702">
        <f t="shared" si="2"/>
        <v>0</v>
      </c>
      <c r="X8" s="703"/>
      <c r="Y8" s="3651" t="s">
        <v>1683</v>
      </c>
      <c r="Z8" s="3652"/>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11"/>
      <c r="M9" s="2712"/>
      <c r="N9" s="2712"/>
      <c r="O9" s="2766"/>
      <c r="P9" s="3683"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3"/>
      <c r="M10" s="2714"/>
      <c r="N10" s="2714"/>
      <c r="O10" s="2767"/>
      <c r="P10" s="3683"/>
      <c r="Q10" s="1343" t="str">
        <f t="shared" si="6"/>
        <v>土地使用年限（年）</v>
      </c>
      <c r="R10" s="701" t="s">
        <v>14</v>
      </c>
      <c r="S10" s="702">
        <f t="shared" si="0"/>
        <v>125</v>
      </c>
      <c r="T10" s="701" t="s">
        <v>14</v>
      </c>
      <c r="U10" s="702">
        <f t="shared" si="1"/>
        <v>125</v>
      </c>
      <c r="V10" s="701" t="s">
        <v>14</v>
      </c>
      <c r="W10" s="702">
        <f t="shared" si="2"/>
        <v>125</v>
      </c>
      <c r="X10" s="703"/>
      <c r="Y10" s="3621"/>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83"/>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83"/>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83"/>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83"/>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85" t="s">
        <v>1691</v>
      </c>
      <c r="Q15" s="1352" t="str">
        <f t="shared" si="6"/>
        <v>产业集聚程度</v>
      </c>
      <c r="R15" s="705" t="s">
        <v>14</v>
      </c>
      <c r="S15" s="706">
        <f t="shared" si="0"/>
        <v>100</v>
      </c>
      <c r="T15" s="705" t="s">
        <v>14</v>
      </c>
      <c r="U15" s="706">
        <f t="shared" si="1"/>
        <v>100</v>
      </c>
      <c r="V15" s="705" t="s">
        <v>14</v>
      </c>
      <c r="W15" s="706">
        <f t="shared" si="2"/>
        <v>100</v>
      </c>
      <c r="X15" s="1355"/>
      <c r="Y15" s="3685" t="s">
        <v>1691</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16"/>
      <c r="M16" s="2710"/>
      <c r="N16" s="2710"/>
      <c r="O16" s="2768"/>
      <c r="P16" s="3686"/>
      <c r="Q16" s="1352"/>
      <c r="R16" s="705"/>
      <c r="S16" s="706"/>
      <c r="T16" s="705"/>
      <c r="U16" s="706"/>
      <c r="V16" s="705"/>
      <c r="W16" s="706"/>
      <c r="X16" s="1355"/>
      <c r="Y16" s="3686"/>
      <c r="Z16" s="1356"/>
      <c r="AA16" s="1353">
        <v>1</v>
      </c>
      <c r="AB16" s="1353">
        <v>1</v>
      </c>
      <c r="AC16" s="1353">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86"/>
      <c r="Q17" s="1352" t="str">
        <f>B17</f>
        <v>交通便捷度</v>
      </c>
      <c r="R17" s="705" t="s">
        <v>14</v>
      </c>
      <c r="S17" s="706">
        <f>F17</f>
        <v>100</v>
      </c>
      <c r="T17" s="705" t="s">
        <v>14</v>
      </c>
      <c r="U17" s="706">
        <f>H17</f>
        <v>100</v>
      </c>
      <c r="V17" s="705" t="s">
        <v>14</v>
      </c>
      <c r="W17" s="706">
        <f>J17</f>
        <v>100</v>
      </c>
      <c r="X17" s="1355"/>
      <c r="Y17" s="3686"/>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16"/>
      <c r="M18" s="2710"/>
      <c r="N18" s="2710"/>
      <c r="O18" s="2768"/>
      <c r="P18" s="3686"/>
      <c r="Q18" s="1352"/>
      <c r="R18" s="705"/>
      <c r="S18" s="706"/>
      <c r="T18" s="705"/>
      <c r="U18" s="706"/>
      <c r="V18" s="705"/>
      <c r="W18" s="706"/>
      <c r="X18" s="1355"/>
      <c r="Y18" s="3686"/>
      <c r="Z18" s="1356"/>
      <c r="AA18" s="1353">
        <v>1</v>
      </c>
      <c r="AB18" s="1353">
        <v>1</v>
      </c>
      <c r="AC18" s="1353">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86"/>
      <c r="Q19" s="1352" t="str">
        <f t="shared" ref="Q19:Q33" si="8">B19</f>
        <v>区域土地利用方向</v>
      </c>
      <c r="R19" s="705" t="s">
        <v>14</v>
      </c>
      <c r="S19" s="706">
        <f>F19</f>
        <v>100</v>
      </c>
      <c r="T19" s="705" t="s">
        <v>14</v>
      </c>
      <c r="U19" s="706">
        <f>H19</f>
        <v>100</v>
      </c>
      <c r="V19" s="705" t="s">
        <v>14</v>
      </c>
      <c r="W19" s="706">
        <f>J19</f>
        <v>100</v>
      </c>
      <c r="X19" s="1355"/>
      <c r="Y19" s="3686"/>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16"/>
      <c r="M20" s="2710"/>
      <c r="N20" s="2710"/>
      <c r="O20" s="2768"/>
      <c r="P20" s="3686"/>
      <c r="Q20" s="1352"/>
      <c r="R20" s="705"/>
      <c r="S20" s="706"/>
      <c r="T20" s="705"/>
      <c r="U20" s="706"/>
      <c r="V20" s="705"/>
      <c r="W20" s="706"/>
      <c r="X20" s="1355"/>
      <c r="Y20" s="3686"/>
      <c r="Z20" s="1356"/>
      <c r="AA20" s="1353"/>
      <c r="AB20" s="1353"/>
      <c r="AC20" s="1353"/>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86"/>
      <c r="Q21" s="1352" t="str">
        <f t="shared" si="8"/>
        <v>环境状况</v>
      </c>
      <c r="R21" s="705" t="s">
        <v>14</v>
      </c>
      <c r="S21" s="706">
        <f>F21</f>
        <v>100</v>
      </c>
      <c r="T21" s="705" t="s">
        <v>14</v>
      </c>
      <c r="U21" s="706">
        <f>H21</f>
        <v>100</v>
      </c>
      <c r="V21" s="705" t="s">
        <v>14</v>
      </c>
      <c r="W21" s="706">
        <f>J21</f>
        <v>100</v>
      </c>
      <c r="X21" s="1355"/>
      <c r="Y21" s="3686"/>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16"/>
      <c r="M22" s="2710"/>
      <c r="N22" s="2710"/>
      <c r="O22" s="2768"/>
      <c r="P22" s="3686"/>
      <c r="Q22" s="1352"/>
      <c r="R22" s="705"/>
      <c r="S22" s="706"/>
      <c r="T22" s="705"/>
      <c r="U22" s="706"/>
      <c r="V22" s="705"/>
      <c r="W22" s="706"/>
      <c r="X22" s="1355"/>
      <c r="Y22" s="3686"/>
      <c r="Z22" s="1356"/>
      <c r="AA22" s="1353">
        <v>1</v>
      </c>
      <c r="AB22" s="1353">
        <v>1</v>
      </c>
      <c r="AC22" s="1353">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86"/>
      <c r="Q23" s="1343" t="str">
        <f t="shared" si="8"/>
        <v>公共配套设施</v>
      </c>
      <c r="R23" s="701" t="s">
        <v>14</v>
      </c>
      <c r="S23" s="702">
        <f>F23</f>
        <v>100</v>
      </c>
      <c r="T23" s="701" t="s">
        <v>14</v>
      </c>
      <c r="U23" s="702">
        <f>H23</f>
        <v>100</v>
      </c>
      <c r="V23" s="701" t="s">
        <v>14</v>
      </c>
      <c r="W23" s="702">
        <f>J23</f>
        <v>100</v>
      </c>
      <c r="X23" s="703"/>
      <c r="Y23" s="3686"/>
      <c r="Z23" s="52" t="str">
        <f>Q23</f>
        <v>公共配套设施</v>
      </c>
      <c r="AA23" s="1353">
        <f>D23/F23</f>
        <v>1</v>
      </c>
      <c r="AB23" s="1353">
        <f>D23/H23</f>
        <v>1</v>
      </c>
      <c r="AC23" s="1353">
        <f>D23/J23</f>
        <v>1</v>
      </c>
    </row>
    <row r="24" spans="1:29" s="108" customFormat="1" ht="15">
      <c r="A24" s="597"/>
      <c r="B24" s="580"/>
      <c r="C24" s="1975"/>
      <c r="D24" s="399"/>
      <c r="E24" s="1903"/>
      <c r="F24" s="399"/>
      <c r="G24" s="1903"/>
      <c r="H24" s="399"/>
      <c r="I24" s="398"/>
      <c r="J24" s="399"/>
      <c r="K24" s="620"/>
      <c r="L24" s="2711"/>
      <c r="M24" s="2712"/>
      <c r="N24" s="2712"/>
      <c r="O24" s="2766"/>
      <c r="P24" s="3686"/>
      <c r="Q24" s="1343"/>
      <c r="R24" s="701"/>
      <c r="S24" s="702"/>
      <c r="T24" s="701"/>
      <c r="U24" s="702"/>
      <c r="V24" s="701"/>
      <c r="W24" s="702"/>
      <c r="X24" s="703"/>
      <c r="Y24" s="368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86"/>
      <c r="Q25" s="1343" t="str">
        <f t="shared" ref="Q25" si="9">B25</f>
        <v>基础设施水平</v>
      </c>
      <c r="R25" s="701" t="s">
        <v>14</v>
      </c>
      <c r="S25" s="702">
        <f>F25</f>
        <v>100</v>
      </c>
      <c r="T25" s="701" t="s">
        <v>14</v>
      </c>
      <c r="U25" s="702">
        <f>H25</f>
        <v>100</v>
      </c>
      <c r="V25" s="701" t="s">
        <v>14</v>
      </c>
      <c r="W25" s="702">
        <f>J25</f>
        <v>100</v>
      </c>
      <c r="X25" s="703"/>
      <c r="Y25" s="3686"/>
      <c r="Z25" s="52" t="str">
        <f>Q25</f>
        <v>基础设施水平</v>
      </c>
      <c r="AA25" s="1353">
        <f>D25/F25</f>
        <v>1</v>
      </c>
      <c r="AB25" s="1353">
        <f>D25/H25</f>
        <v>1</v>
      </c>
      <c r="AC25" s="1353">
        <f>D25/J25</f>
        <v>1</v>
      </c>
    </row>
    <row r="26" spans="1:29" s="108" customFormat="1" ht="15">
      <c r="A26" s="597"/>
      <c r="B26" s="580"/>
      <c r="C26" s="1975"/>
      <c r="D26" s="399"/>
      <c r="E26" s="1976"/>
      <c r="F26" s="399"/>
      <c r="G26" s="1976"/>
      <c r="H26" s="399"/>
      <c r="I26" s="1976"/>
      <c r="J26" s="399"/>
      <c r="K26" s="620"/>
      <c r="L26" s="2711"/>
      <c r="M26" s="2712"/>
      <c r="N26" s="2712"/>
      <c r="O26" s="2766"/>
      <c r="P26" s="3686"/>
      <c r="Q26" s="1343"/>
      <c r="R26" s="701"/>
      <c r="S26" s="702"/>
      <c r="T26" s="701"/>
      <c r="U26" s="702"/>
      <c r="V26" s="701"/>
      <c r="W26" s="702"/>
      <c r="X26" s="703"/>
      <c r="Y26" s="368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8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6"/>
      <c r="Z27" s="1356" t="str">
        <f t="shared" ref="Z27:Z40" si="13">Q27</f>
        <v>临街状况</v>
      </c>
      <c r="AA27" s="1353">
        <f t="shared" si="3"/>
        <v>1</v>
      </c>
      <c r="AB27" s="1353">
        <f t="shared" si="4"/>
        <v>1</v>
      </c>
      <c r="AC27" s="1353">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86"/>
      <c r="Q28" s="1352" t="str">
        <f t="shared" si="8"/>
        <v>毗邻道路的类型与等级</v>
      </c>
      <c r="R28" s="705" t="s">
        <v>14</v>
      </c>
      <c r="S28" s="706">
        <f t="shared" si="10"/>
        <v>100</v>
      </c>
      <c r="T28" s="705" t="s">
        <v>14</v>
      </c>
      <c r="U28" s="706">
        <f t="shared" si="11"/>
        <v>100</v>
      </c>
      <c r="V28" s="705" t="s">
        <v>14</v>
      </c>
      <c r="W28" s="706">
        <f t="shared" si="12"/>
        <v>100</v>
      </c>
      <c r="X28" s="1355"/>
      <c r="Y28" s="3686"/>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16"/>
      <c r="M29" s="2710"/>
      <c r="N29" s="2710"/>
      <c r="O29" s="2768"/>
      <c r="P29" s="3686"/>
      <c r="Q29" s="1352"/>
      <c r="R29" s="705"/>
      <c r="S29" s="706"/>
      <c r="T29" s="705"/>
      <c r="U29" s="706"/>
      <c r="V29" s="705"/>
      <c r="W29" s="706"/>
      <c r="X29" s="1355"/>
      <c r="Y29" s="368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86"/>
      <c r="Q30" s="1352" t="str">
        <f t="shared" si="8"/>
        <v>土地级别</v>
      </c>
      <c r="R30" s="705" t="s">
        <v>14</v>
      </c>
      <c r="S30" s="706">
        <f t="shared" si="10"/>
        <v>100</v>
      </c>
      <c r="T30" s="705" t="s">
        <v>14</v>
      </c>
      <c r="U30" s="706">
        <f t="shared" si="11"/>
        <v>100</v>
      </c>
      <c r="V30" s="705" t="s">
        <v>14</v>
      </c>
      <c r="W30" s="706">
        <f t="shared" si="12"/>
        <v>100</v>
      </c>
      <c r="X30" s="1355"/>
      <c r="Y30" s="3686"/>
      <c r="Z30" s="1356" t="str">
        <f t="shared" si="13"/>
        <v>土地级别</v>
      </c>
      <c r="AA30" s="1353">
        <f t="shared" si="3"/>
        <v>1</v>
      </c>
      <c r="AB30" s="1353">
        <f t="shared" si="4"/>
        <v>1</v>
      </c>
      <c r="AC30" s="1353">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86"/>
      <c r="Q31" s="1352">
        <f t="shared" si="8"/>
        <v>111</v>
      </c>
      <c r="R31" s="705" t="s">
        <v>14</v>
      </c>
      <c r="S31" s="706">
        <f t="shared" si="10"/>
        <v>100</v>
      </c>
      <c r="T31" s="705" t="s">
        <v>14</v>
      </c>
      <c r="U31" s="706">
        <f t="shared" si="11"/>
        <v>100</v>
      </c>
      <c r="V31" s="705" t="s">
        <v>14</v>
      </c>
      <c r="W31" s="706">
        <f t="shared" si="12"/>
        <v>100</v>
      </c>
      <c r="X31" s="1355"/>
      <c r="Y31" s="3686"/>
      <c r="Z31" s="1356">
        <f t="shared" si="13"/>
        <v>111</v>
      </c>
      <c r="AA31" s="1353">
        <f t="shared" si="3"/>
        <v>1</v>
      </c>
      <c r="AB31" s="1353">
        <f t="shared" si="4"/>
        <v>1</v>
      </c>
      <c r="AC31" s="1353">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35" t="s">
        <v>1696</v>
      </c>
      <c r="Q32" s="1352">
        <f t="shared" si="8"/>
        <v>111</v>
      </c>
      <c r="R32" s="705" t="s">
        <v>14</v>
      </c>
      <c r="S32" s="706">
        <f t="shared" si="10"/>
        <v>100</v>
      </c>
      <c r="T32" s="705" t="s">
        <v>14</v>
      </c>
      <c r="U32" s="706">
        <f t="shared" si="11"/>
        <v>100</v>
      </c>
      <c r="V32" s="705" t="s">
        <v>14</v>
      </c>
      <c r="W32" s="706">
        <f t="shared" si="12"/>
        <v>100</v>
      </c>
      <c r="X32" s="1355"/>
      <c r="Y32" s="3690" t="s">
        <v>1696</v>
      </c>
      <c r="Z32" s="1356">
        <f t="shared" si="13"/>
        <v>111</v>
      </c>
      <c r="AA32" s="1353">
        <f t="shared" si="3"/>
        <v>1</v>
      </c>
      <c r="AB32" s="1353">
        <f t="shared" si="4"/>
        <v>1</v>
      </c>
      <c r="AC32" s="1353">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90"/>
      <c r="Q33" s="1352">
        <f t="shared" si="8"/>
        <v>111</v>
      </c>
      <c r="R33" s="708" t="s">
        <v>14</v>
      </c>
      <c r="S33" s="709">
        <f t="shared" si="10"/>
        <v>100</v>
      </c>
      <c r="T33" s="708" t="s">
        <v>14</v>
      </c>
      <c r="U33" s="709">
        <f t="shared" si="11"/>
        <v>100</v>
      </c>
      <c r="V33" s="708" t="s">
        <v>14</v>
      </c>
      <c r="W33" s="709">
        <f t="shared" si="12"/>
        <v>100</v>
      </c>
      <c r="X33" s="710"/>
      <c r="Y33" s="369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90"/>
      <c r="Q34" s="1352" t="str">
        <f>B34</f>
        <v>宗地面积</v>
      </c>
      <c r="R34" s="705" t="s">
        <v>14</v>
      </c>
      <c r="S34" s="706" t="e">
        <f t="shared" si="10"/>
        <v>#N/A</v>
      </c>
      <c r="T34" s="705" t="s">
        <v>14</v>
      </c>
      <c r="U34" s="706" t="e">
        <f t="shared" si="11"/>
        <v>#N/A</v>
      </c>
      <c r="V34" s="705" t="s">
        <v>14</v>
      </c>
      <c r="W34" s="706" t="e">
        <f t="shared" si="12"/>
        <v>#N/A</v>
      </c>
      <c r="X34" s="1355"/>
      <c r="Y34" s="3690"/>
      <c r="Z34" s="1356" t="str">
        <f t="shared" si="13"/>
        <v>宗地面积</v>
      </c>
      <c r="AA34" s="1353" t="e">
        <f t="shared" si="3"/>
        <v>#N/A</v>
      </c>
      <c r="AB34" s="1353" t="e">
        <f t="shared" si="4"/>
        <v>#N/A</v>
      </c>
      <c r="AC34" s="1353"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6"/>
      <c r="M35" s="2710"/>
      <c r="N35" s="2710"/>
      <c r="O35" s="2768"/>
      <c r="P35" s="3690"/>
      <c r="Q35" s="1352" t="str">
        <f t="shared" ref="Q35:Q40" si="14">B35</f>
        <v>宗地形状</v>
      </c>
      <c r="R35" s="705" t="s">
        <v>14</v>
      </c>
      <c r="S35" s="706">
        <f t="shared" si="10"/>
        <v>100</v>
      </c>
      <c r="T35" s="705" t="s">
        <v>14</v>
      </c>
      <c r="U35" s="706">
        <f t="shared" si="11"/>
        <v>100</v>
      </c>
      <c r="V35" s="705" t="s">
        <v>14</v>
      </c>
      <c r="W35" s="706">
        <f t="shared" si="12"/>
        <v>100</v>
      </c>
      <c r="X35" s="1355"/>
      <c r="Y35" s="3690"/>
      <c r="Z35" s="1356" t="str">
        <f t="shared" si="13"/>
        <v>宗地形状</v>
      </c>
      <c r="AA35" s="1353">
        <f t="shared" si="3"/>
        <v>1</v>
      </c>
      <c r="AB35" s="1353">
        <f t="shared" si="4"/>
        <v>1</v>
      </c>
      <c r="AC35" s="1353">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1"/>
      <c r="M36" s="2712"/>
      <c r="N36" s="2712"/>
      <c r="O36" s="2766"/>
      <c r="P36" s="3690"/>
      <c r="Q36" s="1352" t="str">
        <f t="shared" si="14"/>
        <v>宗地开发程度</v>
      </c>
      <c r="R36" s="701" t="s">
        <v>14</v>
      </c>
      <c r="S36" s="702">
        <f t="shared" si="10"/>
        <v>100</v>
      </c>
      <c r="T36" s="701" t="s">
        <v>14</v>
      </c>
      <c r="U36" s="702">
        <f t="shared" si="11"/>
        <v>100</v>
      </c>
      <c r="V36" s="701" t="s">
        <v>14</v>
      </c>
      <c r="W36" s="702">
        <f t="shared" si="12"/>
        <v>100</v>
      </c>
      <c r="X36" s="703"/>
      <c r="Y36" s="369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6"/>
      <c r="M37" s="2710"/>
      <c r="N37" s="2710"/>
      <c r="O37" s="2768"/>
      <c r="P37" s="3690" t="s">
        <v>1696</v>
      </c>
      <c r="Q37" s="1352" t="str">
        <f t="shared" si="14"/>
        <v>工程地质条件</v>
      </c>
      <c r="R37" s="705" t="s">
        <v>14</v>
      </c>
      <c r="S37" s="706">
        <f t="shared" si="10"/>
        <v>100</v>
      </c>
      <c r="T37" s="705" t="s">
        <v>14</v>
      </c>
      <c r="U37" s="706">
        <f t="shared" si="11"/>
        <v>100</v>
      </c>
      <c r="V37" s="705" t="s">
        <v>14</v>
      </c>
      <c r="W37" s="706">
        <f t="shared" si="12"/>
        <v>100</v>
      </c>
      <c r="X37" s="1355"/>
      <c r="Y37" s="369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90"/>
      <c r="Q38" s="1352">
        <f t="shared" si="14"/>
        <v>111</v>
      </c>
      <c r="R38" s="705" t="s">
        <v>14</v>
      </c>
      <c r="S38" s="706">
        <f t="shared" si="10"/>
        <v>100</v>
      </c>
      <c r="T38" s="705" t="s">
        <v>14</v>
      </c>
      <c r="U38" s="706">
        <f t="shared" si="11"/>
        <v>100</v>
      </c>
      <c r="V38" s="705" t="s">
        <v>14</v>
      </c>
      <c r="W38" s="706">
        <f t="shared" si="12"/>
        <v>100</v>
      </c>
      <c r="X38" s="1355"/>
      <c r="Y38" s="369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90"/>
      <c r="Q39" s="1352">
        <f t="shared" si="14"/>
        <v>111</v>
      </c>
      <c r="R39" s="705" t="s">
        <v>14</v>
      </c>
      <c r="S39" s="706">
        <f t="shared" si="10"/>
        <v>100</v>
      </c>
      <c r="T39" s="705" t="s">
        <v>14</v>
      </c>
      <c r="U39" s="706">
        <f t="shared" si="11"/>
        <v>100</v>
      </c>
      <c r="V39" s="705" t="s">
        <v>14</v>
      </c>
      <c r="W39" s="706">
        <f t="shared" si="12"/>
        <v>100</v>
      </c>
      <c r="X39" s="1355"/>
      <c r="Y39" s="3690"/>
      <c r="Z39" s="1356">
        <f t="shared" si="13"/>
        <v>111</v>
      </c>
      <c r="AA39" s="1353">
        <f t="shared" si="3"/>
        <v>1</v>
      </c>
      <c r="AB39" s="1353">
        <f t="shared" si="4"/>
        <v>1</v>
      </c>
      <c r="AC39" s="1353">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90"/>
      <c r="Q40" s="1352">
        <f t="shared" si="14"/>
        <v>111</v>
      </c>
      <c r="R40" s="708" t="s">
        <v>14</v>
      </c>
      <c r="S40" s="709">
        <f t="shared" si="10"/>
        <v>100</v>
      </c>
      <c r="T40" s="708" t="s">
        <v>14</v>
      </c>
      <c r="U40" s="709">
        <f t="shared" si="11"/>
        <v>100</v>
      </c>
      <c r="V40" s="708" t="s">
        <v>14</v>
      </c>
      <c r="W40" s="709">
        <f t="shared" si="12"/>
        <v>100</v>
      </c>
      <c r="X40" s="710"/>
      <c r="Y40" s="3690"/>
      <c r="Z40" s="711">
        <f t="shared" si="13"/>
        <v>111</v>
      </c>
      <c r="AA40" s="1353">
        <f t="shared" si="3"/>
        <v>1</v>
      </c>
      <c r="AB40" s="1353">
        <f t="shared" si="4"/>
        <v>1</v>
      </c>
      <c r="AC40" s="1353">
        <f t="shared" si="5"/>
        <v>1</v>
      </c>
    </row>
    <row r="41" spans="1:31" ht="15">
      <c r="A41" s="430" t="s">
        <v>1844</v>
      </c>
      <c r="B41" s="1979" t="s">
        <v>1922</v>
      </c>
      <c r="C41" s="630" t="s">
        <v>0</v>
      </c>
      <c r="D41" s="432"/>
      <c r="E41" s="433"/>
      <c r="F41" s="434"/>
      <c r="G41" s="435"/>
      <c r="H41" s="436"/>
      <c r="I41" s="433"/>
      <c r="J41" s="436"/>
      <c r="K41" s="714"/>
      <c r="L41" s="2718"/>
      <c r="M41" s="2710"/>
      <c r="N41" s="2710"/>
      <c r="O41" s="2719"/>
      <c r="P41" s="3683" t="str">
        <f>A41</f>
        <v>成交单价</v>
      </c>
      <c r="Q41" s="3683"/>
      <c r="R41" s="3678">
        <f>E41</f>
        <v>0</v>
      </c>
      <c r="S41" s="3678"/>
      <c r="T41" s="3678">
        <f>G41</f>
        <v>0</v>
      </c>
      <c r="U41" s="3678"/>
      <c r="V41" s="3678">
        <f>I41</f>
        <v>0</v>
      </c>
      <c r="W41" s="3678"/>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8"/>
      <c r="M42" s="2710"/>
      <c r="N42" s="2710"/>
      <c r="O42" s="2719"/>
      <c r="P42" s="3683" t="str">
        <f>A42</f>
        <v>比较价值（元/平方米）</v>
      </c>
      <c r="Q42" s="3683"/>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680" t="str">
        <f>A43</f>
        <v>估价对象XX用房的比较价值（楼面单价，元/平方米）</v>
      </c>
      <c r="Q43" s="3681"/>
      <c r="R43" s="3738" t="e">
        <f>ROUND(IF(D42="简单平均",AVERAGE(R42:W42),R42*F42+T42*H42+V42*J42),0)</f>
        <v>#DIV/0!</v>
      </c>
      <c r="S43" s="3738"/>
      <c r="T43" s="3738"/>
      <c r="U43" s="3738"/>
      <c r="V43" s="3738"/>
      <c r="W43" s="3738"/>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80" t="s">
        <v>1883</v>
      </c>
      <c r="D50" s="1981" t="s">
        <v>1884</v>
      </c>
      <c r="E50" s="634" t="s">
        <v>1885</v>
      </c>
      <c r="F50" s="635" t="s">
        <v>1886</v>
      </c>
      <c r="G50" s="3666" t="s">
        <v>1887</v>
      </c>
      <c r="H50" s="3739"/>
      <c r="I50" s="1356" t="s">
        <v>1923</v>
      </c>
      <c r="J50" s="1356">
        <f>项目基本情况!F35</f>
        <v>0</v>
      </c>
      <c r="K50" s="1983"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4">
        <v>1</v>
      </c>
      <c r="E51" s="638">
        <f>'数据-汇总表'!E8+'数据-汇总表'!E9</f>
        <v>70.150000000000006</v>
      </c>
      <c r="F51" s="639" t="e">
        <f t="shared" ref="F51:F60" si="15">ROUND(B51*E51/10000,0)</f>
        <v>#DIV/0!</v>
      </c>
      <c r="G51" s="3665"/>
      <c r="H51" s="3683"/>
      <c r="I51" s="773">
        <v>1</v>
      </c>
      <c r="J51" s="773">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0.6</v>
      </c>
      <c r="D52" s="945">
        <v>0.25</v>
      </c>
      <c r="E52" s="642"/>
      <c r="F52" s="639" t="e">
        <f t="shared" si="15"/>
        <v>#DIV/0!</v>
      </c>
      <c r="G52" s="3000" t="s">
        <v>1892</v>
      </c>
      <c r="H52" s="887" t="str">
        <f>项目基本情况!B37</f>
        <v>四级</v>
      </c>
      <c r="I52" s="773">
        <f>SUMIF(修正!A57:A68,H52,修正!B57:B68)</f>
        <v>0.6</v>
      </c>
      <c r="J52" s="774"/>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0.3</v>
      </c>
      <c r="D53" s="945">
        <v>0.25</v>
      </c>
      <c r="E53" s="642"/>
      <c r="F53" s="639" t="e">
        <f t="shared" si="15"/>
        <v>#DIV/0!</v>
      </c>
      <c r="G53" s="3001"/>
      <c r="H53" s="887" t="str">
        <f>项目基本情况!B37</f>
        <v>四级</v>
      </c>
      <c r="I53" s="773">
        <f>SUMIF(修正!A57:A68,H53,修正!C57:C68)</f>
        <v>0.3</v>
      </c>
      <c r="J53" s="774"/>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0.25</v>
      </c>
      <c r="D54" s="945">
        <v>0.25</v>
      </c>
      <c r="E54" s="642"/>
      <c r="F54" s="639" t="e">
        <f t="shared" si="15"/>
        <v>#DIV/0!</v>
      </c>
      <c r="G54" s="3001"/>
      <c r="H54" s="887" t="str">
        <f>项目基本情况!B37</f>
        <v>四级</v>
      </c>
      <c r="I54" s="773">
        <f>SUMIF(修正!A57:A68,H54,修正!D57:D68)</f>
        <v>0.25</v>
      </c>
      <c r="J54" s="774"/>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5"/>
      <c r="E55" s="642"/>
      <c r="F55" s="639"/>
      <c r="G55" s="3002"/>
      <c r="H55" s="887"/>
      <c r="I55" s="773"/>
      <c r="J55" s="774"/>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v>
      </c>
      <c r="D56" s="945">
        <v>0.25</v>
      </c>
      <c r="E56" s="217">
        <f>'数据-汇总表'!E11</f>
        <v>0</v>
      </c>
      <c r="F56" s="639" t="e">
        <f t="shared" si="15"/>
        <v>#DIV/0!</v>
      </c>
      <c r="G56" s="1984" t="s">
        <v>1896</v>
      </c>
      <c r="H56" s="887">
        <f>项目基本情况!C37</f>
        <v>0</v>
      </c>
      <c r="I56" s="773">
        <f>SUMIF(修正!A57:A68,H56,修正!E57:E68)</f>
        <v>0</v>
      </c>
      <c r="J56" s="774"/>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四级</v>
      </c>
      <c r="I59" s="773">
        <f>SUMIF(修正!A57:A68,H59,修正!G57:G68)</f>
        <v>0.15</v>
      </c>
      <c r="J59" s="774"/>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v>
      </c>
      <c r="D60" s="945">
        <v>0.25</v>
      </c>
      <c r="E60" s="217">
        <f>'数据-汇总表'!E15</f>
        <v>0</v>
      </c>
      <c r="F60" s="639" t="e">
        <f t="shared" si="15"/>
        <v>#DIV/0!</v>
      </c>
      <c r="G60" s="1985" t="s">
        <v>1896</v>
      </c>
      <c r="H60" s="897">
        <f>项目基本情况!C37</f>
        <v>0</v>
      </c>
      <c r="I60" s="773">
        <f>SUMIF(修正!A57:A68,H60,修正!G57:G68)</f>
        <v>0</v>
      </c>
      <c r="J60" s="774"/>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7"/>
      <c r="B62" s="929"/>
      <c r="C62" s="931"/>
      <c r="D62" s="927"/>
      <c r="E62" s="927"/>
      <c r="F62" s="927"/>
      <c r="G62" s="927"/>
      <c r="H62" s="927"/>
      <c r="I62" s="927"/>
      <c r="J62" s="927"/>
      <c r="K62" s="888"/>
      <c r="L62" s="889"/>
      <c r="M62" s="927"/>
      <c r="N62" s="927"/>
      <c r="O62" s="927"/>
      <c r="P62" s="2719"/>
      <c r="Q62" s="2719"/>
      <c r="R62" s="2719"/>
      <c r="S62" s="2719"/>
      <c r="T62" s="2719"/>
      <c r="U62" s="2719"/>
      <c r="V62" s="2719"/>
      <c r="W62" s="2719"/>
      <c r="X62" s="2719"/>
      <c r="Y62" s="2719"/>
      <c r="Z62" s="2719"/>
      <c r="AA62" s="2719"/>
      <c r="AB62" s="2719"/>
      <c r="AC62" s="2719"/>
      <c r="AD62" s="2719"/>
      <c r="AE62" s="2719"/>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40"/>
      <c r="P64" s="2763"/>
      <c r="Q64" s="2733"/>
      <c r="R64" s="2719"/>
      <c r="S64" s="2719"/>
      <c r="T64" s="2719"/>
      <c r="U64" s="2719"/>
      <c r="V64" s="2719"/>
      <c r="W64" s="2719"/>
      <c r="X64" s="2719"/>
      <c r="Y64" s="2719"/>
      <c r="Z64" s="2719"/>
      <c r="AA64" s="2719"/>
      <c r="AB64" s="2719"/>
      <c r="AC64" s="2719"/>
      <c r="AD64" s="2719"/>
      <c r="AE64" s="2719"/>
    </row>
    <row r="65" spans="1:31" s="457" customFormat="1" ht="15">
      <c r="A65" s="1986"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1"/>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4"/>
      <c r="C1" s="2144"/>
      <c r="D1" s="2144"/>
      <c r="E1" s="2144"/>
      <c r="F1" s="2787"/>
      <c r="G1" s="2787"/>
      <c r="H1" s="2787"/>
      <c r="I1" s="2787"/>
      <c r="J1" s="2787"/>
      <c r="K1" s="2787"/>
      <c r="L1" s="2787"/>
      <c r="M1" s="2787"/>
      <c r="N1" s="2787"/>
      <c r="O1" s="2787"/>
      <c r="P1" s="2787"/>
    </row>
    <row r="2" spans="1:16" ht="15.75">
      <c r="A2" s="2142" t="s">
        <v>2073</v>
      </c>
      <c r="B2" s="2596">
        <f ca="1">SUMIF(B6:B13,"&lt;&gt;#ref!",B6:B13)</f>
        <v>95</v>
      </c>
      <c r="C2" s="2142" t="s">
        <v>2074</v>
      </c>
      <c r="D2" s="2142" t="s">
        <v>2075</v>
      </c>
      <c r="E2" s="2606">
        <f ca="1">SUMIF(E6:E13,"&lt;&gt;#ref!",E6:E13)</f>
        <v>70.150000000000006</v>
      </c>
      <c r="F2" s="2787"/>
      <c r="G2" s="2787"/>
      <c r="H2" s="2787"/>
      <c r="I2" s="2787"/>
      <c r="J2" s="2787"/>
      <c r="K2" s="2787"/>
      <c r="L2" s="2787"/>
      <c r="M2" s="2787"/>
      <c r="N2" s="2787"/>
      <c r="O2" s="2787"/>
      <c r="P2" s="2787"/>
    </row>
    <row r="3" spans="1:16" ht="15.75">
      <c r="A3" s="2142" t="s">
        <v>2076</v>
      </c>
      <c r="B3" s="2596">
        <f ca="1">ROUND(B2*10000/E2,0)</f>
        <v>13542</v>
      </c>
      <c r="C3" s="2142"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3"/>
      <c r="D5" s="2787"/>
      <c r="E5" s="2605" t="s">
        <v>2079</v>
      </c>
      <c r="F5" s="2787"/>
      <c r="G5" s="2787"/>
      <c r="H5" s="2787"/>
      <c r="I5" s="2787"/>
      <c r="J5" s="2787"/>
      <c r="K5" s="2787"/>
      <c r="L5" s="2787"/>
      <c r="M5" s="2787"/>
      <c r="N5" s="2787"/>
      <c r="O5" s="2787"/>
      <c r="P5" s="2787"/>
    </row>
    <row r="6" spans="1:16" ht="15.75">
      <c r="A6" s="2603" t="s">
        <v>2080</v>
      </c>
      <c r="B6" s="2596">
        <f ca="1">SUMIF(INDIRECT("'"&amp;A6&amp;"'"&amp;"!A:A"),"总价",INDIRECT("'"&amp;A6&amp;"'"&amp;"!B:B"))</f>
        <v>95</v>
      </c>
      <c r="C6" s="2142" t="s">
        <v>2074</v>
      </c>
      <c r="D6" s="2787"/>
      <c r="E6" s="2606">
        <f ca="1">SUMIF(INDIRECT("'"&amp;A6&amp;"'"&amp;"!C:C"),"建筑面积",INDIRECT("'"&amp;A6&amp;"'"&amp;"!D:D"))</f>
        <v>70.150000000000006</v>
      </c>
      <c r="F6" s="2787"/>
      <c r="G6" s="2787"/>
      <c r="H6" s="2787"/>
      <c r="I6" s="2787"/>
      <c r="J6" s="2787"/>
      <c r="K6" s="2787"/>
      <c r="L6" s="2787"/>
      <c r="M6" s="2787"/>
      <c r="N6" s="2787"/>
      <c r="O6" s="2787"/>
      <c r="P6" s="2787"/>
    </row>
    <row r="7" spans="1:16" ht="15.75">
      <c r="A7" s="2603"/>
      <c r="B7" s="2596" t="e">
        <f ca="1">SUMIF(INDIRECT("'"&amp;A7&amp;"'"&amp;"!A:A"),"总价",INDIRECT("'"&amp;A7&amp;"'"&amp;"!B:B"))</f>
        <v>#REF!</v>
      </c>
      <c r="C7" s="2142"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42"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42"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42"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42"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42"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42"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18">
        <f ca="1">ROUND(IF(D2="——",C52/10000,C52/10000-E2),4)</f>
        <v>170.60589999999999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24320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991819</v>
      </c>
      <c r="D5" s="211" t="s">
        <v>1469</v>
      </c>
      <c r="E5" s="212" t="s">
        <v>1470</v>
      </c>
      <c r="F5" s="212" t="s">
        <v>1471</v>
      </c>
      <c r="G5" s="213"/>
    </row>
    <row r="6" spans="1:8" s="214" customFormat="1" ht="13.5" customHeight="1">
      <c r="A6" s="778" t="s">
        <v>1472</v>
      </c>
      <c r="B6" s="215" t="s">
        <v>1473</v>
      </c>
      <c r="C6" s="216">
        <f>ROUND(基准地价修正!C33*基准地价修正!D33,0)</f>
        <v>948849</v>
      </c>
      <c r="D6" s="217"/>
      <c r="E6" s="218"/>
      <c r="F6" s="218"/>
      <c r="G6" s="219"/>
    </row>
    <row r="7" spans="1:8" s="214" customFormat="1" ht="13.5" customHeight="1">
      <c r="A7" s="778" t="s">
        <v>1474</v>
      </c>
      <c r="B7" s="215" t="s">
        <v>1475</v>
      </c>
      <c r="C7" s="220">
        <f>ROUND(C6*F7,0)</f>
        <v>28940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14030</v>
      </c>
      <c r="D8" s="222"/>
      <c r="E8" s="220"/>
      <c r="F8" s="221"/>
      <c r="G8" s="1856" t="s">
        <v>3396</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14030</v>
      </c>
      <c r="D10" s="845">
        <f ca="1">IF(B1="",'数据-汇总表'!E6,IF(INDIRECT("'数据-取费表'!c"&amp;$G$1)="住宅",INDIRECT("'数据-取费表'!s"&amp;$G$1),INDIRECT("'数据-取费表'!k"&amp;$G$1)+INDIRECT("'数据-取费表'!s"&amp;$G$1)))</f>
        <v>70.150000000000006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70.150000000000006</v>
      </c>
      <c r="E19" s="211">
        <f>'数据-取费表'!B31</f>
        <v>200</v>
      </c>
      <c r="F19" s="231"/>
      <c r="G19" s="1856" t="s">
        <v>3395</v>
      </c>
    </row>
    <row r="20" spans="1:7" s="214" customFormat="1" ht="13.5" customHeight="1">
      <c r="A20" s="255" t="s">
        <v>1574</v>
      </c>
      <c r="B20" s="210" t="s">
        <v>1575</v>
      </c>
      <c r="C20" s="232">
        <f ca="1">ROUND((C5+C19)*F20,0)</f>
        <v>19836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97403</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96461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942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151748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151748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1366431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307257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280600</v>
      </c>
      <c r="D34" s="217"/>
      <c r="E34" s="220"/>
      <c r="F34" s="257"/>
      <c r="G34" s="219"/>
    </row>
    <row r="35" spans="1:7" ht="13.5" customHeight="1">
      <c r="A35" s="780" t="s">
        <v>351</v>
      </c>
      <c r="B35" s="215" t="s">
        <v>1527</v>
      </c>
      <c r="C35" s="220">
        <f ca="1">ROUND(C34*F35,0)</f>
        <v>8418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14030</v>
      </c>
      <c r="D37" s="217">
        <f ca="1">D19</f>
        <v>70.150000000000006</v>
      </c>
      <c r="E37" s="249">
        <f>'数据-取费表'!B35</f>
        <v>200</v>
      </c>
      <c r="F37" s="259"/>
      <c r="G37" s="261"/>
    </row>
    <row r="38" spans="1:7" ht="13.5" customHeight="1">
      <c r="A38" s="780" t="s">
        <v>354</v>
      </c>
      <c r="B38" s="215" t="s">
        <v>1533</v>
      </c>
      <c r="C38" s="220">
        <f ca="1">ROUND(C34*F38,0)</f>
        <v>4209</v>
      </c>
      <c r="D38" s="220"/>
      <c r="E38" s="220"/>
      <c r="F38" s="259">
        <f>'数据-取费表'!B36</f>
        <v>1.4999999999999999E-2</v>
      </c>
      <c r="G38" s="219" t="s">
        <v>1528</v>
      </c>
    </row>
    <row r="39" spans="1:7" s="214" customFormat="1" ht="13.5" customHeight="1">
      <c r="A39" s="255" t="s">
        <v>1534</v>
      </c>
      <c r="B39" s="210" t="s">
        <v>1535</v>
      </c>
      <c r="C39" s="232">
        <f ca="1">ROUND(C33*F20,0)</f>
        <v>6145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14887</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14595</v>
      </c>
      <c r="D42" s="238"/>
      <c r="E42" s="238"/>
      <c r="F42" s="239"/>
      <c r="G42" s="3645" t="s">
        <v>1591</v>
      </c>
    </row>
    <row r="43" spans="1:7" ht="13.5" customHeight="1">
      <c r="A43" s="780" t="s">
        <v>347</v>
      </c>
      <c r="B43" s="215" t="s">
        <v>1545</v>
      </c>
      <c r="C43" s="238">
        <f ca="1">ROUND(IF('数据-取费表'!B22&lt;=1,C39*F22*'数据-取费表'!B20/2,C39*(POWER((1+F22),'数据-取费表'!B20/2)-1)),0)</f>
        <v>292</v>
      </c>
      <c r="D43" s="238"/>
      <c r="E43" s="238"/>
      <c r="F43" s="239"/>
      <c r="G43" s="3646"/>
    </row>
    <row r="44" spans="1:7" ht="13.5" customHeight="1">
      <c r="A44" s="780" t="s">
        <v>348</v>
      </c>
      <c r="B44" s="215" t="s">
        <v>1546</v>
      </c>
      <c r="C44" s="238">
        <f ca="1">ROUND(IF('数据-取费表'!B22&lt;=1,C40*F22*'数据-取费表'!B20/2,C40*(POWER((1+F22),'数据-取费表'!B20/2)-1)),4)</f>
        <v>1E-3</v>
      </c>
      <c r="D44" s="238"/>
      <c r="E44" s="238"/>
      <c r="F44" s="239"/>
      <c r="G44" s="3647"/>
    </row>
    <row r="45" spans="1:7" s="214" customFormat="1" ht="13.5" customHeight="1">
      <c r="A45" s="255" t="s">
        <v>1547</v>
      </c>
      <c r="B45" s="244" t="s">
        <v>1513</v>
      </c>
      <c r="C45" s="245">
        <f ca="1">C46</f>
        <v>47010</v>
      </c>
      <c r="D45" s="235">
        <f ca="1">C47</f>
        <v>3.0000000000000001E-3</v>
      </c>
      <c r="E45" s="236" t="s">
        <v>1539</v>
      </c>
      <c r="F45" s="246">
        <f ca="1">F27</f>
        <v>0.15</v>
      </c>
      <c r="G45" s="247" t="s">
        <v>1548</v>
      </c>
    </row>
    <row r="46" spans="1:7" s="214" customFormat="1" ht="13.5" customHeight="1">
      <c r="A46" s="780" t="s">
        <v>346</v>
      </c>
      <c r="B46" s="248" t="s">
        <v>1549</v>
      </c>
      <c r="C46" s="249">
        <f ca="1">ROUND((C33+C39)*F27,0)</f>
        <v>47010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406740</v>
      </c>
      <c r="D49" s="232"/>
      <c r="E49" s="232"/>
      <c r="F49" s="264"/>
      <c r="G49" s="234" t="s">
        <v>1554</v>
      </c>
    </row>
    <row r="50" spans="1:7" s="258" customFormat="1">
      <c r="A50" s="255" t="s">
        <v>1555</v>
      </c>
      <c r="B50" s="210" t="s">
        <v>1556</v>
      </c>
      <c r="C50" s="232"/>
      <c r="D50" s="232"/>
      <c r="E50" s="232"/>
      <c r="F50" s="264">
        <f>IF('数据-取费表'!B24=0,'数据-取费表'!N16,1)</f>
        <v>0.83499999999999996</v>
      </c>
      <c r="G50" s="247"/>
    </row>
    <row r="51" spans="1:7" ht="16.5" customHeight="1">
      <c r="A51" s="255" t="s">
        <v>1558</v>
      </c>
      <c r="B51" s="210" t="s">
        <v>1593</v>
      </c>
      <c r="C51" s="232">
        <f ca="1">ROUND(C49*F50,0)</f>
        <v>339628</v>
      </c>
      <c r="D51" s="232"/>
      <c r="E51" s="232"/>
      <c r="F51" s="264"/>
      <c r="G51" s="234" t="s">
        <v>1560</v>
      </c>
    </row>
    <row r="52" spans="1:7" s="208" customFormat="1" ht="16.5" thickBot="1">
      <c r="A52" s="265" t="s">
        <v>1561</v>
      </c>
      <c r="B52" s="266"/>
      <c r="C52" s="267">
        <f ca="1">C31+C51</f>
        <v>1706059</v>
      </c>
      <c r="D52" s="266"/>
      <c r="E52" s="266"/>
      <c r="F52" s="266"/>
      <c r="G52" s="268"/>
    </row>
    <row r="55" spans="1:7" ht="15">
      <c r="B55" s="270" t="s">
        <v>1562</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N20" sqref="N20"/>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70.150000000000006</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95</v>
      </c>
      <c r="C2" s="1996" t="s">
        <v>1935</v>
      </c>
      <c r="D2" s="1997" t="s">
        <v>1936</v>
      </c>
      <c r="E2" s="3416" t="s">
        <v>673</v>
      </c>
      <c r="F2" s="1997" t="s">
        <v>1937</v>
      </c>
      <c r="G2" s="1998" t="str">
        <f>IF(E2="商业",项目基本情况!B37,IF(E2="办公",项目基本情况!C37,IF(E2="住宅",项目基本情况!D37,IF(E2="工业",项目基本情况!E37,项目基本情况!F37))))</f>
        <v>四级</v>
      </c>
      <c r="H2" s="1997" t="s">
        <v>1938</v>
      </c>
      <c r="I2" s="1998" t="str">
        <f>IF(E2="商业",项目基本情况!B38,IF(E2="办公",项目基本情况!C38,IF(E2="住宅",项目基本情况!D38,IF(E2="工业",项目基本情况!E38,项目基本情况!F38))))</f>
        <v>Ⅳ-23</v>
      </c>
      <c r="J2" s="1999"/>
      <c r="K2" s="1119"/>
      <c r="L2" s="2000" t="s">
        <v>1939</v>
      </c>
      <c r="M2" s="864">
        <f>SUMPRODUCT((区片价!B10:B29=I2)*(区片价!C3:G3=E2)*(区片价!C10:G29))</f>
        <v>0</v>
      </c>
      <c r="N2" s="866">
        <f>SUMPRODUCT((因素修正幅度!B10:B29=I2)*(因素修正幅度!C3:G3=E2)*(因素修正幅度!C10:G29))</f>
        <v>0</v>
      </c>
      <c r="O2" s="1119"/>
      <c r="P2" s="1119"/>
      <c r="Q2" s="1119"/>
      <c r="R2" s="1212">
        <v>1</v>
      </c>
      <c r="S2" s="3355">
        <f>ROUND(SUMPRODUCT((B106:B110=R2)*(C105:N105=G2)*(C106:N110)),4)</f>
        <v>1.5019</v>
      </c>
      <c r="T2" s="3355">
        <f t="shared" ref="T2:T16" si="0">ROUND($C$5*$C$22*$C$23*$C$24*S2*$C$28,0)</f>
        <v>21339</v>
      </c>
      <c r="U2" s="1213"/>
      <c r="V2" s="3355">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13542</v>
      </c>
      <c r="C3" s="1996" t="s">
        <v>1941</v>
      </c>
      <c r="D3" s="1997" t="s">
        <v>1942</v>
      </c>
      <c r="E3" s="3414" t="s">
        <v>2448</v>
      </c>
      <c r="F3" s="2001"/>
      <c r="G3" s="752">
        <f>IF(F3="宗地容积率",'数据-汇总表'!I4,IF(F3="估价对象容积率",'数据-汇总表'!I6,'数据-汇总表'!I7))</f>
        <v>3.5</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2">
        <v>2</v>
      </c>
      <c r="S3" s="3355">
        <f>ROUND(SUMPRODUCT((B106:B110=R3)*(C105:N105=G2)*(C106:N110)),4)</f>
        <v>1.1838</v>
      </c>
      <c r="T3" s="3355">
        <f t="shared" si="0"/>
        <v>16820</v>
      </c>
      <c r="U3" s="1213"/>
      <c r="V3" s="3355">
        <f t="shared" ref="V3:V16" si="1">ROUND(T3*U3/10000,0)</f>
        <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0" t="s">
        <v>1946</v>
      </c>
      <c r="M4" s="864">
        <f>SUMPRODUCT((区片价!B55:B86=I2)*(区片价!C3:G3=E2)*(区片价!C55:G86))</f>
        <v>20890</v>
      </c>
      <c r="N4" s="866">
        <f>SUMPRODUCT((因素修正幅度!B55:B86=I2)*(因素修正幅度!C3:G3=E2)*(因素修正幅度!C55:G86))</f>
        <v>0.1</v>
      </c>
      <c r="O4" s="1119"/>
      <c r="P4" s="1119"/>
      <c r="Q4" s="1119"/>
      <c r="R4" s="1212">
        <v>3</v>
      </c>
      <c r="S4" s="3355">
        <f>ROUND(SUMPRODUCT((B106:B110=R4)*(C105:N105=G2)*(C106:N110)),4)</f>
        <v>1.0004999999999999</v>
      </c>
      <c r="T4" s="3355">
        <f t="shared" si="0"/>
        <v>14215</v>
      </c>
      <c r="U4" s="1213"/>
      <c r="V4" s="3355">
        <f t="shared" si="1"/>
        <v>0</v>
      </c>
      <c r="W4" s="1216"/>
      <c r="X4" s="1216"/>
      <c r="Y4" s="1216"/>
      <c r="Z4" s="1216"/>
      <c r="AA4" s="1216"/>
      <c r="AB4" s="1216"/>
      <c r="AC4" s="1217"/>
      <c r="AD4" s="1218"/>
      <c r="AE4" s="1218"/>
      <c r="AF4" s="1218"/>
      <c r="AG4" s="1218"/>
      <c r="AH4" s="1218"/>
      <c r="AI4" s="1218"/>
      <c r="AJ4" s="1219"/>
    </row>
    <row r="5" spans="1:36" s="2011" customFormat="1" ht="15.75" thickBot="1">
      <c r="A5" s="2002" t="s">
        <v>362</v>
      </c>
      <c r="B5" s="2003" t="s">
        <v>1947</v>
      </c>
      <c r="C5" s="753">
        <f>ROUND(IF(E2="商业",C6*C7*C17+C20,(IF(E2="住宅",C6*C13*C17+C20,IF(E2="办公",C6*C12*C17+C20,C6+C20)))),0)</f>
        <v>20874</v>
      </c>
      <c r="D5" s="1339">
        <f>ROUND(C6*C17+C20,0)</f>
        <v>20874</v>
      </c>
      <c r="E5" s="1339"/>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2">
        <v>4</v>
      </c>
      <c r="S5" s="3355">
        <f>ROUND(SUMPRODUCT((B106:B110=R5)*(C105:N105=G2)*(C106:N110)),4)</f>
        <v>0.88239999999999996</v>
      </c>
      <c r="T5" s="3355">
        <f t="shared" si="0"/>
        <v>12537</v>
      </c>
      <c r="U5" s="1213"/>
      <c r="V5" s="3355">
        <f t="shared" si="1"/>
        <v>0</v>
      </c>
      <c r="W5" s="1216"/>
      <c r="X5" s="1216"/>
      <c r="Y5" s="1216"/>
      <c r="Z5" s="1216"/>
      <c r="AA5" s="1216"/>
      <c r="AB5" s="1216"/>
      <c r="AC5" s="2008"/>
      <c r="AD5" s="2009"/>
      <c r="AE5" s="2009"/>
      <c r="AF5" s="2009"/>
      <c r="AG5" s="2009"/>
      <c r="AH5" s="2009"/>
      <c r="AI5" s="2009"/>
      <c r="AJ5" s="2010"/>
    </row>
    <row r="6" spans="1:36" ht="15.75" thickBot="1">
      <c r="A6" s="2012" t="s">
        <v>1949</v>
      </c>
      <c r="B6" s="2013" t="s">
        <v>1950</v>
      </c>
      <c r="C6" s="754">
        <f>SUMIF(L1:L12,G2,M1:M12)</f>
        <v>20890</v>
      </c>
      <c r="D6" s="2014"/>
      <c r="E6" s="2015"/>
      <c r="F6" s="2015"/>
      <c r="G6" s="2016"/>
      <c r="H6" s="2016"/>
      <c r="I6" s="2016"/>
      <c r="J6" s="2017"/>
      <c r="K6" s="1384"/>
      <c r="L6" s="2000" t="s">
        <v>1951</v>
      </c>
      <c r="M6" s="864">
        <f>SUMPRODUCT((区片价!B127:B189=I2)*(区片价!C3:G3=E2)*(区片价!C127:G189))</f>
        <v>0</v>
      </c>
      <c r="N6" s="866">
        <f>SUMPRODUCT((因素修正幅度!B127:B189=I2)*(因素修正幅度!C3:G3=E2)*(因素修正幅度!C127:G189))</f>
        <v>0</v>
      </c>
      <c r="O6" s="1119"/>
      <c r="P6" s="1119"/>
      <c r="Q6" s="1119"/>
      <c r="R6" s="1212">
        <v>5</v>
      </c>
      <c r="S6" s="3355">
        <f>ROUND(SUMPRODUCT((B106:B110=R6)*(C105:N105=G2)*(C106:N110)),4)</f>
        <v>0.84799999999999998</v>
      </c>
      <c r="T6" s="3355">
        <f t="shared" si="0"/>
        <v>12049</v>
      </c>
      <c r="U6" s="1213"/>
      <c r="V6" s="3355">
        <f t="shared" si="1"/>
        <v>0</v>
      </c>
      <c r="W6" s="1216"/>
      <c r="X6" s="1216"/>
      <c r="Y6" s="1216"/>
      <c r="Z6" s="1216"/>
      <c r="AA6" s="1216"/>
      <c r="AB6" s="1216"/>
      <c r="AC6" s="2008"/>
      <c r="AD6" s="2009"/>
      <c r="AE6" s="2009"/>
      <c r="AF6" s="2009"/>
      <c r="AG6" s="2009"/>
      <c r="AH6" s="2009"/>
      <c r="AI6" s="2009"/>
      <c r="AJ6" s="2010"/>
    </row>
    <row r="7" spans="1:36" ht="24.75" thickBot="1">
      <c r="A7" s="3298" t="s">
        <v>3240</v>
      </c>
      <c r="B7" s="2018" t="s">
        <v>1952</v>
      </c>
      <c r="C7" s="755">
        <f>IF(C8="不临65条商业街",1,ROUND(1+(1.6*E8+1.2*E9+0.8*E10+0.4*E11)*C9,4))</f>
        <v>1</v>
      </c>
      <c r="D7" s="2019" t="s">
        <v>1953</v>
      </c>
      <c r="E7" s="776"/>
      <c r="F7" s="2020"/>
      <c r="G7" s="2021"/>
      <c r="H7" s="2021"/>
      <c r="I7" s="2021"/>
      <c r="J7" s="2022"/>
      <c r="K7" s="1384"/>
      <c r="L7" s="2000" t="s">
        <v>1954</v>
      </c>
      <c r="M7" s="864">
        <f>SUMPRODUCT((区片价!B190:B233=I2)*(区片价!C3:G3=E2)*(区片价!C190:G233))</f>
        <v>0</v>
      </c>
      <c r="N7" s="866">
        <f>SUMPRODUCT((因素修正幅度!B190:B233=I2)*(因素修正幅度!C3:G3=E2)*(因素修正幅度!C190:G233))</f>
        <v>0</v>
      </c>
      <c r="O7" s="1119"/>
      <c r="P7" s="1119"/>
      <c r="Q7" s="1119"/>
      <c r="R7" s="1212">
        <v>6</v>
      </c>
      <c r="S7" s="3413"/>
      <c r="T7" s="3355">
        <f t="shared" si="0"/>
        <v>0</v>
      </c>
      <c r="U7" s="1213"/>
      <c r="V7" s="3355">
        <f t="shared" si="1"/>
        <v>0</v>
      </c>
      <c r="W7" s="1358" t="s">
        <v>1955</v>
      </c>
      <c r="X7" s="1214" t="str">
        <f>G2</f>
        <v>四级</v>
      </c>
      <c r="Y7" s="1214" t="s">
        <v>1956</v>
      </c>
      <c r="Z7" s="1215">
        <f>G3</f>
        <v>3.5</v>
      </c>
      <c r="AA7" s="1216"/>
      <c r="AB7" s="1216"/>
      <c r="AC7" s="1217"/>
      <c r="AD7" s="1218"/>
      <c r="AE7" s="1218"/>
      <c r="AF7" s="1218"/>
      <c r="AG7" s="1218"/>
      <c r="AH7" s="1218"/>
      <c r="AI7" s="1218"/>
      <c r="AJ7" s="1219"/>
    </row>
    <row r="8" spans="1:36" ht="25.5">
      <c r="A8" s="3293"/>
      <c r="B8" s="170" t="s">
        <v>1957</v>
      </c>
      <c r="C8" s="2023" t="s">
        <v>3377</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2">
        <v>7</v>
      </c>
      <c r="S8" s="1213"/>
      <c r="T8" s="3355">
        <f t="shared" si="0"/>
        <v>0</v>
      </c>
      <c r="U8" s="1213"/>
      <c r="V8" s="3355">
        <f t="shared" si="1"/>
        <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3"/>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2">
        <v>8</v>
      </c>
      <c r="S9" s="1213"/>
      <c r="T9" s="3355">
        <f t="shared" si="0"/>
        <v>0</v>
      </c>
      <c r="U9" s="1213"/>
      <c r="V9" s="3355">
        <f t="shared" si="1"/>
        <v>0</v>
      </c>
      <c r="W9" s="3756"/>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5">
        <f t="shared" si="0"/>
        <v>0</v>
      </c>
      <c r="U10" s="1213"/>
      <c r="V10" s="3355">
        <f t="shared" si="1"/>
        <v>0</v>
      </c>
      <c r="W10" s="375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5">
        <f t="shared" si="0"/>
        <v>0</v>
      </c>
      <c r="U11" s="1213"/>
      <c r="V11" s="3355">
        <f t="shared" si="1"/>
        <v>0</v>
      </c>
      <c r="W11" s="1216"/>
      <c r="X11" s="1216"/>
      <c r="Y11" s="1216"/>
      <c r="Z11" s="1216"/>
      <c r="AA11" s="1216"/>
      <c r="AB11" s="1216"/>
      <c r="AC11" s="1217"/>
      <c r="AD11" s="2783"/>
      <c r="AE11" s="2783"/>
      <c r="AF11" s="2783"/>
      <c r="AG11" s="2783"/>
      <c r="AH11" s="2783"/>
      <c r="AI11" s="2783"/>
      <c r="AJ11" s="2784"/>
    </row>
    <row r="12" spans="1:36" ht="25.5" thickBot="1">
      <c r="A12" s="3298" t="s">
        <v>3241</v>
      </c>
      <c r="B12" s="3299" t="s">
        <v>3242</v>
      </c>
      <c r="C12" s="3300">
        <v>1</v>
      </c>
      <c r="D12" s="3301" t="s">
        <v>3243</v>
      </c>
      <c r="E12" s="3302" t="s">
        <v>3244</v>
      </c>
      <c r="F12" s="3303"/>
      <c r="G12" s="3304"/>
      <c r="H12" s="3304"/>
      <c r="I12" s="3304"/>
      <c r="J12" s="3305"/>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5">
        <f t="shared" si="0"/>
        <v>0</v>
      </c>
      <c r="U12" s="1213"/>
      <c r="V12" s="3355">
        <f t="shared" si="1"/>
        <v>0</v>
      </c>
      <c r="W12" s="1216"/>
      <c r="X12" s="1216"/>
      <c r="Y12" s="1216"/>
      <c r="Z12" s="1216"/>
      <c r="AA12" s="1216"/>
      <c r="AB12" s="1216"/>
      <c r="AC12" s="1217"/>
      <c r="AD12" s="2783"/>
      <c r="AE12" s="2783"/>
      <c r="AF12" s="2783"/>
      <c r="AG12" s="2783"/>
      <c r="AH12" s="2783"/>
      <c r="AI12" s="2783"/>
      <c r="AJ12" s="2784"/>
    </row>
    <row r="13" spans="1:36" ht="15.75" thickBot="1">
      <c r="A13" s="3298" t="s">
        <v>3245</v>
      </c>
      <c r="B13" s="2031" t="s">
        <v>1982</v>
      </c>
      <c r="C13" s="755">
        <f>ROUND(C16*D16*E16*F16*G16*H16*I16*J16,4)</f>
        <v>0</v>
      </c>
      <c r="D13" s="2032" t="s">
        <v>1983</v>
      </c>
      <c r="E13" s="2033"/>
      <c r="F13" s="2033"/>
      <c r="G13" s="2034"/>
      <c r="H13" s="2034"/>
      <c r="I13" s="2034"/>
      <c r="J13" s="2035"/>
      <c r="K13" s="1119"/>
      <c r="L13" s="3294"/>
      <c r="M13" s="3295"/>
      <c r="N13" s="3296"/>
      <c r="O13" s="1119"/>
      <c r="P13" s="1119"/>
      <c r="Q13" s="1119"/>
      <c r="R13" s="1212">
        <v>12</v>
      </c>
      <c r="S13" s="1213"/>
      <c r="T13" s="3355">
        <f t="shared" si="0"/>
        <v>0</v>
      </c>
      <c r="U13" s="1213"/>
      <c r="V13" s="3355">
        <f t="shared" si="1"/>
        <v>0</v>
      </c>
      <c r="W13" s="1216"/>
      <c r="X13" s="1216"/>
      <c r="Y13" s="1216"/>
      <c r="Z13" s="1216"/>
      <c r="AA13" s="1216"/>
      <c r="AB13" s="1216"/>
      <c r="AC13" s="1217"/>
      <c r="AD13" s="2783"/>
      <c r="AE13" s="2783"/>
      <c r="AF13" s="2783"/>
      <c r="AG13" s="2783"/>
      <c r="AH13" s="2783"/>
      <c r="AI13" s="2783"/>
      <c r="AJ13" s="2784"/>
    </row>
    <row r="14" spans="1:36" ht="15">
      <c r="A14" s="3292"/>
      <c r="B14" s="2037" t="s">
        <v>1985</v>
      </c>
      <c r="C14" s="2038" t="s">
        <v>1986</v>
      </c>
      <c r="D14" s="1350" t="s">
        <v>1987</v>
      </c>
      <c r="E14" s="27" t="s">
        <v>1988</v>
      </c>
      <c r="F14" s="3306" t="s">
        <v>3246</v>
      </c>
      <c r="G14" s="3306" t="s">
        <v>3246</v>
      </c>
      <c r="H14" s="3306" t="s">
        <v>3246</v>
      </c>
      <c r="I14" s="3306" t="s">
        <v>3246</v>
      </c>
      <c r="J14" s="3306" t="s">
        <v>3246</v>
      </c>
      <c r="K14" s="1119"/>
      <c r="L14" s="1119"/>
      <c r="M14" s="1119"/>
      <c r="N14" s="1119"/>
      <c r="O14" s="1119"/>
      <c r="P14" s="1119"/>
      <c r="Q14" s="1119"/>
      <c r="R14" s="1212">
        <v>13</v>
      </c>
      <c r="S14" s="1213"/>
      <c r="T14" s="3355">
        <f t="shared" si="0"/>
        <v>0</v>
      </c>
      <c r="U14" s="1213"/>
      <c r="V14" s="3355">
        <f t="shared" si="1"/>
        <v>0</v>
      </c>
      <c r="W14" s="1216"/>
      <c r="X14" s="1216"/>
      <c r="Y14" s="1216"/>
      <c r="Z14" s="1216"/>
      <c r="AA14" s="1216"/>
      <c r="AB14" s="1216"/>
      <c r="AC14" s="1217"/>
      <c r="AD14" s="2783"/>
      <c r="AE14" s="2783"/>
      <c r="AF14" s="2783"/>
      <c r="AG14" s="2783"/>
      <c r="AH14" s="2783"/>
      <c r="AI14" s="2783"/>
      <c r="AJ14" s="2784"/>
    </row>
    <row r="15" spans="1:36" ht="15">
      <c r="A15" s="3292"/>
      <c r="B15" s="2039"/>
      <c r="C15" s="2040"/>
      <c r="D15" s="2041"/>
      <c r="E15" s="2042"/>
      <c r="F15" s="3307" t="s">
        <v>3247</v>
      </c>
      <c r="G15" s="3308"/>
      <c r="H15" s="3309"/>
      <c r="I15" s="3310"/>
      <c r="J15" s="3311"/>
      <c r="K15" s="1119"/>
      <c r="L15" s="1119"/>
      <c r="M15" s="1119"/>
      <c r="N15" s="1119"/>
      <c r="O15" s="1119"/>
      <c r="P15" s="1119"/>
      <c r="Q15" s="1119"/>
      <c r="R15" s="1212">
        <v>14</v>
      </c>
      <c r="S15" s="1213"/>
      <c r="T15" s="3355">
        <f t="shared" si="0"/>
        <v>0</v>
      </c>
      <c r="U15" s="1213"/>
      <c r="V15" s="3355">
        <f t="shared" si="1"/>
        <v>0</v>
      </c>
      <c r="W15" s="1216"/>
      <c r="X15" s="1216"/>
      <c r="Y15" s="1216"/>
      <c r="Z15" s="1216"/>
      <c r="AA15" s="1216"/>
      <c r="AB15" s="1216"/>
      <c r="AC15" s="1217"/>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9"/>
      <c r="L16" s="1994"/>
      <c r="M16" s="1994"/>
      <c r="N16" s="1994"/>
      <c r="O16" s="1994"/>
      <c r="P16" s="1994"/>
      <c r="Q16" s="1119"/>
      <c r="R16" s="1212">
        <v>15</v>
      </c>
      <c r="S16" s="1213"/>
      <c r="T16" s="3355">
        <f t="shared" si="0"/>
        <v>0</v>
      </c>
      <c r="U16" s="1213"/>
      <c r="V16" s="3355">
        <f t="shared" si="1"/>
        <v>0</v>
      </c>
      <c r="W16" s="1216"/>
      <c r="X16" s="1216"/>
      <c r="Y16" s="1216"/>
      <c r="Z16" s="1216"/>
      <c r="AA16" s="1216"/>
      <c r="AB16" s="1216"/>
      <c r="AC16" s="1217"/>
      <c r="AD16" s="2783"/>
      <c r="AE16" s="2783"/>
      <c r="AF16" s="2783"/>
      <c r="AG16" s="2783"/>
      <c r="AH16" s="2783"/>
      <c r="AI16" s="2783"/>
      <c r="AJ16" s="2784"/>
    </row>
    <row r="17" spans="1:37">
      <c r="A17" s="3324" t="s">
        <v>3248</v>
      </c>
      <c r="B17" s="3315" t="s">
        <v>3249</v>
      </c>
      <c r="C17" s="3325">
        <f>ROUND(IF(OR(E2="工业",E2="公共服务"),1,IF(AND(E18=0,E19=0),1,IF(AND(E18=J24,E19=G19),0.8,IF(E19=0,1+E17*(-0.2),1+E17*G17*(-0.2))))),4)</f>
        <v>1</v>
      </c>
      <c r="D17" s="3316" t="s">
        <v>3250</v>
      </c>
      <c r="E17" s="3325">
        <f>ROUND(G18/I18,2)</f>
        <v>0</v>
      </c>
      <c r="F17" s="3316" t="s">
        <v>3253</v>
      </c>
      <c r="G17" s="3325" t="e">
        <f>ROUND(E19/G19,2)</f>
        <v>#DIV/0!</v>
      </c>
      <c r="H17" s="3325"/>
      <c r="I17" s="3325"/>
      <c r="J17" s="3326"/>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7"/>
      <c r="B18" s="3004"/>
      <c r="C18" s="3322"/>
      <c r="D18" s="3317" t="s">
        <v>3251</v>
      </c>
      <c r="E18" s="3323"/>
      <c r="F18" s="3318" t="s">
        <v>3254</v>
      </c>
      <c r="G18" s="3322">
        <f>ROUND(1-(1/(POWER(1+G24,E18))),4)</f>
        <v>0</v>
      </c>
      <c r="H18" s="3318" t="s">
        <v>3256</v>
      </c>
      <c r="I18" s="3322">
        <f>ROUND(1-(1/(POWER(1+G24,J24))),4)</f>
        <v>0.88249999999999995</v>
      </c>
      <c r="J18" s="3328"/>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2"/>
    </row>
    <row r="19" spans="1:37" s="2011" customFormat="1" ht="15" thickBot="1">
      <c r="A19" s="3329"/>
      <c r="B19" s="3330"/>
      <c r="C19" s="3331"/>
      <c r="D19" s="3331" t="s">
        <v>3252</v>
      </c>
      <c r="E19" s="3332"/>
      <c r="F19" s="3333" t="s">
        <v>3255</v>
      </c>
      <c r="G19" s="3332"/>
      <c r="H19" s="3331"/>
      <c r="I19" s="3331"/>
      <c r="J19" s="3334"/>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5"/>
      <c r="AH19" s="2138"/>
      <c r="AI19" s="2786"/>
      <c r="AJ19" s="2786"/>
      <c r="AK19" s="2054"/>
    </row>
    <row r="20" spans="1:37" s="2011" customFormat="1" ht="14.25">
      <c r="A20" s="3761" t="s">
        <v>3257</v>
      </c>
      <c r="B20" s="167" t="s">
        <v>1994</v>
      </c>
      <c r="C20" s="3319">
        <f>ROUND(IF(F21="与级别开发程度一致",0,(G21-E21)/C21),0)</f>
        <v>-16</v>
      </c>
      <c r="D20" s="3335" t="s">
        <v>1998</v>
      </c>
      <c r="E20" s="3336"/>
      <c r="F20" s="3767" t="s">
        <v>1995</v>
      </c>
      <c r="G20" s="3768"/>
      <c r="H20" s="3320" t="s">
        <v>3401</v>
      </c>
      <c r="I20" s="3320" t="s">
        <v>3400</v>
      </c>
      <c r="J20" s="3321" t="s">
        <v>3402</v>
      </c>
      <c r="K20" s="2044" t="s">
        <v>3403</v>
      </c>
      <c r="L20" s="2044" t="s">
        <v>3404</v>
      </c>
      <c r="M20" s="2044" t="s">
        <v>3405</v>
      </c>
      <c r="N20" s="2044" t="s">
        <v>3406</v>
      </c>
      <c r="O20" s="2045"/>
      <c r="P20" s="1994"/>
      <c r="Q20" s="1124"/>
      <c r="R20" s="1124"/>
      <c r="S20" s="1124"/>
      <c r="T20" s="1120"/>
      <c r="U20" s="1120"/>
      <c r="V20" s="1120"/>
      <c r="W20" s="1119"/>
      <c r="X20" s="1119"/>
      <c r="Y20" s="1119"/>
      <c r="Z20" s="1125"/>
      <c r="AA20" s="1125"/>
      <c r="AB20" s="1125"/>
      <c r="AC20" s="1125"/>
      <c r="AD20" s="1125"/>
      <c r="AE20" s="1125"/>
      <c r="AF20" s="1125"/>
      <c r="AG20" s="2782"/>
      <c r="AH20" s="2782"/>
      <c r="AI20" s="2782"/>
      <c r="AJ20" s="2782"/>
    </row>
    <row r="21" spans="1:37" s="2011" customFormat="1" ht="26.25" thickBot="1">
      <c r="A21" s="3762"/>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3399</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2"/>
      <c r="R21" s="1124"/>
      <c r="S21" s="1124"/>
      <c r="T21" s="1120"/>
      <c r="U21" s="1120"/>
      <c r="V21" s="1120"/>
      <c r="W21" s="1119"/>
      <c r="X21" s="1119"/>
      <c r="Y21" s="1119"/>
      <c r="Z21" s="1125"/>
      <c r="AA21" s="1125"/>
      <c r="AB21" s="1125"/>
      <c r="AC21" s="1125"/>
      <c r="AD21" s="1125"/>
      <c r="AE21" s="1125"/>
      <c r="AF21" s="1125"/>
      <c r="AG21" s="2782"/>
      <c r="AH21" s="2782"/>
      <c r="AI21" s="2782"/>
      <c r="AJ21" s="2782"/>
    </row>
    <row r="22" spans="1:37" s="2011" customFormat="1" ht="15.75" thickBot="1">
      <c r="A22" s="2155" t="s">
        <v>363</v>
      </c>
      <c r="B22" s="2156" t="s">
        <v>2000</v>
      </c>
      <c r="C22" s="2157">
        <f>SUMIF(修正!C20:C51,E3,修正!E20:E51)</f>
        <v>0.8</v>
      </c>
      <c r="D22" s="2158"/>
      <c r="E22" s="2159"/>
      <c r="F22" s="2159"/>
      <c r="G22" s="2159"/>
      <c r="H22" s="2159"/>
      <c r="I22" s="2159"/>
      <c r="J22" s="2160"/>
      <c r="K22" s="1125"/>
      <c r="L22" s="2782"/>
      <c r="M22" s="2782"/>
      <c r="N22" s="2782"/>
      <c r="O22" s="1123"/>
      <c r="P22" s="1123"/>
      <c r="Q22" s="2782"/>
      <c r="R22" s="1124"/>
      <c r="S22" s="1124"/>
      <c r="T22" s="1120"/>
      <c r="U22" s="1120"/>
      <c r="V22" s="1120"/>
      <c r="W22" s="1119"/>
      <c r="X22" s="1119"/>
      <c r="Y22" s="1119"/>
      <c r="Z22" s="1125"/>
      <c r="AA22" s="1125"/>
      <c r="AB22" s="1125"/>
      <c r="AC22" s="1125"/>
      <c r="AD22" s="1125"/>
      <c r="AE22" s="1125"/>
      <c r="AF22" s="1125"/>
      <c r="AG22" s="2782"/>
      <c r="AH22" s="2782"/>
      <c r="AI22" s="2782"/>
      <c r="AJ22" s="2782"/>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2002</v>
      </c>
      <c r="E23" s="761">
        <v>44197</v>
      </c>
      <c r="F23" s="2051" t="s">
        <v>2003</v>
      </c>
      <c r="G23" s="762">
        <f>'数据-取费表'!B2</f>
        <v>45013</v>
      </c>
      <c r="H23" s="3337" t="s">
        <v>3259</v>
      </c>
      <c r="I23" s="3338" t="str">
        <f>IF(H23="季度增幅（自定义）",SUMIF(N25:N28,E2,O25:O28),"")</f>
        <v/>
      </c>
      <c r="J23" s="3440" t="s">
        <v>3258</v>
      </c>
      <c r="K23" s="1125"/>
      <c r="L23" s="2052" t="s">
        <v>2004</v>
      </c>
      <c r="M23" s="1328">
        <f>ROUND(SUMIF(地价!B2:G2,E2,地价!B16:G16),0)</f>
        <v>350</v>
      </c>
      <c r="N23" s="2053" t="s">
        <v>2005</v>
      </c>
      <c r="O23" s="763">
        <f>ROUNDDOWN(DATEDIF(E23,G23,"M")/3,0)</f>
        <v>8</v>
      </c>
      <c r="P23" s="1122"/>
      <c r="Q23" s="2782"/>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0.83</v>
      </c>
      <c r="D24" s="2057" t="s">
        <v>2007</v>
      </c>
      <c r="E24" s="1335">
        <f>存贷款利率!E22/100</f>
        <v>4.3499999999999997E-2</v>
      </c>
      <c r="F24" s="2057" t="s">
        <v>1999</v>
      </c>
      <c r="G24" s="768">
        <f>SUMIF(M30:Q30,E2,M33:Q33)</f>
        <v>5.5E-2</v>
      </c>
      <c r="H24" s="2057" t="s">
        <v>2008</v>
      </c>
      <c r="I24" s="769">
        <f>SUMIF('数据-取费表'!C6:C15,E2,'数据-取费表'!F6:F15)/COUNTIF('数据-取费表'!C6:C15,E2)</f>
        <v>24.63</v>
      </c>
      <c r="J24" s="770">
        <f>IF(E2="住宅",70,IF(E2="商业",40,50))</f>
        <v>40</v>
      </c>
      <c r="K24" s="1125"/>
      <c r="L24" s="2058" t="s">
        <v>2009</v>
      </c>
      <c r="M24" s="1329">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2"/>
      <c r="AH24" s="2782"/>
      <c r="AI24" s="2782"/>
      <c r="AJ24" s="2782"/>
    </row>
    <row r="25" spans="1:37" ht="15">
      <c r="A25" s="2062" t="s">
        <v>366</v>
      </c>
      <c r="B25" s="2063" t="s">
        <v>3338</v>
      </c>
      <c r="C25" s="771">
        <f>IF(B25="容积率修正",IF(G3&lt;10,D26,J26),C27)</f>
        <v>0.95199999999999996</v>
      </c>
      <c r="D25" s="2064"/>
      <c r="E25" s="2064"/>
      <c r="F25" s="2064"/>
      <c r="G25" s="2064"/>
      <c r="H25" s="2064"/>
      <c r="I25" s="2064"/>
      <c r="J25" s="2065"/>
      <c r="K25" s="1125"/>
      <c r="L25" s="2782"/>
      <c r="M25" s="2782"/>
      <c r="N25" s="2066" t="s">
        <v>2013</v>
      </c>
      <c r="O25" s="1173"/>
      <c r="P25" s="1174">
        <f>SUMPRODUCT((地价!A3:A40=YEAR(G23)&amp;"-"&amp;ROUNDUP(MONTH(G23)/3,0))*(地价!AD2:AH2=N25)*(地价!AD3:AH40))</f>
        <v>0</v>
      </c>
      <c r="Q25" s="2782"/>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9" t="s">
        <v>3260</v>
      </c>
      <c r="D26" s="1352">
        <f>IF(E26=G26,F26,IF(G3&lt;10,ROUND(F26+(H26-F26)*(G3-E26)/(G26-E26),4),"——"))</f>
        <v>0.95199999999999996</v>
      </c>
      <c r="E26" s="752">
        <f>ROUNDDOWN(G3,1)</f>
        <v>3.5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39" t="s">
        <v>3261</v>
      </c>
      <c r="J26" s="772" t="str">
        <f>IF(G3&gt;=10,D115,"——")</f>
        <v>——</v>
      </c>
      <c r="K26" s="1125"/>
      <c r="L26" s="2782"/>
      <c r="M26" s="2782"/>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v>
      </c>
      <c r="D28" s="2049"/>
      <c r="E28" s="2074"/>
      <c r="F28" s="2074"/>
      <c r="G28" s="2074"/>
      <c r="H28" s="2074"/>
      <c r="I28" s="2074"/>
      <c r="J28" s="2075"/>
      <c r="K28" s="1125"/>
      <c r="L28" s="2782"/>
      <c r="M28" s="2782"/>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9" t="s">
        <v>2023</v>
      </c>
      <c r="O29" s="2780"/>
      <c r="P29" s="2781">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f>IF(B25="容积率修正",E33+SUM(E37:E42),SUM(V2:V16)+SUM(E37:E42))</f>
        <v>95</v>
      </c>
      <c r="D30" s="2080"/>
      <c r="E30" s="2043"/>
      <c r="F30" s="2081"/>
      <c r="G30" s="2043"/>
      <c r="H30" s="2043"/>
      <c r="I30" s="2043"/>
      <c r="J30" s="2082"/>
      <c r="K30" s="1119"/>
      <c r="L30" s="3345" t="s">
        <v>1936</v>
      </c>
      <c r="M30" s="3346" t="s">
        <v>1990</v>
      </c>
      <c r="N30" s="3346" t="s">
        <v>1991</v>
      </c>
      <c r="O30" s="3346" t="s">
        <v>1992</v>
      </c>
      <c r="P30" s="3346" t="s">
        <v>1993</v>
      </c>
      <c r="Q30" s="3349" t="s">
        <v>3265</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f>E34+SUM(I37:I42)</f>
        <v>0</v>
      </c>
      <c r="D31" s="2084"/>
      <c r="E31" s="2085"/>
      <c r="F31" s="2086"/>
      <c r="G31" s="2085"/>
      <c r="H31" s="2085"/>
      <c r="I31" s="2085"/>
      <c r="J31" s="2087"/>
      <c r="K31" s="1119"/>
      <c r="L31" s="3347" t="s">
        <v>1996</v>
      </c>
      <c r="M31" s="1997">
        <v>0.25</v>
      </c>
      <c r="N31" s="1997">
        <v>0.2</v>
      </c>
      <c r="O31" s="1997">
        <v>0.15</v>
      </c>
      <c r="P31" s="1997">
        <v>0.1</v>
      </c>
      <c r="Q31" s="3342">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8" t="s">
        <v>1999</v>
      </c>
      <c r="M32" s="2564">
        <f>ROUND($E$24*(1+M31),3)</f>
        <v>5.3999999999999999E-2</v>
      </c>
      <c r="N32" s="2564">
        <f>ROUND($E$24*(1+N31),3)</f>
        <v>5.1999999999999998E-2</v>
      </c>
      <c r="O32" s="2564">
        <f>ROUND($E$24*(1+O31),3)</f>
        <v>0.05</v>
      </c>
      <c r="P32" s="2564">
        <f>ROUND($E$24*(1+P31),3)</f>
        <v>4.8000000000000001E-2</v>
      </c>
      <c r="Q32" s="3350">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f>ROUND(C5*C22*C23*C24*C25*C28,0)</f>
        <v>13526</v>
      </c>
      <c r="D33" s="2095">
        <f>'数据-汇总表'!F19</f>
        <v>70.150000000000006</v>
      </c>
      <c r="E33" s="773">
        <f>ROUND(C33*D33/10000,0)</f>
        <v>95</v>
      </c>
      <c r="F33" s="3340" t="s">
        <v>3263</v>
      </c>
      <c r="G33" s="2096"/>
      <c r="H33" s="2096"/>
      <c r="I33" s="2096"/>
      <c r="J33" s="2097"/>
      <c r="K33" s="1119"/>
      <c r="L33" s="3343" t="s">
        <v>3266</v>
      </c>
      <c r="M33" s="3344">
        <v>5.5E-2</v>
      </c>
      <c r="N33" s="3344">
        <v>5.5E-2</v>
      </c>
      <c r="O33" s="3344">
        <v>0.05</v>
      </c>
      <c r="P33" s="3344">
        <v>0.05</v>
      </c>
      <c r="Q33" s="3344">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f>ROUND(IF(E2="工业",C33*M42,IF(B25="楼层修正",SUM(V2:V16)*M41*10000/D34,C33*M41)),0)</f>
        <v>3382</v>
      </c>
      <c r="D34" s="2100"/>
      <c r="E34" s="773">
        <f>ROUND(IF(B25="楼层修正",SUM(V2:V16)*M40,C34*D34/10000),0)</f>
        <v>0</v>
      </c>
      <c r="F34" s="2101" t="s">
        <v>2032</v>
      </c>
      <c r="G34" s="2102"/>
      <c r="H34" s="2102"/>
      <c r="I34" s="2102"/>
      <c r="J34" s="2103"/>
      <c r="K34" s="1119"/>
      <c r="L34" s="3343" t="s">
        <v>3267</v>
      </c>
      <c r="M34" s="3344">
        <v>6.5000000000000002E-2</v>
      </c>
      <c r="N34" s="3344">
        <v>6.5000000000000002E-2</v>
      </c>
      <c r="O34" s="3344">
        <v>0.06</v>
      </c>
      <c r="P34" s="3344">
        <v>0.06</v>
      </c>
      <c r="Q34" s="3344">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41" t="s">
        <v>3264</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51" t="s">
        <v>3268</v>
      </c>
      <c r="L36" s="3441">
        <f ca="1">'数据-取费表'!B40</f>
        <v>4.7500000000000001E-2</v>
      </c>
      <c r="M36" s="3352">
        <f ca="1">ROUND($L$36*(1+M31),3)</f>
        <v>5.8999999999999997E-2</v>
      </c>
      <c r="N36" s="3352">
        <f ca="1">ROUND($L$36*(1+N31),3)</f>
        <v>5.7000000000000002E-2</v>
      </c>
      <c r="O36" s="3352">
        <f ca="1">ROUND($L$36*(1+O31),3)</f>
        <v>5.5E-2</v>
      </c>
      <c r="P36" s="3352">
        <f ca="1">ROUND($L$36*(1+P31),3)</f>
        <v>5.1999999999999998E-2</v>
      </c>
      <c r="Q36" s="3352">
        <f ca="1">ROUND($L$36*(1+Q31),3)</f>
        <v>5.5E-2</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765"/>
      <c r="B37" s="2110" t="s">
        <v>2036</v>
      </c>
      <c r="C37" s="175">
        <f>ROUND(D5*C22*C23*C24*C28*F37,0)</f>
        <v>8525</v>
      </c>
      <c r="D37" s="2095"/>
      <c r="E37" s="171">
        <f>ROUND(C37*D37/10000,0)</f>
        <v>0</v>
      </c>
      <c r="F37" s="171">
        <f>SUMIF(修正!A57:A68,G2,修正!B57:B68)</f>
        <v>0.6</v>
      </c>
      <c r="G37" s="171">
        <f>ROUND(IF(E2="工业",C37*$M$42,C37*$M$41),0)</f>
        <v>2131</v>
      </c>
      <c r="H37" s="171">
        <f>D37</f>
        <v>0</v>
      </c>
      <c r="I37" s="171">
        <f>ROUND(G37*H37/10000,0)</f>
        <v>0</v>
      </c>
      <c r="J37" s="3006"/>
      <c r="K37" s="3353" t="s">
        <v>3269</v>
      </c>
      <c r="L37" s="3351">
        <f ca="1">L36+K38</f>
        <v>5.2499999999999998E-2</v>
      </c>
      <c r="M37" s="3352">
        <f ca="1">ROUND($L$37*(1+M31),3)</f>
        <v>6.6000000000000003E-2</v>
      </c>
      <c r="N37" s="3352">
        <f t="shared" ref="N37:Q37" ca="1" si="3">ROUND($L$37*(1+N31),3)</f>
        <v>6.3E-2</v>
      </c>
      <c r="O37" s="3352">
        <f t="shared" ca="1" si="3"/>
        <v>0.06</v>
      </c>
      <c r="P37" s="3352">
        <f t="shared" ca="1" si="3"/>
        <v>5.8000000000000003E-2</v>
      </c>
      <c r="Q37" s="3352">
        <f t="shared" ca="1" si="3"/>
        <v>0.06</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766"/>
      <c r="B38" s="2038" t="s">
        <v>2037</v>
      </c>
      <c r="C38" s="175">
        <f>ROUND(D5*C22*C23*C24*C28*F38,0)</f>
        <v>4262</v>
      </c>
      <c r="D38" s="2095"/>
      <c r="E38" s="171">
        <f t="shared" ref="E38:E42" si="4">ROUND(C38*D38/10000,0)</f>
        <v>0</v>
      </c>
      <c r="F38" s="171">
        <f>SUMIF(修正!A57:A68,G2,修正!C57:C68)</f>
        <v>0.3</v>
      </c>
      <c r="G38" s="171">
        <f>ROUND(IF(E2="工业",C38*$M$42,C38*$M$41),0)</f>
        <v>1066</v>
      </c>
      <c r="H38" s="171">
        <f t="shared" ref="H38:H42" si="5">D38</f>
        <v>0</v>
      </c>
      <c r="I38" s="171">
        <f t="shared" ref="I38:I42" si="6">ROUND(G38*H38/10000,0)</f>
        <v>0</v>
      </c>
      <c r="J38" s="3005"/>
      <c r="K38" s="3351">
        <v>5.0000000000000001E-3</v>
      </c>
      <c r="L38" s="3351"/>
      <c r="M38" s="3351"/>
      <c r="N38" s="3351"/>
      <c r="O38" s="3351"/>
      <c r="P38" s="3351"/>
      <c r="Q38" s="3351"/>
      <c r="R38" s="1119"/>
      <c r="S38" s="1119"/>
      <c r="T38" s="1119"/>
      <c r="U38" s="1119"/>
      <c r="V38" s="1119"/>
      <c r="W38" s="1119"/>
      <c r="X38" s="1119"/>
      <c r="Y38" s="1119"/>
      <c r="Z38" s="1120"/>
      <c r="AA38" s="1120"/>
      <c r="AB38" s="1120"/>
      <c r="AC38" s="1120"/>
      <c r="AD38" s="1120"/>
    </row>
    <row r="39" spans="1:37" ht="13.5" thickBot="1">
      <c r="A39" s="3766"/>
      <c r="B39" s="2038" t="s">
        <v>3262</v>
      </c>
      <c r="C39" s="175">
        <f>ROUND(D5*C22*C23*C24*C28*F39,0)</f>
        <v>3552</v>
      </c>
      <c r="D39" s="2095"/>
      <c r="E39" s="171">
        <f t="shared" si="4"/>
        <v>0</v>
      </c>
      <c r="F39" s="171">
        <f>SUMIF(修正!A57:A68,G2,修正!D57:D68)</f>
        <v>0.25</v>
      </c>
      <c r="G39" s="171">
        <f>ROUND(IF(E2="工业",C39*$M$42,C39*$M$41),0)</f>
        <v>888</v>
      </c>
      <c r="H39" s="171">
        <f t="shared" si="5"/>
        <v>0</v>
      </c>
      <c r="I39" s="171">
        <f t="shared" si="6"/>
        <v>0</v>
      </c>
      <c r="J39" s="3005"/>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3552</v>
      </c>
      <c r="D40" s="2095"/>
      <c r="E40" s="171">
        <f t="shared" si="4"/>
        <v>0</v>
      </c>
      <c r="F40" s="175">
        <f>SUMIF(修正!A57:A68,G2,修正!E57:E68)</f>
        <v>0.25</v>
      </c>
      <c r="G40" s="171">
        <f>ROUND(IF(E2="工业",C40*$M$42,C40*$M$41),0)</f>
        <v>888</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4" t="s">
        <v>3270</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0</v>
      </c>
      <c r="D42" s="2100"/>
      <c r="E42" s="187">
        <f t="shared" si="4"/>
        <v>0</v>
      </c>
      <c r="F42" s="767">
        <f>SUMIF(修正!A57:A68,G2,修正!G57:G68)</f>
        <v>0.15</v>
      </c>
      <c r="G42" s="187">
        <f>ROUND(IF(E2="工业",C42*$M$42,C42*$M$41),0)</f>
        <v>0</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v>
      </c>
      <c r="D44" s="171" t="s">
        <v>1999</v>
      </c>
      <c r="E44" s="2150">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3" t="s">
        <v>2043</v>
      </c>
      <c r="B48" s="2124">
        <f>1+E50</f>
        <v>1</v>
      </c>
      <c r="C48" s="2125"/>
      <c r="D48" s="741"/>
      <c r="E48" s="742"/>
      <c r="F48" s="2126"/>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7" t="s">
        <v>2044</v>
      </c>
      <c r="B49" s="1351" t="s">
        <v>2045</v>
      </c>
      <c r="C49" s="1351" t="s">
        <v>2046</v>
      </c>
      <c r="D49" s="1351" t="s">
        <v>2047</v>
      </c>
      <c r="E49" s="743" t="s">
        <v>2048</v>
      </c>
      <c r="F49" s="2128" t="s">
        <v>2049</v>
      </c>
      <c r="G49" s="1351" t="s">
        <v>310</v>
      </c>
      <c r="H49" s="2129"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51">
      <c r="A50" s="2127" t="s">
        <v>2052</v>
      </c>
      <c r="B50" s="2130" t="str">
        <f>估价对象房地状况!C4</f>
        <v>估价对象位于望京商圈，周边商业氛围成熟，有望京SOHO、悠乐汇等，人流量大，商业繁华度好</v>
      </c>
      <c r="C50" s="2041"/>
      <c r="D50" s="1065">
        <f t="shared" ref="D50:D58" si="7">SUMIF($J$49:$N$49,C50,J50:N50)</f>
        <v>0</v>
      </c>
      <c r="E50" s="744">
        <f>ROUND(SUM(D50:D58),4)</f>
        <v>0</v>
      </c>
      <c r="F50" s="1814">
        <f>IF(E2="商业",SUMIF(L1:L12,G2,N1:N12),"——")</f>
        <v>0.1</v>
      </c>
      <c r="G50" s="1063"/>
      <c r="H50" s="1066">
        <f t="shared" ref="H50:H58" si="8">IFERROR(ROUNDDOWN($F$50*I50/2,4),"——")</f>
        <v>1.4999999999999999E-2</v>
      </c>
      <c r="I50" s="3361">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14.75">
      <c r="A51" s="2127" t="s">
        <v>2053</v>
      </c>
      <c r="B51"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51" s="2041"/>
      <c r="D51" s="1065">
        <f t="shared" si="7"/>
        <v>0</v>
      </c>
      <c r="E51" s="745"/>
      <c r="F51" s="1814"/>
      <c r="G51" s="1063"/>
      <c r="H51" s="1066">
        <f t="shared" si="8"/>
        <v>1.0999999999999999E-2</v>
      </c>
      <c r="I51" s="3361">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3" t="s">
        <v>3272</v>
      </c>
      <c r="B52" s="2131">
        <f>估价对象房地状况!C19</f>
        <v>0</v>
      </c>
      <c r="C52" s="2041"/>
      <c r="D52" s="1065">
        <f t="shared" si="7"/>
        <v>0</v>
      </c>
      <c r="E52" s="745"/>
      <c r="F52" s="1814"/>
      <c r="G52" s="1063"/>
      <c r="H52" s="1066">
        <f t="shared" si="8"/>
        <v>6.0000000000000001E-3</v>
      </c>
      <c r="I52" s="3361">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7" t="s">
        <v>2054</v>
      </c>
      <c r="B53" s="2132" t="s">
        <v>2055</v>
      </c>
      <c r="C53" s="2041"/>
      <c r="D53" s="1065">
        <f t="shared" si="7"/>
        <v>0</v>
      </c>
      <c r="E53" s="745"/>
      <c r="F53" s="1814"/>
      <c r="G53" s="1063"/>
      <c r="H53" s="1066">
        <f t="shared" si="8"/>
        <v>2.5000000000000001E-3</v>
      </c>
      <c r="I53" s="3361">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7" t="s">
        <v>2056</v>
      </c>
      <c r="B54" s="2131" t="str">
        <f>估价对象房地状况!C24</f>
        <v>主干道-望京街</v>
      </c>
      <c r="C54" s="2041"/>
      <c r="D54" s="1065">
        <f t="shared" si="7"/>
        <v>0</v>
      </c>
      <c r="E54" s="745"/>
      <c r="F54" s="1814"/>
      <c r="G54" s="1063"/>
      <c r="H54" s="1066">
        <f t="shared" si="8"/>
        <v>4.0000000000000001E-3</v>
      </c>
      <c r="I54" s="3361">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7" t="s">
        <v>2057</v>
      </c>
      <c r="B55" s="2133" t="s">
        <v>2058</v>
      </c>
      <c r="C55" s="2041"/>
      <c r="D55" s="1065">
        <f t="shared" si="7"/>
        <v>0</v>
      </c>
      <c r="E55" s="745"/>
      <c r="F55" s="1814"/>
      <c r="G55" s="1063"/>
      <c r="H55" s="1066">
        <f t="shared" si="8"/>
        <v>2.5000000000000001E-3</v>
      </c>
      <c r="I55" s="3361">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04">
      <c r="A56" s="2134" t="s">
        <v>2059</v>
      </c>
      <c r="B5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56" s="2041"/>
      <c r="D56" s="1065">
        <f t="shared" si="7"/>
        <v>0</v>
      </c>
      <c r="E56" s="745"/>
      <c r="F56" s="1814"/>
      <c r="G56" s="1063"/>
      <c r="H56" s="1066">
        <f t="shared" si="8"/>
        <v>2.5000000000000001E-3</v>
      </c>
      <c r="I56" s="3361">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4" t="s">
        <v>2060</v>
      </c>
      <c r="B57" s="2131" t="str">
        <f>估价对象房地状况!C22</f>
        <v>估价对象所在区域基础设施水平</v>
      </c>
      <c r="C57" s="2041"/>
      <c r="D57" s="1065">
        <f t="shared" si="7"/>
        <v>0</v>
      </c>
      <c r="E57" s="745"/>
      <c r="F57" s="1814"/>
      <c r="G57" s="1063"/>
      <c r="H57" s="1066">
        <f t="shared" si="8"/>
        <v>4.0000000000000001E-3</v>
      </c>
      <c r="I57" s="3361">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5" t="s">
        <v>2061</v>
      </c>
      <c r="B58" s="2136" t="str">
        <f>估价对象房地状况!C20</f>
        <v xml:space="preserve">有望京文化体育公园等自然、人文设施；
综上，自然及人文环境一般。
</v>
      </c>
      <c r="C58" s="2041"/>
      <c r="D58" s="1065">
        <f t="shared" si="7"/>
        <v>0</v>
      </c>
      <c r="E58" s="746"/>
      <c r="F58" s="1814"/>
      <c r="G58" s="1063"/>
      <c r="H58" s="1066">
        <f t="shared" si="8"/>
        <v>2.5000000000000001E-3</v>
      </c>
      <c r="I58" s="3362">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1"/>
      <c r="C60" s="1351" t="s">
        <v>2046</v>
      </c>
      <c r="D60" s="1351" t="s">
        <v>2047</v>
      </c>
      <c r="E60" s="743" t="s">
        <v>2048</v>
      </c>
      <c r="F60" s="2128" t="s">
        <v>2063</v>
      </c>
      <c r="G60" s="1351" t="s">
        <v>310</v>
      </c>
      <c r="H60" s="2129"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7" t="s">
        <v>2064</v>
      </c>
      <c r="B61" s="2130" t="str">
        <f>估价对象房地状况!C17</f>
        <v>估价对象周边有望京SOHO、悠乐汇等同类型项目，综合评价物业聚集程度较好</v>
      </c>
      <c r="C61" s="2041"/>
      <c r="D61" s="1065">
        <f t="shared" ref="D61:D69" si="12">SUMIF($J$60:$N$60,C61,J61:N61)</f>
        <v>0</v>
      </c>
      <c r="E61" s="744">
        <f>ROUND(SUM(D61:D69),4)</f>
        <v>0</v>
      </c>
      <c r="F61" s="1814" t="str">
        <f>IF(E2="办公",SUMIF(L1:L12,G2,N1:N12),"——")</f>
        <v>——</v>
      </c>
      <c r="G61" s="1063"/>
      <c r="H61" s="1066" t="str">
        <f t="shared" ref="H61:H69" si="13">IFERROR(ROUNDDOWN($F$61*I61/2,4),"——")</f>
        <v>——</v>
      </c>
      <c r="I61" s="3361">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14.75">
      <c r="A62" s="2127" t="s">
        <v>2053</v>
      </c>
      <c r="B62"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62" s="2041"/>
      <c r="D62" s="1065">
        <f t="shared" si="12"/>
        <v>0</v>
      </c>
      <c r="E62" s="745"/>
      <c r="F62" s="1814"/>
      <c r="G62" s="1063"/>
      <c r="H62" s="1066" t="str">
        <f t="shared" si="13"/>
        <v>——</v>
      </c>
      <c r="I62" s="3361">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3" t="s">
        <v>3272</v>
      </c>
      <c r="B63" s="2131">
        <f>估价对象房地状况!C19</f>
        <v>0</v>
      </c>
      <c r="C63" s="2041"/>
      <c r="D63" s="1065">
        <f t="shared" si="12"/>
        <v>0</v>
      </c>
      <c r="E63" s="745"/>
      <c r="F63" s="1814"/>
      <c r="G63" s="1063"/>
      <c r="H63" s="1066" t="str">
        <f t="shared" si="13"/>
        <v>——</v>
      </c>
      <c r="I63" s="3361">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7" t="s">
        <v>2054</v>
      </c>
      <c r="B64" s="2132" t="s">
        <v>2055</v>
      </c>
      <c r="C64" s="2041"/>
      <c r="D64" s="1065">
        <f t="shared" si="12"/>
        <v>0</v>
      </c>
      <c r="E64" s="745"/>
      <c r="F64" s="1814"/>
      <c r="G64" s="1063"/>
      <c r="H64" s="1066" t="str">
        <f t="shared" si="13"/>
        <v>——</v>
      </c>
      <c r="I64" s="3361">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7" t="s">
        <v>2056</v>
      </c>
      <c r="B65" s="2131" t="str">
        <f>估价对象房地状况!C24</f>
        <v>主干道-望京街</v>
      </c>
      <c r="C65" s="2041"/>
      <c r="D65" s="1065">
        <f t="shared" si="12"/>
        <v>0</v>
      </c>
      <c r="E65" s="745"/>
      <c r="F65" s="1814"/>
      <c r="G65" s="1063"/>
      <c r="H65" s="1066" t="str">
        <f t="shared" si="13"/>
        <v>——</v>
      </c>
      <c r="I65" s="3361">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7" t="s">
        <v>2057</v>
      </c>
      <c r="B66" s="2133" t="s">
        <v>2058</v>
      </c>
      <c r="C66" s="2041"/>
      <c r="D66" s="1065">
        <f t="shared" si="12"/>
        <v>0</v>
      </c>
      <c r="E66" s="745"/>
      <c r="F66" s="1814"/>
      <c r="G66" s="1063"/>
      <c r="H66" s="1066" t="str">
        <f t="shared" si="13"/>
        <v>——</v>
      </c>
      <c r="I66" s="3361">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04">
      <c r="A67" s="2127" t="s">
        <v>2059</v>
      </c>
      <c r="B67"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67" s="2041"/>
      <c r="D67" s="1065">
        <f t="shared" si="12"/>
        <v>0</v>
      </c>
      <c r="E67" s="745"/>
      <c r="F67" s="1814"/>
      <c r="G67" s="1063"/>
      <c r="H67" s="1066" t="str">
        <f t="shared" si="13"/>
        <v>——</v>
      </c>
      <c r="I67" s="3361">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7" t="s">
        <v>2060</v>
      </c>
      <c r="B68" s="1326" t="str">
        <f>估价对象房地状况!C22</f>
        <v>估价对象所在区域基础设施水平</v>
      </c>
      <c r="C68" s="2041"/>
      <c r="D68" s="1065">
        <f t="shared" si="12"/>
        <v>0</v>
      </c>
      <c r="E68" s="745"/>
      <c r="F68" s="1814"/>
      <c r="G68" s="1063"/>
      <c r="H68" s="1066" t="str">
        <f t="shared" si="13"/>
        <v>——</v>
      </c>
      <c r="I68" s="3361">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5" t="s">
        <v>2061</v>
      </c>
      <c r="B69" s="2137" t="str">
        <f>估价对象房地状况!C20</f>
        <v xml:space="preserve">有望京文化体育公园等自然、人文设施；
综上，自然及人文环境一般。
</v>
      </c>
      <c r="C69" s="2041"/>
      <c r="D69" s="1065">
        <f t="shared" si="12"/>
        <v>0</v>
      </c>
      <c r="E69" s="746"/>
      <c r="F69" s="1814"/>
      <c r="G69" s="1063"/>
      <c r="H69" s="1066" t="str">
        <f t="shared" si="13"/>
        <v>——</v>
      </c>
      <c r="I69" s="3362">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1"/>
      <c r="C71" s="1351" t="s">
        <v>2046</v>
      </c>
      <c r="D71" s="1351" t="s">
        <v>2047</v>
      </c>
      <c r="E71" s="743" t="s">
        <v>2048</v>
      </c>
      <c r="F71" s="2128" t="s">
        <v>2063</v>
      </c>
      <c r="G71" s="1351" t="s">
        <v>310</v>
      </c>
      <c r="H71" s="2129"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7" t="s">
        <v>2066</v>
      </c>
      <c r="B72" s="2130" t="str">
        <f>估价对象房地状况!C15</f>
        <v>周边有华鼎世家、望京西园、宝星园等住宅小区，居住小区规模较大，综合评价居住社区成熟度较好。</v>
      </c>
      <c r="C72" s="2041"/>
      <c r="D72" s="1065">
        <f t="shared" ref="D72:D80" si="17">SUMIF($J$71:$N$71,C72,J72:N72)</f>
        <v>0</v>
      </c>
      <c r="E72" s="744">
        <f>ROUND(SUM(D72:D80),4)</f>
        <v>0</v>
      </c>
      <c r="F72" s="1814" t="str">
        <f>IF(E2="住宅",SUMIF(L1:L12,G2,N1:N12),"——")</f>
        <v>——</v>
      </c>
      <c r="G72" s="1063"/>
      <c r="H72" s="1066" t="str">
        <f t="shared" ref="H72:H80" si="18">IFERROR(ROUNDDOWN($F$72*I72/2,4),"——")</f>
        <v>——</v>
      </c>
      <c r="I72" s="3361">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14.75">
      <c r="A73" s="2127" t="s">
        <v>2053</v>
      </c>
      <c r="B73" s="2131"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73" s="2041"/>
      <c r="D73" s="1065">
        <f t="shared" si="17"/>
        <v>0</v>
      </c>
      <c r="E73" s="747"/>
      <c r="F73" s="1814"/>
      <c r="G73" s="1063"/>
      <c r="H73" s="1066" t="str">
        <f t="shared" si="18"/>
        <v>——</v>
      </c>
      <c r="I73" s="3361">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3" t="s">
        <v>3272</v>
      </c>
      <c r="B74" s="2131">
        <f>估价对象房地状况!C19</f>
        <v>0</v>
      </c>
      <c r="C74" s="2041"/>
      <c r="D74" s="1065">
        <f t="shared" si="17"/>
        <v>0</v>
      </c>
      <c r="E74" s="747"/>
      <c r="F74" s="1814"/>
      <c r="G74" s="1063"/>
      <c r="H74" s="1066" t="str">
        <f t="shared" si="18"/>
        <v>——</v>
      </c>
      <c r="I74" s="3361">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t="str">
        <f>估价对象房地状况!C24</f>
        <v>主干道-望京街</v>
      </c>
      <c r="C75" s="2041"/>
      <c r="D75" s="1065">
        <f t="shared" si="17"/>
        <v>0</v>
      </c>
      <c r="E75" s="747"/>
      <c r="F75" s="1814"/>
      <c r="G75" s="1063"/>
      <c r="H75" s="1066" t="str">
        <f t="shared" si="18"/>
        <v>——</v>
      </c>
      <c r="I75" s="3361">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04">
      <c r="A76" s="2127" t="s">
        <v>2059</v>
      </c>
      <c r="B76" s="1326"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76" s="2041"/>
      <c r="D76" s="1065">
        <f t="shared" si="17"/>
        <v>0</v>
      </c>
      <c r="E76" s="747"/>
      <c r="F76" s="1814"/>
      <c r="G76" s="1063"/>
      <c r="H76" s="1066" t="str">
        <f t="shared" si="18"/>
        <v>——</v>
      </c>
      <c r="I76" s="3361">
        <v>0.08</v>
      </c>
      <c r="J76" s="1064">
        <f t="shared" si="19"/>
        <v>0</v>
      </c>
      <c r="K76" s="1064">
        <f t="shared" si="20"/>
        <v>0</v>
      </c>
      <c r="L76" s="1064">
        <v>0</v>
      </c>
      <c r="M76" s="1064">
        <f t="shared" si="21"/>
        <v>0</v>
      </c>
      <c r="N76" s="1064">
        <f t="shared" si="21"/>
        <v>0</v>
      </c>
      <c r="O76" s="1119"/>
      <c r="P76" s="1119"/>
      <c r="Z76" s="1995"/>
      <c r="AA76" s="2050"/>
      <c r="AG76" s="1121"/>
      <c r="AK76" s="2050"/>
    </row>
    <row r="77" spans="1:37" ht="25.5">
      <c r="A77" s="2127" t="s">
        <v>2060</v>
      </c>
      <c r="B77" s="1326" t="str">
        <f>估价对象房地状况!C22</f>
        <v>估价对象所在区域基础设施水平</v>
      </c>
      <c r="C77" s="2041"/>
      <c r="D77" s="1065">
        <f t="shared" si="17"/>
        <v>0</v>
      </c>
      <c r="E77" s="747"/>
      <c r="F77" s="1814"/>
      <c r="G77" s="1063"/>
      <c r="H77" s="1066" t="str">
        <f t="shared" si="18"/>
        <v>——</v>
      </c>
      <c r="I77" s="3361">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4"/>
      <c r="G78" s="1063"/>
      <c r="H78" s="1066" t="str">
        <f t="shared" si="18"/>
        <v>——</v>
      </c>
      <c r="I78" s="3361">
        <v>0.05</v>
      </c>
      <c r="J78" s="1064">
        <f t="shared" si="19"/>
        <v>0</v>
      </c>
      <c r="K78" s="1064">
        <f t="shared" si="20"/>
        <v>0</v>
      </c>
      <c r="L78" s="1064">
        <v>0</v>
      </c>
      <c r="M78" s="1064">
        <f t="shared" si="21"/>
        <v>0</v>
      </c>
      <c r="N78" s="1064">
        <f t="shared" si="21"/>
        <v>0</v>
      </c>
      <c r="O78" s="1994"/>
      <c r="P78" s="1994"/>
      <c r="Z78" s="1995"/>
      <c r="AA78" s="2050"/>
      <c r="AG78" s="1121"/>
      <c r="AK78" s="2050"/>
    </row>
    <row r="79" spans="1:37" ht="51">
      <c r="A79" s="2127" t="s">
        <v>2061</v>
      </c>
      <c r="B79" s="2130" t="str">
        <f>估价对象房地状况!C20</f>
        <v xml:space="preserve">有望京文化体育公园等自然、人文设施；
综上，自然及人文环境一般。
</v>
      </c>
      <c r="C79" s="2041"/>
      <c r="D79" s="1065">
        <f t="shared" si="17"/>
        <v>0</v>
      </c>
      <c r="E79" s="747"/>
      <c r="F79" s="1814"/>
      <c r="G79" s="1063"/>
      <c r="H79" s="1066" t="str">
        <f t="shared" si="18"/>
        <v>——</v>
      </c>
      <c r="I79" s="3361">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4"/>
      <c r="G80" s="1063"/>
      <c r="H80" s="1066" t="str">
        <f t="shared" si="18"/>
        <v>——</v>
      </c>
      <c r="I80" s="3362">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1"/>
      <c r="C82" s="1351" t="s">
        <v>2046</v>
      </c>
      <c r="D82" s="1351" t="s">
        <v>2047</v>
      </c>
      <c r="E82" s="743" t="s">
        <v>2048</v>
      </c>
      <c r="F82" s="2128" t="s">
        <v>2063</v>
      </c>
      <c r="G82" s="1351" t="s">
        <v>310</v>
      </c>
      <c r="H82" s="2129" t="s">
        <v>2050</v>
      </c>
      <c r="I82" s="1351" t="s">
        <v>2051</v>
      </c>
      <c r="J82" s="552" t="s">
        <v>1721</v>
      </c>
      <c r="K82" s="552" t="s">
        <v>1722</v>
      </c>
      <c r="L82" s="552" t="s">
        <v>1723</v>
      </c>
      <c r="M82" s="552" t="s">
        <v>1724</v>
      </c>
      <c r="N82" s="552" t="s">
        <v>1725</v>
      </c>
      <c r="Z82" s="1995"/>
      <c r="AA82" s="2050"/>
      <c r="AG82" s="1121"/>
      <c r="AK82" s="2050"/>
    </row>
    <row r="83" spans="1:37" ht="38.25">
      <c r="A83" s="2127" t="s">
        <v>2070</v>
      </c>
      <c r="B83" s="2131" t="str">
        <f>估价对象房地状况!G15</f>
        <v>估价对象位于XX开发区，园区建设成熟度XX，产业集聚程度XX</v>
      </c>
      <c r="C83" s="2041"/>
      <c r="D83" s="1065">
        <f t="shared" ref="D83:D90" si="22">SUMIF($J$82:$N$82,C83,J83:N83)</f>
        <v>0</v>
      </c>
      <c r="E83" s="744">
        <f>ROUND(SUM(D83:D90),4)</f>
        <v>0</v>
      </c>
      <c r="F83" s="1814" t="str">
        <f>IF(E2="工业",SUMIF(L1:L12,G2,N1:N12),"——")</f>
        <v>——</v>
      </c>
      <c r="G83" s="1063"/>
      <c r="H83" s="1066" t="str">
        <f t="shared" ref="H83:H90" si="23">IFERROR(ROUNDDOWN($F$83*I83/2,4),"——")</f>
        <v>——</v>
      </c>
      <c r="I83" s="3361">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38.25">
      <c r="A84" s="2127" t="s">
        <v>2053</v>
      </c>
      <c r="B84" s="2131" t="str">
        <f>估价对象房地状况!G16</f>
        <v>估价对象周边道路状况、公共交通通达情况、停车便捷程度，综合评价交通便捷度较好</v>
      </c>
      <c r="C84" s="2041"/>
      <c r="D84" s="1065">
        <f t="shared" si="22"/>
        <v>0</v>
      </c>
      <c r="E84" s="747"/>
      <c r="F84" s="1814"/>
      <c r="G84" s="1063"/>
      <c r="H84" s="1066" t="str">
        <f t="shared" si="23"/>
        <v>——</v>
      </c>
      <c r="I84" s="3361">
        <v>0.3</v>
      </c>
      <c r="J84" s="1064">
        <f t="shared" si="24"/>
        <v>0</v>
      </c>
      <c r="K84" s="1064">
        <f t="shared" si="25"/>
        <v>0</v>
      </c>
      <c r="L84" s="1064">
        <v>0</v>
      </c>
      <c r="M84" s="1064">
        <f t="shared" si="26"/>
        <v>0</v>
      </c>
      <c r="N84" s="1064">
        <f t="shared" si="26"/>
        <v>0</v>
      </c>
      <c r="Z84" s="1995"/>
      <c r="AA84" s="2050"/>
      <c r="AG84" s="1121"/>
      <c r="AK84" s="2050"/>
    </row>
    <row r="85" spans="1:37" ht="36">
      <c r="A85" s="3363" t="s">
        <v>3273</v>
      </c>
      <c r="B85" s="2131">
        <f>估价对象房地状况!G17</f>
        <v>0</v>
      </c>
      <c r="C85" s="2041"/>
      <c r="D85" s="1065">
        <f t="shared" si="22"/>
        <v>0</v>
      </c>
      <c r="E85" s="747"/>
      <c r="F85" s="1814"/>
      <c r="G85" s="1063"/>
      <c r="H85" s="1066" t="str">
        <f t="shared" si="23"/>
        <v>——</v>
      </c>
      <c r="I85" s="3361">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4"/>
      <c r="G86" s="1063"/>
      <c r="H86" s="1066" t="str">
        <f t="shared" si="23"/>
        <v>——</v>
      </c>
      <c r="I86" s="3361">
        <v>0.05</v>
      </c>
      <c r="J86" s="1064">
        <f t="shared" si="24"/>
        <v>0</v>
      </c>
      <c r="K86" s="1064">
        <f t="shared" si="25"/>
        <v>0</v>
      </c>
      <c r="L86" s="1064">
        <v>0</v>
      </c>
      <c r="M86" s="1064">
        <f t="shared" si="26"/>
        <v>0</v>
      </c>
      <c r="N86" s="1064">
        <f t="shared" si="26"/>
        <v>0</v>
      </c>
      <c r="Z86" s="1995"/>
      <c r="AA86" s="2050"/>
      <c r="AG86" s="1121"/>
      <c r="AK86" s="2050"/>
    </row>
    <row r="87" spans="1:37" ht="25.5">
      <c r="A87" s="2127" t="s">
        <v>2059</v>
      </c>
      <c r="B87" s="1326" t="str">
        <f>估价对象房地状况!G19</f>
        <v>估价对象所在区域公共配套设施齐备情况</v>
      </c>
      <c r="C87" s="2041"/>
      <c r="D87" s="1065">
        <f t="shared" si="22"/>
        <v>0</v>
      </c>
      <c r="E87" s="747"/>
      <c r="F87" s="1814"/>
      <c r="G87" s="1063"/>
      <c r="H87" s="1066" t="str">
        <f t="shared" si="23"/>
        <v>——</v>
      </c>
      <c r="I87" s="3361">
        <v>0.06</v>
      </c>
      <c r="J87" s="1064">
        <f t="shared" si="24"/>
        <v>0</v>
      </c>
      <c r="K87" s="1064">
        <f t="shared" si="25"/>
        <v>0</v>
      </c>
      <c r="L87" s="1064">
        <v>0</v>
      </c>
      <c r="M87" s="1064">
        <f t="shared" si="26"/>
        <v>0</v>
      </c>
      <c r="N87" s="1064">
        <f t="shared" si="26"/>
        <v>0</v>
      </c>
    </row>
    <row r="88" spans="1:37" ht="25.5">
      <c r="A88" s="2127" t="s">
        <v>2060</v>
      </c>
      <c r="B88" s="1326" t="str">
        <f>估价对象房地状况!G20</f>
        <v>估价对象所在区域基础设施水平</v>
      </c>
      <c r="C88" s="2041"/>
      <c r="D88" s="1065">
        <f t="shared" si="22"/>
        <v>0</v>
      </c>
      <c r="E88" s="747"/>
      <c r="F88" s="1814"/>
      <c r="G88" s="1063"/>
      <c r="H88" s="1066" t="str">
        <f t="shared" si="23"/>
        <v>——</v>
      </c>
      <c r="I88" s="3361">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4"/>
      <c r="G89" s="1063"/>
      <c r="H89" s="1066" t="str">
        <f t="shared" si="23"/>
        <v>——</v>
      </c>
      <c r="I89" s="3361">
        <v>0.06</v>
      </c>
      <c r="J89" s="1064">
        <f t="shared" si="24"/>
        <v>0</v>
      </c>
      <c r="K89" s="1064">
        <f t="shared" si="25"/>
        <v>0</v>
      </c>
      <c r="L89" s="1064">
        <v>0</v>
      </c>
      <c r="M89" s="1064">
        <f t="shared" si="26"/>
        <v>0</v>
      </c>
      <c r="N89" s="1064">
        <f t="shared" si="26"/>
        <v>0</v>
      </c>
    </row>
    <row r="90" spans="1:37" ht="39" thickBot="1">
      <c r="A90" s="2135" t="s">
        <v>2072</v>
      </c>
      <c r="B90" s="2140" t="str">
        <f>估价对象房地状况!G18</f>
        <v>该园区内是否有污染型企业，绿化情况，卫生条件，整体环境状况判断</v>
      </c>
      <c r="C90" s="2041"/>
      <c r="D90" s="1065">
        <f t="shared" si="22"/>
        <v>0</v>
      </c>
      <c r="E90" s="748"/>
      <c r="F90" s="1814"/>
      <c r="G90" s="1063"/>
      <c r="H90" s="1066" t="str">
        <f t="shared" si="23"/>
        <v>——</v>
      </c>
      <c r="I90" s="3362">
        <v>0.05</v>
      </c>
      <c r="J90" s="1064">
        <f t="shared" si="24"/>
        <v>0</v>
      </c>
      <c r="K90" s="1064">
        <f t="shared" si="25"/>
        <v>0</v>
      </c>
      <c r="L90" s="1064">
        <v>0</v>
      </c>
      <c r="M90" s="1064">
        <f t="shared" si="26"/>
        <v>0</v>
      </c>
      <c r="N90" s="1064">
        <f t="shared" si="26"/>
        <v>0</v>
      </c>
    </row>
    <row r="91" spans="1:37" ht="15">
      <c r="A91" s="3371" t="s">
        <v>2611</v>
      </c>
      <c r="B91" s="3372">
        <f>1+E93</f>
        <v>1</v>
      </c>
      <c r="C91" s="3365"/>
      <c r="D91" s="3366"/>
      <c r="E91" s="1814"/>
      <c r="F91" s="1814"/>
      <c r="G91" s="3367"/>
      <c r="H91" s="3368"/>
      <c r="I91" s="3369"/>
      <c r="J91" s="3370"/>
      <c r="K91" s="3370"/>
      <c r="L91" s="3370"/>
      <c r="M91" s="3370"/>
      <c r="N91" s="3370"/>
    </row>
    <row r="92" spans="1:37" ht="24.75">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6"/>
      <c r="C93" s="2041"/>
      <c r="D93" s="3360">
        <f>SUMIF($J$92:$N$92,C93,J93:N93)</f>
        <v>0</v>
      </c>
      <c r="E93" s="3376">
        <f>ROUND(SUM(D93:D101),4)</f>
        <v>0</v>
      </c>
      <c r="F93" s="1814"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114.75">
      <c r="A94" s="3373" t="s">
        <v>3276</v>
      </c>
      <c r="B94" s="3364" t="str">
        <f>估价对象房地状况!C18</f>
        <v>估价对象周边距离地铁14、15号线望京站约700米，距离地铁14号线阜通站约700米，距离北四环约2.6公里，距离北五环约1.6公里；周边有专15路、专212路、132路、421路、467路、538路等公交线路途径并设立站点，综合评价交通便捷度较好。</v>
      </c>
      <c r="C94" s="2041"/>
      <c r="D94" s="3360">
        <f t="shared" ref="D94:D101" si="30">SUMIF($J$60:$N$60,C94,J94:N94)</f>
        <v>0</v>
      </c>
      <c r="E94" s="3377"/>
      <c r="F94" s="1814"/>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3272</v>
      </c>
      <c r="B95" s="3364">
        <f>估价对象房地状况!C19</f>
        <v>0</v>
      </c>
      <c r="C95" s="2041"/>
      <c r="D95" s="3360">
        <f t="shared" si="30"/>
        <v>0</v>
      </c>
      <c r="E95" s="3377"/>
      <c r="F95" s="1814"/>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3277</v>
      </c>
      <c r="B96" s="3379" t="s">
        <v>3288</v>
      </c>
      <c r="C96" s="2041"/>
      <c r="D96" s="3360">
        <f t="shared" si="30"/>
        <v>0</v>
      </c>
      <c r="E96" s="3377"/>
      <c r="F96" s="1814"/>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t="str">
        <f>估价对象房地状况!C24</f>
        <v>主干道-望京街</v>
      </c>
      <c r="C97" s="2041"/>
      <c r="D97" s="3360">
        <f t="shared" si="30"/>
        <v>0</v>
      </c>
      <c r="E97" s="3377"/>
      <c r="F97" s="1814"/>
      <c r="G97" s="3367"/>
      <c r="H97" s="3415" t="str">
        <f t="shared" si="31"/>
        <v>——</v>
      </c>
      <c r="I97" s="3361">
        <v>0.05</v>
      </c>
      <c r="J97" s="3339">
        <f t="shared" si="27"/>
        <v>0</v>
      </c>
      <c r="K97" s="3339">
        <f t="shared" si="28"/>
        <v>0</v>
      </c>
      <c r="L97" s="3339">
        <v>0</v>
      </c>
      <c r="M97" s="3339">
        <f t="shared" si="29"/>
        <v>0</v>
      </c>
      <c r="N97" s="3339">
        <f t="shared" si="29"/>
        <v>0</v>
      </c>
    </row>
    <row r="98" spans="1:14" ht="24">
      <c r="A98" s="3373" t="s">
        <v>3279</v>
      </c>
      <c r="B98" s="3380" t="s">
        <v>3289</v>
      </c>
      <c r="C98" s="2041"/>
      <c r="D98" s="3360">
        <f t="shared" si="30"/>
        <v>0</v>
      </c>
      <c r="E98" s="3377"/>
      <c r="F98" s="1814"/>
      <c r="G98" s="3367"/>
      <c r="H98" s="3415" t="str">
        <f t="shared" si="31"/>
        <v>——</v>
      </c>
      <c r="I98" s="3361">
        <v>0.06</v>
      </c>
      <c r="J98" s="3339">
        <f t="shared" si="27"/>
        <v>0</v>
      </c>
      <c r="K98" s="3339">
        <f t="shared" si="28"/>
        <v>0</v>
      </c>
      <c r="L98" s="3339">
        <v>0</v>
      </c>
      <c r="M98" s="3339">
        <f t="shared" si="29"/>
        <v>0</v>
      </c>
      <c r="N98" s="3339">
        <f t="shared" si="29"/>
        <v>0</v>
      </c>
    </row>
    <row r="99" spans="1:14" ht="204">
      <c r="A99" s="3373" t="s">
        <v>3280</v>
      </c>
      <c r="B99" s="3364" t="str">
        <f>估价对象房地状况!C21</f>
        <v xml:space="preserve">银行：中国银行、中国工商银行、中国交通银行等金融网点；
医院：北京嫣然天使儿童医院、中国中医科学院望京医院、东湖社区卫生服务中心等医疗网点；
学校：首师大附属实验学校、清华附中望京学校、白家庄小学、望京新城幼儿园等教育机构；
商业：合生麒麟新天地、望京SOHO、物美大卖场等商业网点；
综上，公共配套设施较好。
</v>
      </c>
      <c r="C99" s="2041"/>
      <c r="D99" s="3360">
        <f t="shared" si="30"/>
        <v>0</v>
      </c>
      <c r="E99" s="3377"/>
      <c r="F99" s="1814"/>
      <c r="G99" s="3367"/>
      <c r="H99" s="3415" t="str">
        <f t="shared" si="31"/>
        <v>——</v>
      </c>
      <c r="I99" s="3361">
        <v>0.06</v>
      </c>
      <c r="J99" s="3339">
        <f t="shared" si="27"/>
        <v>0</v>
      </c>
      <c r="K99" s="3339">
        <f t="shared" si="28"/>
        <v>0</v>
      </c>
      <c r="L99" s="3339">
        <v>0</v>
      </c>
      <c r="M99" s="3339">
        <f t="shared" si="29"/>
        <v>0</v>
      </c>
      <c r="N99" s="3339">
        <f t="shared" si="29"/>
        <v>0</v>
      </c>
    </row>
    <row r="100" spans="1:14" ht="25.5">
      <c r="A100" s="3373" t="s">
        <v>3281</v>
      </c>
      <c r="B100" s="3364" t="str">
        <f>估价对象房地状况!C22</f>
        <v>估价对象所在区域基础设施水平</v>
      </c>
      <c r="C100" s="2041"/>
      <c r="D100" s="3360">
        <f t="shared" si="30"/>
        <v>0</v>
      </c>
      <c r="E100" s="3377"/>
      <c r="F100" s="1814"/>
      <c r="G100" s="3367"/>
      <c r="H100" s="3415" t="str">
        <f t="shared" si="31"/>
        <v>——</v>
      </c>
      <c r="I100" s="3361">
        <v>0.09</v>
      </c>
      <c r="J100" s="3339">
        <f t="shared" si="27"/>
        <v>0</v>
      </c>
      <c r="K100" s="3339">
        <f t="shared" si="28"/>
        <v>0</v>
      </c>
      <c r="L100" s="3339">
        <v>0</v>
      </c>
      <c r="M100" s="3339">
        <f t="shared" si="29"/>
        <v>0</v>
      </c>
      <c r="N100" s="3339">
        <f t="shared" si="29"/>
        <v>0</v>
      </c>
    </row>
    <row r="101" spans="1:14" ht="51.75" thickBot="1">
      <c r="A101" s="3374" t="s">
        <v>3282</v>
      </c>
      <c r="B101" s="3381" t="str">
        <f>估价对象房地状况!C20</f>
        <v xml:space="preserve">有望京文化体育公园等自然、人文设施；
综上，自然及人文环境一般。
</v>
      </c>
      <c r="C101" s="2041"/>
      <c r="D101" s="3360">
        <f t="shared" si="30"/>
        <v>0</v>
      </c>
      <c r="E101" s="3378"/>
      <c r="F101" s="1814"/>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63" t="s">
        <v>3297</v>
      </c>
      <c r="B103" s="3763"/>
      <c r="C103" s="3763"/>
      <c r="D103" s="3763"/>
      <c r="E103" s="3763"/>
      <c r="F103" s="3763"/>
      <c r="G103" s="3763"/>
      <c r="H103" s="3763"/>
      <c r="I103" s="3763"/>
      <c r="J103" s="3763"/>
      <c r="K103" s="3384"/>
      <c r="L103" s="3384"/>
      <c r="M103" s="3384"/>
      <c r="N103" s="3384"/>
    </row>
    <row r="104" spans="1:14">
      <c r="A104" s="3764" t="s">
        <v>3298</v>
      </c>
      <c r="B104" s="3764" t="s">
        <v>3299</v>
      </c>
      <c r="C104" s="3385" t="s">
        <v>3300</v>
      </c>
      <c r="D104" s="3386"/>
      <c r="E104" s="3386"/>
      <c r="F104" s="3386"/>
      <c r="G104" s="3386"/>
      <c r="H104" s="3386"/>
      <c r="I104" s="3386"/>
      <c r="J104" s="3387"/>
      <c r="K104" s="3388"/>
      <c r="L104" s="3388"/>
      <c r="M104" s="3388"/>
      <c r="N104" s="3388"/>
    </row>
    <row r="105" spans="1:14">
      <c r="A105" s="3764"/>
      <c r="B105" s="3764"/>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50"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5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5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5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5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51"/>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52"/>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53" t="s">
        <v>3314</v>
      </c>
      <c r="B113" s="3753"/>
      <c r="C113" s="3753"/>
      <c r="D113" s="3753"/>
      <c r="E113" s="3753"/>
      <c r="F113" s="3753"/>
      <c r="G113" s="3753"/>
      <c r="H113" s="3753"/>
      <c r="I113" s="3753"/>
      <c r="J113" s="375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3315</v>
      </c>
      <c r="B116" s="3410">
        <f>G3</f>
        <v>3.5</v>
      </c>
      <c r="C116" s="3394" t="s">
        <v>3316</v>
      </c>
      <c r="D116" s="3395">
        <f>SUMPRODUCT((A118:A122=F116)*(B117:M117=H116)*B118:M122)</f>
        <v>0.9</v>
      </c>
      <c r="E116" s="1997" t="s">
        <v>3317</v>
      </c>
      <c r="F116" s="3396" t="str">
        <f>E2</f>
        <v>商业</v>
      </c>
      <c r="G116" s="1997" t="s">
        <v>3318</v>
      </c>
      <c r="H116" s="3396" t="str">
        <f>G2</f>
        <v>四级</v>
      </c>
      <c r="I116" s="1997"/>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0.95830000000000004</v>
      </c>
      <c r="C118" s="3382">
        <f>B118</f>
        <v>0.95830000000000004</v>
      </c>
      <c r="D118" s="3382">
        <f>ROUND(0.949-0.014*B116,4)</f>
        <v>0.9</v>
      </c>
      <c r="E118" s="3382">
        <f>D118</f>
        <v>0.9</v>
      </c>
      <c r="F118" s="3382">
        <f>E118</f>
        <v>0.9</v>
      </c>
      <c r="G118" s="3382">
        <f>F118</f>
        <v>0.9</v>
      </c>
      <c r="H118" s="3382">
        <f>G118</f>
        <v>0.9</v>
      </c>
      <c r="I118" s="3382">
        <f>ROUND(0.8486-0.018*B116,4)</f>
        <v>0.78559999999999997</v>
      </c>
      <c r="J118" s="3382">
        <f t="shared" ref="J118:M122" si="35">I118</f>
        <v>0.78559999999999997</v>
      </c>
      <c r="K118" s="3382">
        <f t="shared" si="35"/>
        <v>0.78559999999999997</v>
      </c>
      <c r="L118" s="3382">
        <f t="shared" si="35"/>
        <v>0.78559999999999997</v>
      </c>
      <c r="M118" s="3405">
        <f t="shared" si="35"/>
        <v>0.78559999999999997</v>
      </c>
      <c r="N118" s="3392"/>
    </row>
    <row r="119" spans="1:14">
      <c r="A119" s="3404" t="s">
        <v>3332</v>
      </c>
      <c r="B119" s="3382">
        <f>ROUND(0.993-0.0112*B116,4)</f>
        <v>0.95379999999999998</v>
      </c>
      <c r="C119" s="3382">
        <f>B119</f>
        <v>0.95379999999999998</v>
      </c>
      <c r="D119" s="3382">
        <f>ROUND(0.9415-0.0142*B116,4)</f>
        <v>0.89180000000000004</v>
      </c>
      <c r="E119" s="3382">
        <f t="shared" ref="E119:H120" si="36">D119</f>
        <v>0.89180000000000004</v>
      </c>
      <c r="F119" s="3382">
        <f t="shared" si="36"/>
        <v>0.89180000000000004</v>
      </c>
      <c r="G119" s="3382">
        <f t="shared" si="36"/>
        <v>0.89180000000000004</v>
      </c>
      <c r="H119" s="3382">
        <f t="shared" si="36"/>
        <v>0.89180000000000004</v>
      </c>
      <c r="I119" s="3382">
        <f>ROUND(0.838-0.0182*B116,4)</f>
        <v>0.77429999999999999</v>
      </c>
      <c r="J119" s="3382">
        <f t="shared" si="35"/>
        <v>0.77429999999999999</v>
      </c>
      <c r="K119" s="3382">
        <f t="shared" si="35"/>
        <v>0.77429999999999999</v>
      </c>
      <c r="L119" s="3382">
        <f t="shared" si="35"/>
        <v>0.77429999999999999</v>
      </c>
      <c r="M119" s="3405">
        <f t="shared" si="35"/>
        <v>0.77429999999999999</v>
      </c>
      <c r="N119" s="3392"/>
    </row>
    <row r="120" spans="1:14">
      <c r="A120" s="3404" t="s">
        <v>3333</v>
      </c>
      <c r="B120" s="3382">
        <f>ROUND(0.9448-0.0115*B116,4)</f>
        <v>0.90459999999999996</v>
      </c>
      <c r="C120" s="3382">
        <f>B120</f>
        <v>0.90459999999999996</v>
      </c>
      <c r="D120" s="3382">
        <f>ROUND(0.937-0.0145*B116,4)</f>
        <v>0.88629999999999998</v>
      </c>
      <c r="E120" s="3382">
        <f t="shared" si="36"/>
        <v>0.88629999999999998</v>
      </c>
      <c r="F120" s="3382">
        <f t="shared" si="36"/>
        <v>0.88629999999999998</v>
      </c>
      <c r="G120" s="3382">
        <f t="shared" si="36"/>
        <v>0.88629999999999998</v>
      </c>
      <c r="H120" s="3382">
        <f t="shared" si="36"/>
        <v>0.88629999999999998</v>
      </c>
      <c r="I120" s="3382">
        <f>ROUND(0.7965-0.0185*B116,4)</f>
        <v>0.73180000000000001</v>
      </c>
      <c r="J120" s="3382">
        <f t="shared" si="35"/>
        <v>0.73180000000000001</v>
      </c>
      <c r="K120" s="3382">
        <f t="shared" si="35"/>
        <v>0.73180000000000001</v>
      </c>
      <c r="L120" s="3382">
        <f t="shared" si="35"/>
        <v>0.73180000000000001</v>
      </c>
      <c r="M120" s="3405">
        <f t="shared" si="35"/>
        <v>0.73180000000000001</v>
      </c>
      <c r="N120" s="3392"/>
    </row>
    <row r="121" spans="1:14" ht="13.5" thickBot="1">
      <c r="A121" s="3406" t="s">
        <v>3334</v>
      </c>
      <c r="B121" s="3407">
        <f>ROUND(0.7836-0.012*B116,4)</f>
        <v>0.74160000000000004</v>
      </c>
      <c r="C121" s="3407">
        <f>B121</f>
        <v>0.74160000000000004</v>
      </c>
      <c r="D121" s="3407">
        <f>ROUND(0.753-0.015*B116,4)</f>
        <v>0.70050000000000001</v>
      </c>
      <c r="E121" s="3407">
        <f>D121</f>
        <v>0.70050000000000001</v>
      </c>
      <c r="F121" s="3407">
        <f>E121</f>
        <v>0.70050000000000001</v>
      </c>
      <c r="G121" s="3407">
        <f>ROUND(0.6612-0.018*B116,4)</f>
        <v>0.59819999999999995</v>
      </c>
      <c r="H121" s="3407">
        <f>G121</f>
        <v>0.59819999999999995</v>
      </c>
      <c r="I121" s="3407">
        <f>ROUND(0.5905-0.019*B116,4)</f>
        <v>0.52400000000000002</v>
      </c>
      <c r="J121" s="3407">
        <f t="shared" si="35"/>
        <v>0.52400000000000002</v>
      </c>
      <c r="K121" s="3407">
        <f t="shared" si="35"/>
        <v>0.52400000000000002</v>
      </c>
      <c r="L121" s="3407">
        <f t="shared" si="35"/>
        <v>0.52400000000000002</v>
      </c>
      <c r="M121" s="3408">
        <f t="shared" si="35"/>
        <v>0.52400000000000002</v>
      </c>
      <c r="N121" s="3392"/>
    </row>
    <row r="122" spans="1:14">
      <c r="A122" s="3409" t="s">
        <v>2611</v>
      </c>
      <c r="B122" s="3382">
        <f>ROUND(0.9404-0.0106*B116,4)</f>
        <v>0.90329999999999999</v>
      </c>
      <c r="C122" s="3382">
        <f>B122</f>
        <v>0.90329999999999999</v>
      </c>
      <c r="D122" s="3382">
        <f>ROUND(0.8955-0.0135*B116,4)</f>
        <v>0.84830000000000005</v>
      </c>
      <c r="E122" s="3382">
        <f t="shared" ref="E122:H122" si="37">D122</f>
        <v>0.84830000000000005</v>
      </c>
      <c r="F122" s="3382">
        <f t="shared" si="37"/>
        <v>0.84830000000000005</v>
      </c>
      <c r="G122" s="3382">
        <f t="shared" si="37"/>
        <v>0.84830000000000005</v>
      </c>
      <c r="H122" s="3382">
        <f t="shared" si="37"/>
        <v>0.84830000000000005</v>
      </c>
      <c r="I122" s="3382">
        <f>ROUND(0.7632-0.0166*B116,4)</f>
        <v>0.70509999999999995</v>
      </c>
      <c r="J122" s="3382">
        <f t="shared" si="35"/>
        <v>0.70509999999999995</v>
      </c>
      <c r="K122" s="3382">
        <f t="shared" si="35"/>
        <v>0.70509999999999995</v>
      </c>
      <c r="L122" s="3382">
        <f t="shared" si="35"/>
        <v>0.70509999999999995</v>
      </c>
      <c r="M122" s="3405">
        <f t="shared" si="35"/>
        <v>0.70509999999999995</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2593</v>
      </c>
      <c r="B1" s="3066" t="s">
        <v>2594</v>
      </c>
      <c r="C1" s="3066" t="s">
        <v>2595</v>
      </c>
      <c r="D1" s="3066" t="s">
        <v>2596</v>
      </c>
      <c r="E1" s="3066" t="s">
        <v>2597</v>
      </c>
      <c r="F1" s="3066" t="s">
        <v>2598</v>
      </c>
      <c r="G1" s="3066" t="s">
        <v>2599</v>
      </c>
      <c r="H1" s="3066" t="s">
        <v>2600</v>
      </c>
      <c r="I1" s="3066" t="s">
        <v>2601</v>
      </c>
      <c r="J1" s="3066" t="s">
        <v>2602</v>
      </c>
      <c r="K1" s="3066" t="s">
        <v>2603</v>
      </c>
      <c r="L1" s="3066" t="s">
        <v>2604</v>
      </c>
      <c r="M1" s="3067" t="s">
        <v>2605</v>
      </c>
    </row>
    <row r="2" spans="1:13" ht="19.5" customHeight="1">
      <c r="A2" s="3069" t="s">
        <v>2606</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2607</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2608</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2609</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2610</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2611</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2612</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2613</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2614</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2615</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2616</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2617</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2618</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2619</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2620</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2621</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2622</v>
      </c>
      <c r="B18" s="3091"/>
      <c r="C18" s="3092"/>
      <c r="D18" s="3092"/>
      <c r="E18" s="3091"/>
      <c r="F18" s="3092"/>
      <c r="G18" s="3092"/>
    </row>
    <row r="19" spans="1:13" ht="19.5" customHeight="1" thickBot="1">
      <c r="A19" s="3089" t="s">
        <v>2623</v>
      </c>
      <c r="B19" s="3094" t="s">
        <v>2624</v>
      </c>
      <c r="C19" s="3094" t="s">
        <v>2625</v>
      </c>
      <c r="D19" s="3095"/>
      <c r="E19" s="3089" t="s">
        <v>2626</v>
      </c>
      <c r="F19" s="3096"/>
      <c r="G19" s="3096"/>
    </row>
    <row r="20" spans="1:13" ht="19.5" customHeight="1">
      <c r="A20" s="3776" t="s">
        <v>2606</v>
      </c>
      <c r="B20" s="3769" t="s">
        <v>2627</v>
      </c>
      <c r="C20" s="3097" t="s">
        <v>2438</v>
      </c>
      <c r="D20" s="3098"/>
      <c r="E20" s="3099">
        <v>1</v>
      </c>
      <c r="F20" s="3100" t="s">
        <v>2439</v>
      </c>
      <c r="G20" s="3100"/>
    </row>
    <row r="21" spans="1:13" ht="19.5" customHeight="1">
      <c r="A21" s="3777"/>
      <c r="B21" s="3770"/>
      <c r="C21" s="3101" t="s">
        <v>2440</v>
      </c>
      <c r="D21" s="3102"/>
      <c r="E21" s="3103">
        <v>1</v>
      </c>
      <c r="F21" s="3100" t="s">
        <v>2441</v>
      </c>
      <c r="G21" s="3100"/>
    </row>
    <row r="22" spans="1:13" ht="19.5" customHeight="1">
      <c r="A22" s="3777"/>
      <c r="B22" s="3770"/>
      <c r="C22" s="3101" t="s">
        <v>2442</v>
      </c>
      <c r="D22" s="3102"/>
      <c r="E22" s="3103">
        <v>0.9</v>
      </c>
      <c r="F22" s="3100" t="s">
        <v>2443</v>
      </c>
      <c r="G22" s="3100"/>
    </row>
    <row r="23" spans="1:13" ht="19.5" customHeight="1">
      <c r="A23" s="3777"/>
      <c r="B23" s="3770"/>
      <c r="C23" s="3101" t="s">
        <v>2444</v>
      </c>
      <c r="D23" s="3102"/>
      <c r="E23" s="3103">
        <v>0.9</v>
      </c>
      <c r="F23" s="3100" t="s">
        <v>2445</v>
      </c>
      <c r="G23" s="3100"/>
    </row>
    <row r="24" spans="1:13" ht="19.5" customHeight="1">
      <c r="A24" s="3777"/>
      <c r="B24" s="3770"/>
      <c r="C24" s="3101" t="s">
        <v>2446</v>
      </c>
      <c r="D24" s="3102"/>
      <c r="E24" s="3103">
        <v>0.8</v>
      </c>
      <c r="F24" s="3100" t="s">
        <v>2447</v>
      </c>
      <c r="G24" s="3100"/>
    </row>
    <row r="25" spans="1:13" ht="19.5" customHeight="1" thickBot="1">
      <c r="A25" s="3778"/>
      <c r="B25" s="3771"/>
      <c r="C25" s="3104" t="s">
        <v>2448</v>
      </c>
      <c r="D25" s="3105"/>
      <c r="E25" s="3106">
        <v>0.8</v>
      </c>
      <c r="F25" s="3100" t="s">
        <v>2449</v>
      </c>
      <c r="G25" s="3100"/>
    </row>
    <row r="26" spans="1:13" ht="19.5" customHeight="1" thickBot="1">
      <c r="A26" s="3107" t="s">
        <v>2628</v>
      </c>
      <c r="B26" s="3108" t="s">
        <v>2627</v>
      </c>
      <c r="C26" s="3109" t="s">
        <v>2629</v>
      </c>
      <c r="D26" s="3110"/>
      <c r="E26" s="3111">
        <v>1</v>
      </c>
      <c r="F26" s="3100" t="s">
        <v>2450</v>
      </c>
      <c r="G26" s="3100"/>
    </row>
    <row r="27" spans="1:13" ht="19.5" customHeight="1">
      <c r="A27" s="3772" t="s">
        <v>2630</v>
      </c>
      <c r="B27" s="3769" t="s">
        <v>2611</v>
      </c>
      <c r="C27" s="3097" t="s">
        <v>2451</v>
      </c>
      <c r="D27" s="3098"/>
      <c r="E27" s="3099">
        <v>1</v>
      </c>
      <c r="F27" s="3100" t="s">
        <v>2452</v>
      </c>
      <c r="G27" s="3100"/>
    </row>
    <row r="28" spans="1:13" ht="19.5" customHeight="1">
      <c r="A28" s="3773"/>
      <c r="B28" s="3770"/>
      <c r="C28" s="3101" t="s">
        <v>2453</v>
      </c>
      <c r="D28" s="3102"/>
      <c r="E28" s="3103">
        <v>1</v>
      </c>
      <c r="F28" s="3100" t="s">
        <v>2454</v>
      </c>
      <c r="G28" s="3100"/>
    </row>
    <row r="29" spans="1:13" ht="19.5" customHeight="1">
      <c r="A29" s="3773"/>
      <c r="B29" s="3770"/>
      <c r="C29" s="3101" t="s">
        <v>2455</v>
      </c>
      <c r="D29" s="3102"/>
      <c r="E29" s="3103">
        <v>0.8</v>
      </c>
      <c r="F29" s="3100" t="s">
        <v>2456</v>
      </c>
      <c r="G29" s="3100"/>
    </row>
    <row r="30" spans="1:13" ht="19.5" customHeight="1">
      <c r="A30" s="3773"/>
      <c r="B30" s="3770"/>
      <c r="C30" s="3101" t="s">
        <v>2457</v>
      </c>
      <c r="D30" s="3102"/>
      <c r="E30" s="3103">
        <v>0.8</v>
      </c>
      <c r="F30" s="3100" t="s">
        <v>2458</v>
      </c>
      <c r="G30" s="3100"/>
    </row>
    <row r="31" spans="1:13" ht="19.5" customHeight="1">
      <c r="A31" s="3773"/>
      <c r="B31" s="3770"/>
      <c r="C31" s="3101" t="s">
        <v>2459</v>
      </c>
      <c r="D31" s="3102"/>
      <c r="E31" s="3103">
        <v>0.8</v>
      </c>
      <c r="F31" s="3100" t="s">
        <v>2460</v>
      </c>
      <c r="G31" s="3100"/>
    </row>
    <row r="32" spans="1:13" ht="19.5" customHeight="1">
      <c r="A32" s="3773"/>
      <c r="B32" s="3770"/>
      <c r="C32" s="3101" t="s">
        <v>2461</v>
      </c>
      <c r="D32" s="3102"/>
      <c r="E32" s="3103">
        <v>0.7</v>
      </c>
      <c r="F32" s="3100" t="s">
        <v>2462</v>
      </c>
      <c r="G32" s="3100"/>
    </row>
    <row r="33" spans="1:7" ht="19.5" customHeight="1">
      <c r="A33" s="3773"/>
      <c r="B33" s="3770"/>
      <c r="C33" s="3101" t="s">
        <v>2463</v>
      </c>
      <c r="D33" s="3102"/>
      <c r="E33" s="3103">
        <v>0.8</v>
      </c>
      <c r="F33" s="3100" t="s">
        <v>2464</v>
      </c>
      <c r="G33" s="3100"/>
    </row>
    <row r="34" spans="1:7" ht="19.5" customHeight="1">
      <c r="A34" s="3773"/>
      <c r="B34" s="3770"/>
      <c r="C34" s="3101" t="s">
        <v>2465</v>
      </c>
      <c r="D34" s="3102"/>
      <c r="E34" s="3103">
        <v>0.6</v>
      </c>
      <c r="F34" s="3100" t="s">
        <v>2466</v>
      </c>
      <c r="G34" s="3100"/>
    </row>
    <row r="35" spans="1:7" ht="19.5" customHeight="1">
      <c r="A35" s="3773"/>
      <c r="B35" s="3770"/>
      <c r="C35" s="3101" t="s">
        <v>2467</v>
      </c>
      <c r="D35" s="3102"/>
      <c r="E35" s="3103">
        <v>0.2</v>
      </c>
      <c r="F35" s="3100" t="s">
        <v>2468</v>
      </c>
      <c r="G35" s="3100"/>
    </row>
    <row r="36" spans="1:7" ht="19.5" customHeight="1">
      <c r="A36" s="3773"/>
      <c r="B36" s="3770"/>
      <c r="C36" s="3101" t="s">
        <v>2469</v>
      </c>
      <c r="D36" s="3102"/>
      <c r="E36" s="3103">
        <v>0.2</v>
      </c>
      <c r="F36" s="3100" t="s">
        <v>2470</v>
      </c>
      <c r="G36" s="3100"/>
    </row>
    <row r="37" spans="1:7" ht="19.5" customHeight="1">
      <c r="A37" s="3773"/>
      <c r="B37" s="3775" t="s">
        <v>2631</v>
      </c>
      <c r="C37" s="3101" t="s">
        <v>2471</v>
      </c>
      <c r="D37" s="3102"/>
      <c r="E37" s="3103">
        <v>0.6</v>
      </c>
      <c r="F37" s="3100" t="s">
        <v>2472</v>
      </c>
      <c r="G37" s="3100"/>
    </row>
    <row r="38" spans="1:7" ht="19.5" customHeight="1">
      <c r="A38" s="3773"/>
      <c r="B38" s="3770"/>
      <c r="C38" s="3101" t="s">
        <v>2473</v>
      </c>
      <c r="D38" s="3102"/>
      <c r="E38" s="3103">
        <v>0.6</v>
      </c>
      <c r="F38" s="3100" t="s">
        <v>2474</v>
      </c>
      <c r="G38" s="3100"/>
    </row>
    <row r="39" spans="1:7" ht="19.5" customHeight="1" thickBot="1">
      <c r="A39" s="3774"/>
      <c r="B39" s="3771"/>
      <c r="C39" s="3104" t="s">
        <v>2475</v>
      </c>
      <c r="D39" s="3105"/>
      <c r="E39" s="3106">
        <v>0.6</v>
      </c>
      <c r="F39" s="3100" t="s">
        <v>2476</v>
      </c>
      <c r="G39" s="3100"/>
    </row>
    <row r="40" spans="1:7" ht="19.5" customHeight="1" thickBot="1">
      <c r="A40" s="3107" t="s">
        <v>2608</v>
      </c>
      <c r="B40" s="3108" t="s">
        <v>2608</v>
      </c>
      <c r="C40" s="3109" t="s">
        <v>2632</v>
      </c>
      <c r="D40" s="3110"/>
      <c r="E40" s="3111">
        <v>1</v>
      </c>
      <c r="F40" s="3100" t="s">
        <v>2477</v>
      </c>
      <c r="G40" s="3100"/>
    </row>
    <row r="41" spans="1:7" ht="19.5" customHeight="1">
      <c r="A41" s="3776" t="s">
        <v>2609</v>
      </c>
      <c r="B41" s="3769" t="s">
        <v>2633</v>
      </c>
      <c r="C41" s="3097" t="s">
        <v>2478</v>
      </c>
      <c r="D41" s="3098"/>
      <c r="E41" s="3099">
        <v>1</v>
      </c>
      <c r="F41" s="3100" t="s">
        <v>2479</v>
      </c>
      <c r="G41" s="3100"/>
    </row>
    <row r="42" spans="1:7" ht="19.5" customHeight="1">
      <c r="A42" s="3777"/>
      <c r="B42" s="3770"/>
      <c r="C42" s="3101" t="s">
        <v>2480</v>
      </c>
      <c r="D42" s="3102"/>
      <c r="E42" s="3103">
        <v>1</v>
      </c>
      <c r="F42" s="3100" t="s">
        <v>2481</v>
      </c>
      <c r="G42" s="3100"/>
    </row>
    <row r="43" spans="1:7" ht="19.5" customHeight="1">
      <c r="A43" s="3777"/>
      <c r="B43" s="3779"/>
      <c r="C43" s="3101" t="s">
        <v>2482</v>
      </c>
      <c r="D43" s="3102"/>
      <c r="E43" s="3103">
        <v>1.5</v>
      </c>
      <c r="F43" s="3100" t="s">
        <v>2483</v>
      </c>
      <c r="G43" s="3100"/>
    </row>
    <row r="44" spans="1:7" ht="19.5" customHeight="1">
      <c r="A44" s="3777"/>
      <c r="B44" s="3112" t="s">
        <v>2634</v>
      </c>
      <c r="C44" s="3101" t="s">
        <v>2635</v>
      </c>
      <c r="D44" s="3102"/>
      <c r="E44" s="3103">
        <v>2</v>
      </c>
      <c r="F44" s="3100" t="s">
        <v>2484</v>
      </c>
      <c r="G44" s="3100"/>
    </row>
    <row r="45" spans="1:7" ht="19.5" customHeight="1">
      <c r="A45" s="3777"/>
      <c r="B45" s="3775" t="s">
        <v>2636</v>
      </c>
      <c r="C45" s="3101" t="s">
        <v>2485</v>
      </c>
      <c r="D45" s="3102"/>
      <c r="E45" s="3103">
        <v>1</v>
      </c>
      <c r="F45" s="3100" t="s">
        <v>2486</v>
      </c>
      <c r="G45" s="3100"/>
    </row>
    <row r="46" spans="1:7" ht="19.5" customHeight="1">
      <c r="A46" s="3777"/>
      <c r="B46" s="3770"/>
      <c r="C46" s="3101" t="s">
        <v>2487</v>
      </c>
      <c r="D46" s="3102"/>
      <c r="E46" s="3103">
        <v>1</v>
      </c>
      <c r="F46" s="3100" t="s">
        <v>2488</v>
      </c>
      <c r="G46" s="3100"/>
    </row>
    <row r="47" spans="1:7" ht="19.5" customHeight="1">
      <c r="A47" s="3777"/>
      <c r="B47" s="3770"/>
      <c r="C47" s="3101" t="s">
        <v>2489</v>
      </c>
      <c r="D47" s="3102"/>
      <c r="E47" s="3103">
        <v>1</v>
      </c>
      <c r="F47" s="3100" t="s">
        <v>2490</v>
      </c>
      <c r="G47" s="3100"/>
    </row>
    <row r="48" spans="1:7" ht="19.5" customHeight="1">
      <c r="A48" s="3777"/>
      <c r="B48" s="3770"/>
      <c r="C48" s="3101" t="s">
        <v>2491</v>
      </c>
      <c r="D48" s="3102"/>
      <c r="E48" s="3103">
        <v>1</v>
      </c>
      <c r="F48" s="3100" t="s">
        <v>2492</v>
      </c>
      <c r="G48" s="3100"/>
    </row>
    <row r="49" spans="1:7" ht="19.5" customHeight="1">
      <c r="A49" s="3777"/>
      <c r="B49" s="3770"/>
      <c r="C49" s="3101" t="s">
        <v>2493</v>
      </c>
      <c r="D49" s="3102"/>
      <c r="E49" s="3103">
        <v>1</v>
      </c>
      <c r="F49" s="3100" t="s">
        <v>2494</v>
      </c>
      <c r="G49" s="3100"/>
    </row>
    <row r="50" spans="1:7" ht="19.5" customHeight="1">
      <c r="A50" s="3777"/>
      <c r="B50" s="3770"/>
      <c r="C50" s="3101" t="s">
        <v>2495</v>
      </c>
      <c r="D50" s="3102"/>
      <c r="E50" s="3103">
        <v>1</v>
      </c>
      <c r="F50" s="3100" t="s">
        <v>2496</v>
      </c>
      <c r="G50" s="3100"/>
    </row>
    <row r="51" spans="1:7" ht="19.5" customHeight="1" thickBot="1">
      <c r="A51" s="3778"/>
      <c r="B51" s="3771"/>
      <c r="C51" s="3104" t="s">
        <v>2497</v>
      </c>
      <c r="D51" s="3105"/>
      <c r="E51" s="3106">
        <v>1</v>
      </c>
      <c r="F51" s="3100" t="s">
        <v>2498</v>
      </c>
      <c r="G51" s="3100"/>
    </row>
    <row r="52" spans="1:7" ht="19.5" customHeight="1">
      <c r="A52" s="3113"/>
      <c r="B52" s="3113"/>
      <c r="C52" s="3113"/>
      <c r="D52" s="3113"/>
      <c r="E52" s="3113"/>
      <c r="F52" s="3113"/>
      <c r="G52" s="3113"/>
    </row>
    <row r="54" spans="1:7" ht="19.5" customHeight="1">
      <c r="A54" s="3114"/>
      <c r="B54" s="3086" t="s">
        <v>2637</v>
      </c>
      <c r="C54" s="3086" t="s">
        <v>2637</v>
      </c>
      <c r="D54" s="3086" t="s">
        <v>2637</v>
      </c>
      <c r="E54" s="3089" t="s">
        <v>2637</v>
      </c>
      <c r="F54" s="3089" t="s">
        <v>2638</v>
      </c>
      <c r="G54" s="3089" t="s">
        <v>2639</v>
      </c>
    </row>
    <row r="55" spans="1:7" ht="19.5" customHeight="1">
      <c r="A55" s="3115"/>
      <c r="B55" s="3089" t="s">
        <v>2606</v>
      </c>
      <c r="C55" s="3089" t="s">
        <v>2606</v>
      </c>
      <c r="D55" s="3089" t="s">
        <v>2606</v>
      </c>
      <c r="E55" s="3086" t="s">
        <v>2607</v>
      </c>
      <c r="F55" s="3086" t="s">
        <v>2609</v>
      </c>
      <c r="G55" s="3086" t="s">
        <v>2640</v>
      </c>
    </row>
    <row r="56" spans="1:7" ht="19.5" customHeight="1">
      <c r="A56" s="3116"/>
      <c r="B56" s="3086">
        <v>1</v>
      </c>
      <c r="C56" s="3086">
        <v>2</v>
      </c>
      <c r="D56" s="3086">
        <v>3</v>
      </c>
      <c r="E56" s="3117" t="s">
        <v>2641</v>
      </c>
      <c r="F56" s="3117" t="s">
        <v>2641</v>
      </c>
      <c r="G56" s="3117" t="s">
        <v>2641</v>
      </c>
    </row>
    <row r="57" spans="1:7" ht="19.5" customHeight="1">
      <c r="A57" s="3118" t="s">
        <v>2594</v>
      </c>
      <c r="B57" s="3086">
        <v>0.7</v>
      </c>
      <c r="C57" s="3086">
        <v>0.4</v>
      </c>
      <c r="D57" s="3086">
        <v>0.3</v>
      </c>
      <c r="E57" s="3117">
        <v>0.3</v>
      </c>
      <c r="F57" s="3086">
        <v>0.3</v>
      </c>
      <c r="G57" s="3086">
        <v>0.2</v>
      </c>
    </row>
    <row r="58" spans="1:7" ht="19.5" customHeight="1">
      <c r="A58" s="3118" t="s">
        <v>2595</v>
      </c>
      <c r="B58" s="3086">
        <v>0.7</v>
      </c>
      <c r="C58" s="3086">
        <v>0.4</v>
      </c>
      <c r="D58" s="3086">
        <v>0.3</v>
      </c>
      <c r="E58" s="3086">
        <v>0.3</v>
      </c>
      <c r="F58" s="3086">
        <v>0.3</v>
      </c>
      <c r="G58" s="3086">
        <v>0.2</v>
      </c>
    </row>
    <row r="59" spans="1:7" ht="19.5" customHeight="1">
      <c r="A59" s="3118" t="s">
        <v>2596</v>
      </c>
      <c r="B59" s="3086">
        <v>0.6</v>
      </c>
      <c r="C59" s="3086">
        <v>0.3</v>
      </c>
      <c r="D59" s="3086">
        <v>0.25</v>
      </c>
      <c r="E59" s="3086">
        <v>0.25</v>
      </c>
      <c r="F59" s="3086">
        <v>0.25</v>
      </c>
      <c r="G59" s="3086">
        <v>0.15</v>
      </c>
    </row>
    <row r="60" spans="1:7" ht="19.5" customHeight="1">
      <c r="A60" s="3118" t="s">
        <v>2597</v>
      </c>
      <c r="B60" s="3086">
        <v>0.6</v>
      </c>
      <c r="C60" s="3086">
        <v>0.3</v>
      </c>
      <c r="D60" s="3086">
        <v>0.25</v>
      </c>
      <c r="E60" s="3086">
        <v>0.25</v>
      </c>
      <c r="F60" s="3086">
        <v>0.25</v>
      </c>
      <c r="G60" s="3086">
        <v>0.15</v>
      </c>
    </row>
    <row r="61" spans="1:7" ht="19.5" customHeight="1">
      <c r="A61" s="3118" t="s">
        <v>2598</v>
      </c>
      <c r="B61" s="3086">
        <v>0.6</v>
      </c>
      <c r="C61" s="3086">
        <v>0.3</v>
      </c>
      <c r="D61" s="3086">
        <v>0.25</v>
      </c>
      <c r="E61" s="3086">
        <v>0.25</v>
      </c>
      <c r="F61" s="3086">
        <v>0.25</v>
      </c>
      <c r="G61" s="3086">
        <v>0.15</v>
      </c>
    </row>
    <row r="62" spans="1:7" ht="19.5" customHeight="1">
      <c r="A62" s="3118" t="s">
        <v>2599</v>
      </c>
      <c r="B62" s="3086">
        <v>0.6</v>
      </c>
      <c r="C62" s="3086">
        <v>0.3</v>
      </c>
      <c r="D62" s="3086">
        <v>0.25</v>
      </c>
      <c r="E62" s="3086">
        <v>0.25</v>
      </c>
      <c r="F62" s="3086">
        <v>0.25</v>
      </c>
      <c r="G62" s="3086">
        <v>0.15</v>
      </c>
    </row>
    <row r="63" spans="1:7" ht="19.5" customHeight="1">
      <c r="A63" s="3118" t="s">
        <v>2600</v>
      </c>
      <c r="B63" s="3086">
        <v>0.6</v>
      </c>
      <c r="C63" s="3086">
        <v>0.3</v>
      </c>
      <c r="D63" s="3086">
        <v>0.25</v>
      </c>
      <c r="E63" s="3086">
        <v>0.25</v>
      </c>
      <c r="F63" s="3086">
        <v>0.25</v>
      </c>
      <c r="G63" s="3086">
        <v>0.15</v>
      </c>
    </row>
    <row r="64" spans="1:7" ht="19.5" customHeight="1">
      <c r="A64" s="3118" t="s">
        <v>2601</v>
      </c>
      <c r="B64" s="3086">
        <v>0.5</v>
      </c>
      <c r="C64" s="3086">
        <v>0.2</v>
      </c>
      <c r="D64" s="3086">
        <v>0.2</v>
      </c>
      <c r="E64" s="3086">
        <v>0.2</v>
      </c>
      <c r="F64" s="3086">
        <v>0.2</v>
      </c>
      <c r="G64" s="3086">
        <v>0.1</v>
      </c>
    </row>
    <row r="65" spans="1:7" ht="19.5" customHeight="1">
      <c r="A65" s="3118" t="s">
        <v>2602</v>
      </c>
      <c r="B65" s="3086">
        <v>0.5</v>
      </c>
      <c r="C65" s="3086">
        <v>0.2</v>
      </c>
      <c r="D65" s="3086">
        <v>0.2</v>
      </c>
      <c r="E65" s="3086">
        <v>0.2</v>
      </c>
      <c r="F65" s="3086">
        <v>0.2</v>
      </c>
      <c r="G65" s="3086">
        <v>0.1</v>
      </c>
    </row>
    <row r="66" spans="1:7" ht="19.5" customHeight="1">
      <c r="A66" s="3118" t="s">
        <v>2603</v>
      </c>
      <c r="B66" s="3086">
        <v>0.5</v>
      </c>
      <c r="C66" s="3086">
        <v>0.2</v>
      </c>
      <c r="D66" s="3086">
        <v>0.2</v>
      </c>
      <c r="E66" s="3086">
        <v>0.2</v>
      </c>
      <c r="F66" s="3086">
        <v>0.2</v>
      </c>
      <c r="G66" s="3086">
        <v>0.1</v>
      </c>
    </row>
    <row r="67" spans="1:7" ht="19.5" customHeight="1">
      <c r="A67" s="3118" t="s">
        <v>2604</v>
      </c>
      <c r="B67" s="3086">
        <v>0.5</v>
      </c>
      <c r="C67" s="3086">
        <v>0.2</v>
      </c>
      <c r="D67" s="3086">
        <v>0.2</v>
      </c>
      <c r="E67" s="3086">
        <v>0.2</v>
      </c>
      <c r="F67" s="3086">
        <v>0.2</v>
      </c>
      <c r="G67" s="3086">
        <v>0.1</v>
      </c>
    </row>
    <row r="68" spans="1:7" ht="19.5" customHeight="1">
      <c r="A68" s="3118" t="s">
        <v>2605</v>
      </c>
      <c r="B68" s="3086">
        <v>0.5</v>
      </c>
      <c r="C68" s="3086">
        <v>0.2</v>
      </c>
      <c r="D68" s="3086">
        <v>0.2</v>
      </c>
      <c r="E68" s="3086">
        <v>0.2</v>
      </c>
      <c r="F68" s="3086">
        <v>0.2</v>
      </c>
      <c r="G68" s="3086">
        <v>0.1</v>
      </c>
    </row>
    <row r="70" spans="1:7" ht="19.5" customHeight="1">
      <c r="A70" s="3119"/>
      <c r="B70" s="3120"/>
      <c r="C70" s="3120"/>
      <c r="D70" s="3120" t="s">
        <v>2642</v>
      </c>
      <c r="E70" s="3120"/>
      <c r="F70" s="3120"/>
    </row>
    <row r="71" spans="1:7" ht="19.5" customHeight="1">
      <c r="A71" s="3112" t="s">
        <v>2643</v>
      </c>
      <c r="B71" s="3112" t="s">
        <v>2644</v>
      </c>
      <c r="C71" s="3112" t="s">
        <v>2645</v>
      </c>
      <c r="D71" s="3112" t="s">
        <v>2646</v>
      </c>
      <c r="E71" s="3112" t="s">
        <v>2647</v>
      </c>
      <c r="F71" s="3112" t="s">
        <v>2648</v>
      </c>
    </row>
    <row r="72" spans="1:7" ht="13.5">
      <c r="A72" s="3112"/>
      <c r="B72" s="3112"/>
      <c r="C72" s="3112" t="s">
        <v>2649</v>
      </c>
      <c r="D72" s="3112"/>
      <c r="E72" s="3112" t="s">
        <v>2620</v>
      </c>
      <c r="F72" s="3112" t="s">
        <v>2620</v>
      </c>
    </row>
    <row r="73" spans="1:7" ht="13.5">
      <c r="A73" s="3112">
        <v>1</v>
      </c>
      <c r="B73" s="3775" t="s">
        <v>2650</v>
      </c>
      <c r="C73" s="3086" t="s">
        <v>2651</v>
      </c>
      <c r="D73" s="3086" t="s">
        <v>2652</v>
      </c>
      <c r="E73" s="3112">
        <v>0.2</v>
      </c>
      <c r="F73" s="3112">
        <v>25</v>
      </c>
    </row>
    <row r="74" spans="1:7" ht="24">
      <c r="A74" s="3112">
        <v>2</v>
      </c>
      <c r="B74" s="3770"/>
      <c r="C74" s="3086" t="s">
        <v>2653</v>
      </c>
      <c r="D74" s="3086" t="s">
        <v>2654</v>
      </c>
      <c r="E74" s="3112">
        <v>0.2</v>
      </c>
      <c r="F74" s="3112">
        <v>25</v>
      </c>
    </row>
    <row r="75" spans="1:7" ht="24">
      <c r="A75" s="3112">
        <v>3</v>
      </c>
      <c r="B75" s="3770"/>
      <c r="C75" s="3086" t="s">
        <v>2655</v>
      </c>
      <c r="D75" s="3086" t="s">
        <v>2656</v>
      </c>
      <c r="E75" s="3112">
        <v>0.2</v>
      </c>
      <c r="F75" s="3112">
        <v>25</v>
      </c>
    </row>
    <row r="76" spans="1:7" ht="13.5">
      <c r="A76" s="3112">
        <v>4</v>
      </c>
      <c r="B76" s="3770"/>
      <c r="C76" s="3086" t="s">
        <v>2657</v>
      </c>
      <c r="D76" s="3086" t="s">
        <v>2658</v>
      </c>
      <c r="E76" s="3112">
        <v>0.15</v>
      </c>
      <c r="F76" s="3112">
        <v>20</v>
      </c>
    </row>
    <row r="77" spans="1:7" ht="24">
      <c r="A77" s="3112">
        <v>5</v>
      </c>
      <c r="B77" s="3770"/>
      <c r="C77" s="3086" t="s">
        <v>2659</v>
      </c>
      <c r="D77" s="3086" t="s">
        <v>2660</v>
      </c>
      <c r="E77" s="3112">
        <v>0.15</v>
      </c>
      <c r="F77" s="3112">
        <v>20</v>
      </c>
    </row>
    <row r="78" spans="1:7" ht="24">
      <c r="A78" s="3112">
        <v>6</v>
      </c>
      <c r="B78" s="3770"/>
      <c r="C78" s="3086" t="s">
        <v>2661</v>
      </c>
      <c r="D78" s="3086" t="s">
        <v>2662</v>
      </c>
      <c r="E78" s="3112">
        <v>0.15</v>
      </c>
      <c r="F78" s="3112">
        <v>20</v>
      </c>
    </row>
    <row r="79" spans="1:7" ht="24">
      <c r="A79" s="3112">
        <v>7</v>
      </c>
      <c r="B79" s="3770"/>
      <c r="C79" s="3086" t="s">
        <v>2663</v>
      </c>
      <c r="D79" s="3086" t="s">
        <v>2664</v>
      </c>
      <c r="E79" s="3112">
        <v>0.15</v>
      </c>
      <c r="F79" s="3112">
        <v>20</v>
      </c>
    </row>
    <row r="80" spans="1:7" ht="24">
      <c r="A80" s="3112">
        <v>8</v>
      </c>
      <c r="B80" s="3770"/>
      <c r="C80" s="3086" t="s">
        <v>2665</v>
      </c>
      <c r="D80" s="3086" t="s">
        <v>2666</v>
      </c>
      <c r="E80" s="3112">
        <v>0.1</v>
      </c>
      <c r="F80" s="3112">
        <v>15</v>
      </c>
    </row>
    <row r="81" spans="1:6" ht="24">
      <c r="A81" s="3112">
        <v>9</v>
      </c>
      <c r="B81" s="3770"/>
      <c r="C81" s="3086" t="s">
        <v>2667</v>
      </c>
      <c r="D81" s="3086" t="s">
        <v>2668</v>
      </c>
      <c r="E81" s="3112">
        <v>0.1</v>
      </c>
      <c r="F81" s="3112">
        <v>15</v>
      </c>
    </row>
    <row r="82" spans="1:6" ht="24">
      <c r="A82" s="3112">
        <v>10</v>
      </c>
      <c r="B82" s="3770"/>
      <c r="C82" s="3086" t="s">
        <v>2669</v>
      </c>
      <c r="D82" s="3086" t="s">
        <v>2670</v>
      </c>
      <c r="E82" s="3112">
        <v>0.1</v>
      </c>
      <c r="F82" s="3112">
        <v>15</v>
      </c>
    </row>
    <row r="83" spans="1:6" ht="24">
      <c r="A83" s="3112">
        <v>11</v>
      </c>
      <c r="B83" s="3770"/>
      <c r="C83" s="3086" t="s">
        <v>2671</v>
      </c>
      <c r="D83" s="3086" t="s">
        <v>2672</v>
      </c>
      <c r="E83" s="3112">
        <v>0.1</v>
      </c>
      <c r="F83" s="3112">
        <v>15</v>
      </c>
    </row>
    <row r="84" spans="1:6" ht="24">
      <c r="A84" s="3112">
        <v>12</v>
      </c>
      <c r="B84" s="3770"/>
      <c r="C84" s="3086" t="s">
        <v>2673</v>
      </c>
      <c r="D84" s="3086" t="s">
        <v>2674</v>
      </c>
      <c r="E84" s="3112">
        <v>0.1</v>
      </c>
      <c r="F84" s="3112">
        <v>15</v>
      </c>
    </row>
    <row r="85" spans="1:6" ht="13.5">
      <c r="A85" s="3112">
        <v>13</v>
      </c>
      <c r="B85" s="3770"/>
      <c r="C85" s="3086" t="s">
        <v>2675</v>
      </c>
      <c r="D85" s="3086" t="s">
        <v>2676</v>
      </c>
      <c r="E85" s="3112">
        <v>0.1</v>
      </c>
      <c r="F85" s="3112">
        <v>15</v>
      </c>
    </row>
    <row r="86" spans="1:6" ht="13.5">
      <c r="A86" s="3112">
        <v>14</v>
      </c>
      <c r="B86" s="3770"/>
      <c r="C86" s="3086" t="s">
        <v>2677</v>
      </c>
      <c r="D86" s="3086" t="s">
        <v>2678</v>
      </c>
      <c r="E86" s="3112">
        <v>0.1</v>
      </c>
      <c r="F86" s="3112">
        <v>15</v>
      </c>
    </row>
    <row r="87" spans="1:6" ht="13.5">
      <c r="A87" s="3112">
        <v>15</v>
      </c>
      <c r="B87" s="3770"/>
      <c r="C87" s="3086" t="s">
        <v>2679</v>
      </c>
      <c r="D87" s="3086" t="s">
        <v>2680</v>
      </c>
      <c r="E87" s="3112">
        <v>0.1</v>
      </c>
      <c r="F87" s="3112">
        <v>15</v>
      </c>
    </row>
    <row r="88" spans="1:6" ht="24">
      <c r="A88" s="3112">
        <v>16</v>
      </c>
      <c r="B88" s="3770"/>
      <c r="C88" s="3086" t="s">
        <v>2681</v>
      </c>
      <c r="D88" s="3086" t="s">
        <v>2682</v>
      </c>
      <c r="E88" s="3112">
        <v>0.1</v>
      </c>
      <c r="F88" s="3112">
        <v>15</v>
      </c>
    </row>
    <row r="89" spans="1:6" ht="24">
      <c r="A89" s="3112">
        <v>17</v>
      </c>
      <c r="B89" s="3779"/>
      <c r="C89" s="3086" t="s">
        <v>2683</v>
      </c>
      <c r="D89" s="3086" t="s">
        <v>2684</v>
      </c>
      <c r="E89" s="3112">
        <v>0.1</v>
      </c>
      <c r="F89" s="3112">
        <v>15</v>
      </c>
    </row>
    <row r="90" spans="1:6" ht="13.5">
      <c r="A90" s="3112">
        <v>18</v>
      </c>
      <c r="B90" s="3775" t="s">
        <v>2685</v>
      </c>
      <c r="C90" s="3086" t="s">
        <v>2686</v>
      </c>
      <c r="D90" s="3086" t="s">
        <v>2687</v>
      </c>
      <c r="E90" s="3112">
        <v>0.2</v>
      </c>
      <c r="F90" s="3112">
        <v>25</v>
      </c>
    </row>
    <row r="91" spans="1:6" ht="24">
      <c r="A91" s="3112">
        <v>19</v>
      </c>
      <c r="B91" s="3770"/>
      <c r="C91" s="3086" t="s">
        <v>2688</v>
      </c>
      <c r="D91" s="3086" t="s">
        <v>2689</v>
      </c>
      <c r="E91" s="3112">
        <v>0.2</v>
      </c>
      <c r="F91" s="3112">
        <v>25</v>
      </c>
    </row>
    <row r="92" spans="1:6" ht="13.5">
      <c r="A92" s="3112">
        <v>20</v>
      </c>
      <c r="B92" s="3770"/>
      <c r="C92" s="3086" t="s">
        <v>2690</v>
      </c>
      <c r="D92" s="3086" t="s">
        <v>2691</v>
      </c>
      <c r="E92" s="3112">
        <v>0.15</v>
      </c>
      <c r="F92" s="3112">
        <v>20</v>
      </c>
    </row>
    <row r="93" spans="1:6" ht="13.5">
      <c r="A93" s="3112">
        <v>21</v>
      </c>
      <c r="B93" s="3770"/>
      <c r="C93" s="3086" t="s">
        <v>2692</v>
      </c>
      <c r="D93" s="3086" t="s">
        <v>2693</v>
      </c>
      <c r="E93" s="3112">
        <v>0.15</v>
      </c>
      <c r="F93" s="3112">
        <v>20</v>
      </c>
    </row>
    <row r="94" spans="1:6" ht="13.5">
      <c r="A94" s="3112">
        <v>22</v>
      </c>
      <c r="B94" s="3770"/>
      <c r="C94" s="3086" t="s">
        <v>2694</v>
      </c>
      <c r="D94" s="3086" t="s">
        <v>2695</v>
      </c>
      <c r="E94" s="3112">
        <v>0.15</v>
      </c>
      <c r="F94" s="3112">
        <v>20</v>
      </c>
    </row>
    <row r="95" spans="1:6" ht="36">
      <c r="A95" s="3112">
        <v>23</v>
      </c>
      <c r="B95" s="3770"/>
      <c r="C95" s="3086" t="s">
        <v>2696</v>
      </c>
      <c r="D95" s="3086" t="s">
        <v>2697</v>
      </c>
      <c r="E95" s="3112">
        <v>0.15</v>
      </c>
      <c r="F95" s="3112">
        <v>20</v>
      </c>
    </row>
    <row r="96" spans="1:6" ht="13.5">
      <c r="A96" s="3112">
        <v>24</v>
      </c>
      <c r="B96" s="3770"/>
      <c r="C96" s="3086" t="s">
        <v>2698</v>
      </c>
      <c r="D96" s="3086" t="s">
        <v>2699</v>
      </c>
      <c r="E96" s="3112">
        <v>0.1</v>
      </c>
      <c r="F96" s="3112">
        <v>15</v>
      </c>
    </row>
    <row r="97" spans="1:6" ht="13.5">
      <c r="A97" s="3112">
        <v>25</v>
      </c>
      <c r="B97" s="3770"/>
      <c r="C97" s="3086" t="s">
        <v>2700</v>
      </c>
      <c r="D97" s="3086" t="s">
        <v>2701</v>
      </c>
      <c r="E97" s="3112">
        <v>0.1</v>
      </c>
      <c r="F97" s="3112">
        <v>15</v>
      </c>
    </row>
    <row r="98" spans="1:6" ht="24">
      <c r="A98" s="3112">
        <v>26</v>
      </c>
      <c r="B98" s="3770"/>
      <c r="C98" s="3086" t="s">
        <v>2702</v>
      </c>
      <c r="D98" s="3086" t="s">
        <v>2703</v>
      </c>
      <c r="E98" s="3112">
        <v>0.1</v>
      </c>
      <c r="F98" s="3112">
        <v>15</v>
      </c>
    </row>
    <row r="99" spans="1:6" ht="24">
      <c r="A99" s="3112">
        <v>27</v>
      </c>
      <c r="B99" s="3770"/>
      <c r="C99" s="3086" t="s">
        <v>2704</v>
      </c>
      <c r="D99" s="3086" t="s">
        <v>2705</v>
      </c>
      <c r="E99" s="3112">
        <v>0.1</v>
      </c>
      <c r="F99" s="3112">
        <v>15</v>
      </c>
    </row>
    <row r="100" spans="1:6" ht="13.5">
      <c r="A100" s="3112">
        <v>28</v>
      </c>
      <c r="B100" s="3770"/>
      <c r="C100" s="3086" t="s">
        <v>2706</v>
      </c>
      <c r="D100" s="3086" t="s">
        <v>2707</v>
      </c>
      <c r="E100" s="3112">
        <v>0.1</v>
      </c>
      <c r="F100" s="3112">
        <v>15</v>
      </c>
    </row>
    <row r="101" spans="1:6" ht="13.5">
      <c r="A101" s="3112">
        <v>29</v>
      </c>
      <c r="B101" s="3770"/>
      <c r="C101" s="3086" t="s">
        <v>2708</v>
      </c>
      <c r="D101" s="3086" t="s">
        <v>2709</v>
      </c>
      <c r="E101" s="3112">
        <v>0.1</v>
      </c>
      <c r="F101" s="3112">
        <v>15</v>
      </c>
    </row>
    <row r="102" spans="1:6" ht="13.5">
      <c r="A102" s="3112">
        <v>30</v>
      </c>
      <c r="B102" s="3770"/>
      <c r="C102" s="3086" t="s">
        <v>2710</v>
      </c>
      <c r="D102" s="3086" t="s">
        <v>2711</v>
      </c>
      <c r="E102" s="3112">
        <v>0.1</v>
      </c>
      <c r="F102" s="3112">
        <v>15</v>
      </c>
    </row>
    <row r="103" spans="1:6" ht="24">
      <c r="A103" s="3112">
        <v>31</v>
      </c>
      <c r="B103" s="3770"/>
      <c r="C103" s="3086" t="s">
        <v>2712</v>
      </c>
      <c r="D103" s="3086" t="s">
        <v>2713</v>
      </c>
      <c r="E103" s="3112">
        <v>0.1</v>
      </c>
      <c r="F103" s="3112">
        <v>15</v>
      </c>
    </row>
    <row r="104" spans="1:6" ht="24">
      <c r="A104" s="3112">
        <v>32</v>
      </c>
      <c r="B104" s="3770"/>
      <c r="C104" s="3086" t="s">
        <v>2714</v>
      </c>
      <c r="D104" s="3086" t="s">
        <v>2715</v>
      </c>
      <c r="E104" s="3112">
        <v>0.1</v>
      </c>
      <c r="F104" s="3112">
        <v>15</v>
      </c>
    </row>
    <row r="105" spans="1:6" ht="24">
      <c r="A105" s="3112">
        <v>33</v>
      </c>
      <c r="B105" s="3770"/>
      <c r="C105" s="3086" t="s">
        <v>2716</v>
      </c>
      <c r="D105" s="3086" t="s">
        <v>2717</v>
      </c>
      <c r="E105" s="3112">
        <v>0.1</v>
      </c>
      <c r="F105" s="3112">
        <v>15</v>
      </c>
    </row>
    <row r="106" spans="1:6" ht="24">
      <c r="A106" s="3112">
        <v>34</v>
      </c>
      <c r="B106" s="3779"/>
      <c r="C106" s="3086" t="s">
        <v>2718</v>
      </c>
      <c r="D106" s="3086" t="s">
        <v>2719</v>
      </c>
      <c r="E106" s="3112">
        <v>0.1</v>
      </c>
      <c r="F106" s="3112">
        <v>15</v>
      </c>
    </row>
    <row r="107" spans="1:6" ht="24">
      <c r="A107" s="3112">
        <v>35</v>
      </c>
      <c r="B107" s="3775" t="s">
        <v>2720</v>
      </c>
      <c r="C107" s="3112" t="s">
        <v>2721</v>
      </c>
      <c r="D107" s="3086" t="s">
        <v>2722</v>
      </c>
      <c r="E107" s="3112">
        <v>0.15</v>
      </c>
      <c r="F107" s="3112">
        <v>20</v>
      </c>
    </row>
    <row r="108" spans="1:6" ht="13.5">
      <c r="A108" s="3112">
        <v>36</v>
      </c>
      <c r="B108" s="3770"/>
      <c r="C108" s="3112" t="s">
        <v>2723</v>
      </c>
      <c r="D108" s="3086" t="s">
        <v>2724</v>
      </c>
      <c r="E108" s="3112">
        <v>0.15</v>
      </c>
      <c r="F108" s="3112">
        <v>20</v>
      </c>
    </row>
    <row r="109" spans="1:6" ht="13.5">
      <c r="A109" s="3112">
        <v>37</v>
      </c>
      <c r="B109" s="3770"/>
      <c r="C109" s="3112" t="s">
        <v>2725</v>
      </c>
      <c r="D109" s="3086" t="s">
        <v>2726</v>
      </c>
      <c r="E109" s="3112">
        <v>0.15</v>
      </c>
      <c r="F109" s="3112">
        <v>20</v>
      </c>
    </row>
    <row r="110" spans="1:6" ht="13.5">
      <c r="A110" s="3112">
        <v>38</v>
      </c>
      <c r="B110" s="3770"/>
      <c r="C110" s="3112" t="s">
        <v>2727</v>
      </c>
      <c r="D110" s="3086" t="s">
        <v>2728</v>
      </c>
      <c r="E110" s="3112">
        <v>0.1</v>
      </c>
      <c r="F110" s="3112">
        <v>15</v>
      </c>
    </row>
    <row r="111" spans="1:6" ht="24">
      <c r="A111" s="3112">
        <v>39</v>
      </c>
      <c r="B111" s="3770"/>
      <c r="C111" s="3112" t="s">
        <v>2729</v>
      </c>
      <c r="D111" s="3086" t="s">
        <v>2730</v>
      </c>
      <c r="E111" s="3112">
        <v>0.1</v>
      </c>
      <c r="F111" s="3112">
        <v>15</v>
      </c>
    </row>
    <row r="112" spans="1:6" ht="24">
      <c r="A112" s="3112">
        <v>40</v>
      </c>
      <c r="B112" s="3779"/>
      <c r="C112" s="3112" t="s">
        <v>2731</v>
      </c>
      <c r="D112" s="3086" t="s">
        <v>2732</v>
      </c>
      <c r="E112" s="3112">
        <v>0.1</v>
      </c>
      <c r="F112" s="3112">
        <v>15</v>
      </c>
    </row>
    <row r="113" spans="1:6" ht="13.5">
      <c r="A113" s="3112">
        <v>41</v>
      </c>
      <c r="B113" s="3780" t="s">
        <v>2733</v>
      </c>
      <c r="C113" s="3112" t="s">
        <v>2734</v>
      </c>
      <c r="D113" s="3086" t="s">
        <v>2735</v>
      </c>
      <c r="E113" s="3112">
        <v>0.1</v>
      </c>
      <c r="F113" s="3112">
        <v>15</v>
      </c>
    </row>
    <row r="114" spans="1:6" ht="13.5">
      <c r="A114" s="3112">
        <v>42</v>
      </c>
      <c r="B114" s="3780"/>
      <c r="C114" s="3112" t="s">
        <v>2736</v>
      </c>
      <c r="D114" s="3086" t="s">
        <v>2737</v>
      </c>
      <c r="E114" s="3112">
        <v>0.1</v>
      </c>
      <c r="F114" s="3112">
        <v>15</v>
      </c>
    </row>
    <row r="115" spans="1:6" ht="24">
      <c r="A115" s="3112">
        <v>43</v>
      </c>
      <c r="B115" s="3780"/>
      <c r="C115" s="3112" t="s">
        <v>2738</v>
      </c>
      <c r="D115" s="3086" t="s">
        <v>2739</v>
      </c>
      <c r="E115" s="3112">
        <v>0.1</v>
      </c>
      <c r="F115" s="3112">
        <v>15</v>
      </c>
    </row>
    <row r="116" spans="1:6" ht="13.5">
      <c r="A116" s="3112">
        <v>44</v>
      </c>
      <c r="B116" s="3775" t="s">
        <v>2740</v>
      </c>
      <c r="C116" s="3112" t="s">
        <v>2741</v>
      </c>
      <c r="D116" s="3086" t="s">
        <v>2742</v>
      </c>
      <c r="E116" s="3112">
        <v>0.1</v>
      </c>
      <c r="F116" s="3112">
        <v>15</v>
      </c>
    </row>
    <row r="117" spans="1:6" ht="24">
      <c r="A117" s="3112">
        <v>45</v>
      </c>
      <c r="B117" s="3779"/>
      <c r="C117" s="3086" t="s">
        <v>2743</v>
      </c>
      <c r="D117" s="3086" t="s">
        <v>2744</v>
      </c>
      <c r="E117" s="3112">
        <v>0.1</v>
      </c>
      <c r="F117" s="3112">
        <v>15</v>
      </c>
    </row>
    <row r="118" spans="1:6" ht="24">
      <c r="A118" s="3112">
        <v>46</v>
      </c>
      <c r="B118" s="3775" t="s">
        <v>2745</v>
      </c>
      <c r="C118" s="3112" t="s">
        <v>2746</v>
      </c>
      <c r="D118" s="3086" t="s">
        <v>2747</v>
      </c>
      <c r="E118" s="3112">
        <v>0.1</v>
      </c>
      <c r="F118" s="3112">
        <v>15</v>
      </c>
    </row>
    <row r="119" spans="1:6" ht="24">
      <c r="A119" s="3112">
        <v>47</v>
      </c>
      <c r="B119" s="3779"/>
      <c r="C119" s="3112" t="s">
        <v>2748</v>
      </c>
      <c r="D119" s="3086" t="s">
        <v>2749</v>
      </c>
      <c r="E119" s="3112">
        <v>0.1</v>
      </c>
      <c r="F119" s="3112">
        <v>15</v>
      </c>
    </row>
    <row r="120" spans="1:6" ht="13.5">
      <c r="A120" s="3112">
        <v>48</v>
      </c>
      <c r="B120" s="3775" t="s">
        <v>2750</v>
      </c>
      <c r="C120" s="3112" t="s">
        <v>2751</v>
      </c>
      <c r="D120" s="3086" t="s">
        <v>2752</v>
      </c>
      <c r="E120" s="3112">
        <v>0.1</v>
      </c>
      <c r="F120" s="3112">
        <v>15</v>
      </c>
    </row>
    <row r="121" spans="1:6" ht="13.5">
      <c r="A121" s="3112">
        <v>49</v>
      </c>
      <c r="B121" s="3779"/>
      <c r="C121" s="3112" t="s">
        <v>2753</v>
      </c>
      <c r="D121" s="3086" t="s">
        <v>2754</v>
      </c>
      <c r="E121" s="3112">
        <v>0.1</v>
      </c>
      <c r="F121" s="3112">
        <v>15</v>
      </c>
    </row>
    <row r="122" spans="1:6" ht="24">
      <c r="A122" s="3112">
        <v>50</v>
      </c>
      <c r="B122" s="3780" t="s">
        <v>2755</v>
      </c>
      <c r="C122" s="3112" t="s">
        <v>2756</v>
      </c>
      <c r="D122" s="3086" t="s">
        <v>2757</v>
      </c>
      <c r="E122" s="3112">
        <v>0.1</v>
      </c>
      <c r="F122" s="3112">
        <v>15</v>
      </c>
    </row>
    <row r="123" spans="1:6" ht="24">
      <c r="A123" s="3112">
        <v>51</v>
      </c>
      <c r="B123" s="3780"/>
      <c r="C123" s="3112" t="s">
        <v>2758</v>
      </c>
      <c r="D123" s="3086" t="s">
        <v>2759</v>
      </c>
      <c r="E123" s="3112">
        <v>0.1</v>
      </c>
      <c r="F123" s="3112">
        <v>15</v>
      </c>
    </row>
    <row r="124" spans="1:6" ht="24">
      <c r="A124" s="3112">
        <v>52</v>
      </c>
      <c r="B124" s="3780" t="s">
        <v>2760</v>
      </c>
      <c r="C124" s="3112" t="s">
        <v>2761</v>
      </c>
      <c r="D124" s="3086" t="s">
        <v>2762</v>
      </c>
      <c r="E124" s="3112">
        <v>0.1</v>
      </c>
      <c r="F124" s="3112">
        <v>15</v>
      </c>
    </row>
    <row r="125" spans="1:6" ht="24">
      <c r="A125" s="3112">
        <v>53</v>
      </c>
      <c r="B125" s="3780"/>
      <c r="C125" s="3112" t="s">
        <v>2763</v>
      </c>
      <c r="D125" s="3086" t="s">
        <v>2764</v>
      </c>
      <c r="E125" s="3112">
        <v>0.1</v>
      </c>
      <c r="F125" s="3112">
        <v>15</v>
      </c>
    </row>
    <row r="126" spans="1:6" ht="13.5">
      <c r="A126" s="3112">
        <v>54</v>
      </c>
      <c r="B126" s="3112" t="s">
        <v>2765</v>
      </c>
      <c r="C126" s="3112" t="s">
        <v>2766</v>
      </c>
      <c r="D126" s="3086" t="s">
        <v>2767</v>
      </c>
      <c r="E126" s="3112">
        <v>0.1</v>
      </c>
      <c r="F126" s="3112">
        <v>15</v>
      </c>
    </row>
    <row r="127" spans="1:6" ht="13.5">
      <c r="A127" s="3112">
        <v>55</v>
      </c>
      <c r="B127" s="3780" t="s">
        <v>2768</v>
      </c>
      <c r="C127" s="3112" t="s">
        <v>2769</v>
      </c>
      <c r="D127" s="3086" t="s">
        <v>2770</v>
      </c>
      <c r="E127" s="3112">
        <v>0.1</v>
      </c>
      <c r="F127" s="3112">
        <v>15</v>
      </c>
    </row>
    <row r="128" spans="1:6" ht="13.5">
      <c r="A128" s="3112">
        <v>56</v>
      </c>
      <c r="B128" s="3780"/>
      <c r="C128" s="3112" t="s">
        <v>2771</v>
      </c>
      <c r="D128" s="3086" t="s">
        <v>2772</v>
      </c>
      <c r="E128" s="3112">
        <v>0.1</v>
      </c>
      <c r="F128" s="3112">
        <v>15</v>
      </c>
    </row>
    <row r="129" spans="1:6" ht="24">
      <c r="A129" s="3112">
        <v>57</v>
      </c>
      <c r="B129" s="3780"/>
      <c r="C129" s="3112" t="s">
        <v>2773</v>
      </c>
      <c r="D129" s="3086" t="s">
        <v>2774</v>
      </c>
      <c r="E129" s="3112">
        <v>0.1</v>
      </c>
      <c r="F129" s="3112">
        <v>15</v>
      </c>
    </row>
    <row r="130" spans="1:6" ht="24">
      <c r="A130" s="3112">
        <v>58</v>
      </c>
      <c r="B130" s="3780" t="s">
        <v>2775</v>
      </c>
      <c r="C130" s="3112" t="s">
        <v>2776</v>
      </c>
      <c r="D130" s="3086" t="s">
        <v>2777</v>
      </c>
      <c r="E130" s="3112">
        <v>0.1</v>
      </c>
      <c r="F130" s="3112">
        <v>15</v>
      </c>
    </row>
    <row r="131" spans="1:6" ht="13.5">
      <c r="A131" s="3112">
        <v>59</v>
      </c>
      <c r="B131" s="3780"/>
      <c r="C131" s="3112" t="s">
        <v>2778</v>
      </c>
      <c r="D131" s="3086" t="s">
        <v>2779</v>
      </c>
      <c r="E131" s="3112">
        <v>0.1</v>
      </c>
      <c r="F131" s="3112">
        <v>15</v>
      </c>
    </row>
    <row r="132" spans="1:6" ht="13.5">
      <c r="A132" s="3112">
        <v>60</v>
      </c>
      <c r="B132" s="3775" t="s">
        <v>2780</v>
      </c>
      <c r="C132" s="3112" t="s">
        <v>2781</v>
      </c>
      <c r="D132" s="3086" t="s">
        <v>2782</v>
      </c>
      <c r="E132" s="3112">
        <v>0.1</v>
      </c>
      <c r="F132" s="3112">
        <v>15</v>
      </c>
    </row>
    <row r="133" spans="1:6" ht="13.5">
      <c r="A133" s="3112">
        <v>61</v>
      </c>
      <c r="B133" s="3779"/>
      <c r="C133" s="3112" t="s">
        <v>2783</v>
      </c>
      <c r="D133" s="3086" t="s">
        <v>2784</v>
      </c>
      <c r="E133" s="3112">
        <v>0.1</v>
      </c>
      <c r="F133" s="3112">
        <v>15</v>
      </c>
    </row>
    <row r="134" spans="1:6" ht="24">
      <c r="A134" s="3112">
        <v>62</v>
      </c>
      <c r="B134" s="3112" t="s">
        <v>2785</v>
      </c>
      <c r="C134" s="3112" t="s">
        <v>2786</v>
      </c>
      <c r="D134" s="3086" t="s">
        <v>2787</v>
      </c>
      <c r="E134" s="3112">
        <v>0.1</v>
      </c>
      <c r="F134" s="3112">
        <v>15</v>
      </c>
    </row>
    <row r="135" spans="1:6" ht="13.5">
      <c r="A135" s="3112">
        <v>63</v>
      </c>
      <c r="B135" s="3780" t="s">
        <v>2788</v>
      </c>
      <c r="C135" s="3112" t="s">
        <v>2789</v>
      </c>
      <c r="D135" s="3086" t="s">
        <v>2790</v>
      </c>
      <c r="E135" s="3112">
        <v>0.1</v>
      </c>
      <c r="F135" s="3112">
        <v>15</v>
      </c>
    </row>
    <row r="136" spans="1:6" ht="13.5">
      <c r="A136" s="3112">
        <v>64</v>
      </c>
      <c r="B136" s="3780"/>
      <c r="C136" s="3112" t="s">
        <v>2791</v>
      </c>
      <c r="D136" s="3086" t="s">
        <v>2792</v>
      </c>
      <c r="E136" s="3112">
        <v>0.1</v>
      </c>
      <c r="F136" s="3112">
        <v>15</v>
      </c>
    </row>
    <row r="137" spans="1:6" ht="13.5">
      <c r="A137" s="3112">
        <v>65</v>
      </c>
      <c r="B137" s="3112" t="s">
        <v>2793</v>
      </c>
      <c r="C137" s="3112" t="s">
        <v>2794</v>
      </c>
      <c r="D137" s="3086" t="s">
        <v>2795</v>
      </c>
      <c r="E137" s="3112">
        <v>0.1</v>
      </c>
      <c r="F137" s="3112">
        <v>15</v>
      </c>
    </row>
    <row r="138" spans="1:6" ht="13.5">
      <c r="A138" s="3112"/>
      <c r="B138" s="3112"/>
      <c r="C138" s="3112"/>
      <c r="D138" s="3112"/>
      <c r="E138" s="3112" t="s">
        <v>2796</v>
      </c>
      <c r="F138" s="311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5"/>
    <col min="14" max="16384" width="9" style="750"/>
  </cols>
  <sheetData>
    <row r="1" spans="1:20" ht="15" thickBot="1">
      <c r="A1" s="3121" t="s">
        <v>2797</v>
      </c>
      <c r="B1" s="3121"/>
      <c r="C1" s="3121"/>
      <c r="D1" s="3121"/>
      <c r="E1" s="3121"/>
      <c r="F1" s="3121"/>
      <c r="G1" s="3121"/>
      <c r="H1" s="3121"/>
      <c r="I1" s="3121"/>
      <c r="J1" s="3121"/>
      <c r="K1" s="3121"/>
      <c r="L1" s="3121"/>
      <c r="M1" s="3121"/>
      <c r="N1" s="749"/>
    </row>
    <row r="2" spans="1:20">
      <c r="A2" s="3122" t="s">
        <v>2798</v>
      </c>
      <c r="B2" s="3123" t="s">
        <v>2594</v>
      </c>
      <c r="C2" s="3123" t="s">
        <v>2595</v>
      </c>
      <c r="D2" s="3123" t="s">
        <v>2596</v>
      </c>
      <c r="E2" s="3123" t="s">
        <v>2597</v>
      </c>
      <c r="F2" s="3123" t="s">
        <v>2598</v>
      </c>
      <c r="G2" s="3123" t="s">
        <v>2599</v>
      </c>
      <c r="H2" s="3124" t="s">
        <v>2600</v>
      </c>
      <c r="I2" s="3124" t="s">
        <v>2601</v>
      </c>
      <c r="J2" s="3125" t="s">
        <v>2602</v>
      </c>
      <c r="K2" s="3125" t="s">
        <v>2603</v>
      </c>
      <c r="L2" s="3125" t="s">
        <v>2604</v>
      </c>
      <c r="M2" s="3126" t="s">
        <v>2605</v>
      </c>
      <c r="Q2" s="3136" t="s">
        <v>2803</v>
      </c>
      <c r="R2" s="3136" t="s">
        <v>2804</v>
      </c>
      <c r="S2" s="3136" t="s">
        <v>2805</v>
      </c>
      <c r="T2" s="3136" t="s">
        <v>2806</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51"/>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51"/>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51"/>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2799</v>
      </c>
      <c r="B93" s="3121"/>
      <c r="C93" s="3121"/>
      <c r="D93" s="3121"/>
      <c r="E93" s="3121"/>
      <c r="F93" s="3121"/>
      <c r="G93" s="3121"/>
      <c r="H93" s="3121"/>
      <c r="I93" s="3121"/>
      <c r="J93" s="3121"/>
      <c r="K93" s="3121"/>
      <c r="L93" s="3121"/>
      <c r="M93" s="3121"/>
    </row>
    <row r="94" spans="1:20">
      <c r="A94" s="3122" t="s">
        <v>2798</v>
      </c>
      <c r="B94" s="3123" t="s">
        <v>2594</v>
      </c>
      <c r="C94" s="3123" t="s">
        <v>2595</v>
      </c>
      <c r="D94" s="3123" t="s">
        <v>2596</v>
      </c>
      <c r="E94" s="3123" t="s">
        <v>2597</v>
      </c>
      <c r="F94" s="3123" t="s">
        <v>2598</v>
      </c>
      <c r="G94" s="3123" t="s">
        <v>2599</v>
      </c>
      <c r="H94" s="3124" t="s">
        <v>2600</v>
      </c>
      <c r="I94" s="3124" t="s">
        <v>2601</v>
      </c>
      <c r="J94" s="3125" t="s">
        <v>2602</v>
      </c>
      <c r="K94" s="3125" t="s">
        <v>2603</v>
      </c>
      <c r="L94" s="3125" t="s">
        <v>2604</v>
      </c>
      <c r="M94" s="3126" t="s">
        <v>2605</v>
      </c>
      <c r="N94" s="750">
        <f>SUMPRODUCT((A95:A184=ROUNDDOWN(基准地价修正!G3,1))*(B94:M94=基准地价修正!G2)*(B95:M184))</f>
        <v>0.93700000000000006</v>
      </c>
      <c r="Q94" s="3136" t="s">
        <v>2803</v>
      </c>
      <c r="R94" s="3136" t="s">
        <v>2804</v>
      </c>
      <c r="S94" s="3136" t="s">
        <v>2805</v>
      </c>
      <c r="T94" s="3136" t="s">
        <v>2806</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9"/>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9"/>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2800</v>
      </c>
      <c r="B185" s="3121"/>
      <c r="C185" s="3121"/>
      <c r="D185" s="3121"/>
      <c r="E185" s="3121"/>
      <c r="F185" s="3121"/>
      <c r="G185" s="3121"/>
      <c r="H185" s="3121"/>
      <c r="I185" s="3121"/>
      <c r="J185" s="3121"/>
      <c r="K185" s="3121"/>
      <c r="L185" s="3121"/>
      <c r="M185" s="3121"/>
    </row>
    <row r="186" spans="1:20">
      <c r="A186" s="3122" t="s">
        <v>2798</v>
      </c>
      <c r="B186" s="3123" t="s">
        <v>2594</v>
      </c>
      <c r="C186" s="3123" t="s">
        <v>2595</v>
      </c>
      <c r="D186" s="3123" t="s">
        <v>2596</v>
      </c>
      <c r="E186" s="3123" t="s">
        <v>2597</v>
      </c>
      <c r="F186" s="3123" t="s">
        <v>2598</v>
      </c>
      <c r="G186" s="3123" t="s">
        <v>2599</v>
      </c>
      <c r="H186" s="3124" t="s">
        <v>2600</v>
      </c>
      <c r="I186" s="3124" t="s">
        <v>2601</v>
      </c>
      <c r="J186" s="3125" t="s">
        <v>2602</v>
      </c>
      <c r="K186" s="3125" t="s">
        <v>2603</v>
      </c>
      <c r="L186" s="3125" t="s">
        <v>2604</v>
      </c>
      <c r="M186" s="3126" t="s">
        <v>2605</v>
      </c>
      <c r="Q186" s="3136" t="s">
        <v>2803</v>
      </c>
      <c r="R186" s="3136" t="s">
        <v>2804</v>
      </c>
      <c r="S186" s="3136" t="s">
        <v>2805</v>
      </c>
      <c r="T186" s="3136" t="s">
        <v>2806</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2801</v>
      </c>
      <c r="B277" s="3121"/>
      <c r="C277" s="3121"/>
      <c r="D277" s="3121"/>
      <c r="E277" s="3121"/>
      <c r="F277" s="3121"/>
      <c r="G277" s="3121"/>
      <c r="H277" s="3121"/>
      <c r="I277" s="3121"/>
      <c r="J277" s="3121"/>
      <c r="K277" s="3121"/>
      <c r="L277" s="3121"/>
      <c r="M277" s="3121"/>
    </row>
    <row r="278" spans="1:21">
      <c r="A278" s="3122" t="s">
        <v>2798</v>
      </c>
      <c r="B278" s="3123" t="s">
        <v>2594</v>
      </c>
      <c r="C278" s="3123" t="s">
        <v>2595</v>
      </c>
      <c r="D278" s="3123" t="s">
        <v>2596</v>
      </c>
      <c r="E278" s="3123" t="s">
        <v>2597</v>
      </c>
      <c r="F278" s="3123" t="s">
        <v>2598</v>
      </c>
      <c r="G278" s="3123" t="s">
        <v>2599</v>
      </c>
      <c r="H278" s="3124" t="s">
        <v>2600</v>
      </c>
      <c r="I278" s="3124" t="s">
        <v>2601</v>
      </c>
      <c r="J278" s="3125" t="s">
        <v>2602</v>
      </c>
      <c r="K278" s="3125" t="s">
        <v>2603</v>
      </c>
      <c r="L278" s="3125" t="s">
        <v>2604</v>
      </c>
      <c r="M278" s="3126" t="s">
        <v>2605</v>
      </c>
      <c r="Q278" s="3136" t="s">
        <v>2803</v>
      </c>
      <c r="R278" s="3136" t="s">
        <v>2804</v>
      </c>
      <c r="S278" s="3136" t="s">
        <v>2807</v>
      </c>
      <c r="T278" s="3136" t="s">
        <v>2808</v>
      </c>
      <c r="U278" s="3136" t="s">
        <v>2806</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2802</v>
      </c>
      <c r="B369" s="3134"/>
      <c r="C369" s="3134"/>
      <c r="D369" s="3134"/>
      <c r="E369" s="3134"/>
      <c r="F369" s="3134"/>
      <c r="G369" s="3134"/>
      <c r="H369" s="3134"/>
      <c r="I369" s="3134"/>
      <c r="J369" s="3134"/>
      <c r="K369" s="3134"/>
      <c r="L369" s="3134"/>
      <c r="M369" s="3134"/>
    </row>
    <row r="370" spans="1:20">
      <c r="A370" s="3122" t="s">
        <v>2798</v>
      </c>
      <c r="B370" s="3123" t="s">
        <v>2594</v>
      </c>
      <c r="C370" s="3123" t="s">
        <v>2595</v>
      </c>
      <c r="D370" s="3123" t="s">
        <v>2596</v>
      </c>
      <c r="E370" s="3123" t="s">
        <v>2597</v>
      </c>
      <c r="F370" s="3123" t="s">
        <v>2598</v>
      </c>
      <c r="G370" s="3123" t="s">
        <v>2599</v>
      </c>
      <c r="H370" s="3124" t="s">
        <v>2600</v>
      </c>
      <c r="I370" s="3124" t="s">
        <v>2601</v>
      </c>
      <c r="J370" s="3125" t="s">
        <v>2602</v>
      </c>
      <c r="K370" s="3125" t="s">
        <v>2603</v>
      </c>
      <c r="L370" s="3125" t="s">
        <v>2604</v>
      </c>
      <c r="M370" s="3126" t="s">
        <v>2605</v>
      </c>
      <c r="N370" s="750">
        <f>SUMPRODUCT((A371:A460=ROUNDDOWN(基准地价修正!G3,1))*(B370:M370=基准地价修正!G2)*(B371:M460))</f>
        <v>0.89129999999999998</v>
      </c>
      <c r="Q370" s="3136" t="s">
        <v>2803</v>
      </c>
      <c r="R370" s="3136" t="s">
        <v>2804</v>
      </c>
      <c r="S370" s="3136" t="s">
        <v>2805</v>
      </c>
      <c r="T370" s="3136" t="s">
        <v>2806</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28429</v>
      </c>
      <c r="C2" s="2" t="s">
        <v>106</v>
      </c>
      <c r="D2" s="199"/>
      <c r="E2" s="199"/>
      <c r="F2" s="199"/>
      <c r="G2" s="199"/>
    </row>
    <row r="3" spans="1:7" s="200" customFormat="1" ht="18" customHeight="1" thickBot="1">
      <c r="A3" s="203" t="s">
        <v>58</v>
      </c>
      <c r="B3" s="204">
        <f ca="1">ROUND(B2*10000/'数据-汇总表'!E3,0)</f>
        <v>4052602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70.150000000000006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70.150000000000006</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2024</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3153</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3153</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28396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70.150000000000006</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1E-3</v>
      </c>
      <c r="D44" s="238"/>
      <c r="E44" s="238"/>
      <c r="F44" s="239"/>
      <c r="G44" s="3647"/>
    </row>
    <row r="45" spans="1:7" s="214" customFormat="1" ht="13.5" customHeight="1">
      <c r="A45" s="777" t="s">
        <v>341</v>
      </c>
      <c r="B45" s="244" t="s">
        <v>85</v>
      </c>
      <c r="C45" s="245">
        <f>C46</f>
        <v>5</v>
      </c>
      <c r="D45" s="235">
        <f>C47</f>
        <v>3.0000000000000001E-3</v>
      </c>
      <c r="E45" s="236" t="s">
        <v>102</v>
      </c>
      <c r="F45" s="246"/>
      <c r="G45" s="247" t="s">
        <v>434</v>
      </c>
    </row>
    <row r="46" spans="1:7" s="214" customFormat="1" ht="13.5" customHeight="1">
      <c r="A46" s="780" t="s">
        <v>349</v>
      </c>
      <c r="B46" s="248" t="s">
        <v>427</v>
      </c>
      <c r="C46" s="249">
        <f>ROUND((C33+C39)*F27,0)</f>
        <v>5</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40</v>
      </c>
      <c r="D49" s="232"/>
      <c r="E49" s="232"/>
      <c r="F49" s="264"/>
      <c r="G49" s="234" t="s">
        <v>435</v>
      </c>
    </row>
    <row r="50" spans="1:7" s="258" customFormat="1" ht="24">
      <c r="A50" s="777" t="s">
        <v>344</v>
      </c>
      <c r="B50" s="210" t="s">
        <v>97</v>
      </c>
      <c r="C50" s="232"/>
      <c r="D50" s="232"/>
      <c r="E50" s="232"/>
      <c r="F50" s="264">
        <f>IF('数据-取费表'!B24=0,'数据-取费表'!N16,1)</f>
        <v>0.83499999999999996</v>
      </c>
      <c r="G50" s="247" t="s">
        <v>98</v>
      </c>
    </row>
    <row r="51" spans="1:7" ht="16.5" customHeight="1">
      <c r="A51" s="777" t="s">
        <v>345</v>
      </c>
      <c r="B51" s="210" t="s">
        <v>105</v>
      </c>
      <c r="C51" s="232">
        <f ca="1">ROUND(C49*F50,0)</f>
        <v>33</v>
      </c>
      <c r="D51" s="232"/>
      <c r="E51" s="232"/>
      <c r="F51" s="264"/>
      <c r="G51" s="234" t="s">
        <v>37</v>
      </c>
    </row>
    <row r="52" spans="1:7" s="208" customFormat="1" ht="16.5" thickBot="1">
      <c r="A52" s="265" t="s">
        <v>38</v>
      </c>
      <c r="B52" s="266"/>
      <c r="C52" s="267">
        <f ca="1">C31+C51</f>
        <v>28429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783" t="s">
        <v>2842</v>
      </c>
      <c r="B1" s="3783"/>
      <c r="C1" s="3783"/>
      <c r="D1" s="3783"/>
      <c r="E1" s="3783"/>
      <c r="F1" s="3783"/>
      <c r="G1" s="3784"/>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2"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781" t="s">
        <v>2869</v>
      </c>
      <c r="B3" s="3224"/>
      <c r="C3" s="3225" t="s">
        <v>2810</v>
      </c>
      <c r="D3" s="3225" t="s">
        <v>2870</v>
      </c>
      <c r="E3" s="3225" t="s">
        <v>2812</v>
      </c>
      <c r="F3" s="3225" t="s">
        <v>2871</v>
      </c>
      <c r="G3" s="3225" t="s">
        <v>2630</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2" thickBot="1">
      <c r="A4" s="3782"/>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2"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2"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2"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2"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785" t="s">
        <v>3184</v>
      </c>
      <c r="B1" s="3785"/>
    </row>
    <row r="2" spans="1:7" ht="14.25" thickBot="1">
      <c r="A2" s="3249"/>
      <c r="B2" s="3249"/>
    </row>
    <row r="3" spans="1:7" ht="14.25" thickBot="1">
      <c r="A3" s="3249"/>
      <c r="B3" s="3249"/>
      <c r="C3" s="3250" t="s">
        <v>2810</v>
      </c>
      <c r="D3" s="3250" t="s">
        <v>2870</v>
      </c>
      <c r="E3" s="3250" t="s">
        <v>2812</v>
      </c>
      <c r="F3" s="3250" t="s">
        <v>2871</v>
      </c>
      <c r="G3" s="3250" t="s">
        <v>2630</v>
      </c>
    </row>
    <row r="4" spans="1:7" ht="14.2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4.2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4.2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4.2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4.2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4.2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4.2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4.2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4.2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4.2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4.2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4"/>
  </cols>
  <sheetData>
    <row r="1" spans="1:6" ht="15">
      <c r="A1" s="3786" t="s">
        <v>3235</v>
      </c>
      <c r="B1" s="3786"/>
      <c r="C1" s="3786"/>
      <c r="D1" s="3786"/>
      <c r="E1" s="3786"/>
      <c r="F1" s="3787"/>
    </row>
    <row r="2" spans="1:6" ht="15">
      <c r="A2" s="3285" t="s">
        <v>3236</v>
      </c>
      <c r="B2" s="3286"/>
      <c r="C2" s="3286"/>
      <c r="D2" s="3286"/>
      <c r="E2" s="3286"/>
      <c r="F2" s="3286"/>
    </row>
    <row r="3" spans="1:6" ht="15">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5">
        <f>基准地价修正!G23</f>
        <v>45013</v>
      </c>
      <c r="B1" s="3204" t="s">
        <v>2841</v>
      </c>
      <c r="C1" s="3205"/>
      <c r="D1" s="3205"/>
      <c r="E1" s="3205"/>
      <c r="F1" s="3205"/>
      <c r="G1" s="3205"/>
      <c r="H1" s="3205"/>
      <c r="I1" s="3205"/>
      <c r="J1" s="3159"/>
      <c r="K1" s="3205" t="s">
        <v>454</v>
      </c>
      <c r="L1" s="3205"/>
      <c r="M1" s="3205"/>
      <c r="N1" s="3205"/>
      <c r="O1" s="3205"/>
      <c r="P1" s="3205"/>
      <c r="Q1" s="3159"/>
      <c r="R1" s="3788" t="s">
        <v>456</v>
      </c>
      <c r="S1" s="3789"/>
      <c r="T1" s="3789"/>
      <c r="U1" s="3789"/>
      <c r="V1" s="3789"/>
      <c r="W1" s="3789"/>
      <c r="X1" s="3159"/>
      <c r="Y1" s="3788" t="s">
        <v>457</v>
      </c>
      <c r="Z1" s="3789"/>
      <c r="AA1" s="3789"/>
      <c r="AB1" s="3789"/>
      <c r="AC1" s="3789"/>
      <c r="AD1" s="3789"/>
    </row>
    <row r="2" spans="1:30" s="3137" customFormat="1" ht="14.25" thickBot="1">
      <c r="B2" s="3138"/>
      <c r="C2" s="3139"/>
      <c r="D2" s="3140" t="s">
        <v>2809</v>
      </c>
      <c r="E2" s="3141" t="s">
        <v>2810</v>
      </c>
      <c r="F2" s="3141" t="s">
        <v>2811</v>
      </c>
      <c r="G2" s="3141" t="s">
        <v>2812</v>
      </c>
      <c r="H2" s="3141" t="s">
        <v>2813</v>
      </c>
      <c r="I2" s="3141" t="s">
        <v>2630</v>
      </c>
      <c r="J2" s="3142"/>
      <c r="K2" s="3140" t="s">
        <v>2809</v>
      </c>
      <c r="L2" s="3141" t="s">
        <v>2810</v>
      </c>
      <c r="M2" s="3141" t="s">
        <v>2811</v>
      </c>
      <c r="N2" s="3141" t="s">
        <v>2812</v>
      </c>
      <c r="O2" s="3141" t="s">
        <v>2814</v>
      </c>
      <c r="P2" s="3141" t="s">
        <v>2630</v>
      </c>
      <c r="Q2" s="3142"/>
      <c r="R2" s="3140" t="s">
        <v>2809</v>
      </c>
      <c r="S2" s="3141" t="s">
        <v>2810</v>
      </c>
      <c r="T2" s="3141" t="s">
        <v>2811</v>
      </c>
      <c r="U2" s="3141" t="s">
        <v>2815</v>
      </c>
      <c r="V2" s="3141" t="s">
        <v>2816</v>
      </c>
      <c r="W2" s="3141" t="s">
        <v>2630</v>
      </c>
      <c r="X2" s="3142"/>
      <c r="Y2" s="3140" t="s">
        <v>2809</v>
      </c>
      <c r="Z2" s="3141" t="s">
        <v>2810</v>
      </c>
      <c r="AA2" s="3141" t="s">
        <v>2811</v>
      </c>
      <c r="AB2" s="3141" t="s">
        <v>2817</v>
      </c>
      <c r="AC2" s="3141" t="s">
        <v>2816</v>
      </c>
      <c r="AD2" s="3141" t="s">
        <v>2630</v>
      </c>
    </row>
    <row r="3" spans="1:30" s="3155" customFormat="1" ht="12.75">
      <c r="A3" s="3143" t="s">
        <v>2818</v>
      </c>
      <c r="B3" s="3144"/>
      <c r="C3" s="3145"/>
      <c r="D3" s="3145">
        <f>ROUND(AVERAGEIF(D4:D16,"&lt;&gt;0"),2)</f>
        <v>0.81</v>
      </c>
      <c r="E3" s="3145">
        <f t="shared" ref="E3:H3" si="0">ROUND(AVERAGEIF(E4:E16,"&lt;&gt;0"),2)</f>
        <v>0.33</v>
      </c>
      <c r="F3" s="3145">
        <f t="shared" si="0"/>
        <v>0.15</v>
      </c>
      <c r="G3" s="3145">
        <f t="shared" si="0"/>
        <v>0.89</v>
      </c>
      <c r="H3" s="3145">
        <f t="shared" si="0"/>
        <v>0.66</v>
      </c>
      <c r="I3" s="3145">
        <f>F3</f>
        <v>0.15</v>
      </c>
      <c r="J3" s="3146"/>
      <c r="K3" s="3147">
        <f>ROUND(AVERAGEIF(K4:K16,"&lt;&gt;0"),4)</f>
        <v>8.0999999999999996E-3</v>
      </c>
      <c r="L3" s="3148">
        <f t="shared" ref="L3:O3" si="1">ROUND(AVERAGEIF(L4:L16,"&lt;&gt;0"),4)</f>
        <v>3.3E-3</v>
      </c>
      <c r="M3" s="3148">
        <f t="shared" si="1"/>
        <v>1.5E-3</v>
      </c>
      <c r="N3" s="3148">
        <f t="shared" si="1"/>
        <v>8.8999999999999999E-3</v>
      </c>
      <c r="O3" s="3148">
        <f t="shared" si="1"/>
        <v>6.6E-3</v>
      </c>
      <c r="P3" s="3148">
        <f>M3</f>
        <v>1.5E-3</v>
      </c>
      <c r="Q3" s="3146"/>
      <c r="R3" s="3149">
        <f>ROUND(SUMPRODUCT(PRODUCT(1+K4:K16)),4)</f>
        <v>1.0668</v>
      </c>
      <c r="S3" s="3150">
        <f t="shared" ref="S3:V3" si="2">ROUND(SUMPRODUCT(PRODUCT(1+L4:L16)),4)</f>
        <v>1.0266999999999999</v>
      </c>
      <c r="T3" s="3150">
        <f t="shared" si="2"/>
        <v>1.0119</v>
      </c>
      <c r="U3" s="3150">
        <f t="shared" si="2"/>
        <v>1.0734999999999999</v>
      </c>
      <c r="V3" s="3150">
        <f t="shared" si="2"/>
        <v>1.054</v>
      </c>
      <c r="W3" s="3149">
        <f>T3</f>
        <v>1.0119</v>
      </c>
      <c r="X3" s="3146"/>
      <c r="Y3" s="3151">
        <f>ROUND(AVERAGEIF(Y5:Y16,"&lt;&gt;0"),4)</f>
        <v>8.6999999999999994E-3</v>
      </c>
      <c r="Z3" s="3152">
        <f t="shared" ref="Z3:AC3" si="3">ROUND(AVERAGEIF(Z5:Z16,"&lt;&gt;0"),4)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3170" t="s">
        <v>3373</v>
      </c>
      <c r="B5" s="3171">
        <v>2023</v>
      </c>
      <c r="C5" s="3172">
        <v>4</v>
      </c>
      <c r="D5" s="3173">
        <v>0</v>
      </c>
      <c r="E5" s="3173">
        <v>0</v>
      </c>
      <c r="F5" s="3173">
        <v>0</v>
      </c>
      <c r="G5" s="3173">
        <v>0</v>
      </c>
      <c r="H5" s="3173">
        <v>0</v>
      </c>
      <c r="I5" s="3174">
        <f t="shared" ref="I5:I16" si="4">F5</f>
        <v>0</v>
      </c>
      <c r="J5" s="3175"/>
      <c r="K5" s="3176">
        <f t="shared" ref="K5:O16" si="5">D5/100</f>
        <v>0</v>
      </c>
      <c r="L5" s="3166">
        <f t="shared" si="5"/>
        <v>0</v>
      </c>
      <c r="M5" s="3166">
        <f t="shared" si="5"/>
        <v>0</v>
      </c>
      <c r="N5" s="3166">
        <f t="shared" si="5"/>
        <v>0</v>
      </c>
      <c r="O5" s="3166">
        <f t="shared" si="5"/>
        <v>0</v>
      </c>
      <c r="P5" s="3166">
        <f>M5</f>
        <v>0</v>
      </c>
      <c r="Q5" s="3175"/>
      <c r="R5" s="3177">
        <f>ROUND(IF(项目基本情况!$B$8="出让",SUMPRODUCT(PRODUCT(1+K5:$K$16)),SUMPRODUCT(PRODUCT(1+K5:$K$15))),4)</f>
        <v>1.0565</v>
      </c>
      <c r="S5" s="3177">
        <f>ROUND(IF(项目基本情况!$B$8="出让",SUMPRODUCT(PRODUCT(1+L5:$L$16)),SUMPRODUCT(PRODUCT(1+L5:$L$15))),4)</f>
        <v>1.0250999999999999</v>
      </c>
      <c r="T5" s="3177">
        <f>ROUND(IF(项目基本情况!$B$8="出让",SUMPRODUCT(PRODUCT(1+M5:$M$16)),SUMPRODUCT(PRODUCT(1+M5:$M$15))),4)</f>
        <v>1.0145</v>
      </c>
      <c r="U5" s="3177">
        <f>ROUND(IF(项目基本情况!$B$8="出让",SUMPRODUCT(PRODUCT(1+N5:$N$16)),SUMPRODUCT(PRODUCT(1+N5:$N$15))),4)</f>
        <v>1.0618000000000001</v>
      </c>
      <c r="V5" s="3177">
        <f>ROUND(IF(项目基本情况!$B$8="出让",SUMPRODUCT(PRODUCT(1+O5:$O$16)),SUMPRODUCT(PRODUCT(1+O5:$O$15))),4)</f>
        <v>1.0502</v>
      </c>
      <c r="W5" s="3177">
        <f>T5</f>
        <v>1.0145</v>
      </c>
      <c r="X5" s="3175"/>
      <c r="Y5" s="3178">
        <f>IF(D5=0,0,ROUND(AVERAGE(D5:D16)/100,4))</f>
        <v>0</v>
      </c>
      <c r="Z5" s="3178">
        <f t="shared" ref="Z5:AC5" si="6">IF(E5=0,0,ROUND(AVERAGE(E5:E16)/100,4))</f>
        <v>0</v>
      </c>
      <c r="AA5" s="3178">
        <f t="shared" si="6"/>
        <v>0</v>
      </c>
      <c r="AB5" s="3178">
        <f t="shared" si="6"/>
        <v>0</v>
      </c>
      <c r="AC5" s="3178">
        <f t="shared" si="6"/>
        <v>0</v>
      </c>
      <c r="AD5" s="3178">
        <f t="shared" ref="AD5:AD15" si="7">AA5</f>
        <v>0</v>
      </c>
    </row>
    <row r="6" spans="1:30" s="3179" customFormat="1" ht="12.75">
      <c r="A6" s="3170" t="s">
        <v>3374</v>
      </c>
      <c r="B6" s="3171">
        <v>2023</v>
      </c>
      <c r="C6" s="3172">
        <v>3</v>
      </c>
      <c r="D6" s="3173">
        <v>0</v>
      </c>
      <c r="E6" s="3173">
        <v>0</v>
      </c>
      <c r="F6" s="3173">
        <v>0</v>
      </c>
      <c r="G6" s="3173">
        <v>0</v>
      </c>
      <c r="H6" s="3173">
        <v>0</v>
      </c>
      <c r="I6" s="3174">
        <f t="shared" si="4"/>
        <v>0</v>
      </c>
      <c r="J6" s="3175"/>
      <c r="K6" s="3176">
        <f t="shared" ref="K6:K8" si="8">D6/100</f>
        <v>0</v>
      </c>
      <c r="L6" s="3166">
        <f t="shared" ref="L6:L8" si="9">E6/100</f>
        <v>0</v>
      </c>
      <c r="M6" s="3166">
        <f t="shared" ref="M6:M8" si="10">F6/100</f>
        <v>0</v>
      </c>
      <c r="N6" s="3166">
        <f t="shared" ref="N6:N8" si="11">G6/100</f>
        <v>0</v>
      </c>
      <c r="O6" s="3166">
        <f t="shared" ref="O6:O8" si="12">H6/100</f>
        <v>0</v>
      </c>
      <c r="P6" s="3166">
        <f t="shared" ref="P6:P8" si="13">M6</f>
        <v>0</v>
      </c>
      <c r="Q6" s="3175"/>
      <c r="R6" s="3177">
        <f>ROUND(IF(项目基本情况!$B$8="出让",SUMPRODUCT(PRODUCT(1+K6:$K$16)),SUMPRODUCT(PRODUCT(1+K6:$K$15))),4)</f>
        <v>1.0565</v>
      </c>
      <c r="S6" s="3177">
        <f>ROUND(IF(项目基本情况!$B$8="出让",SUMPRODUCT(PRODUCT(1+L6:$L$16)),SUMPRODUCT(PRODUCT(1+L6:$L$15))),4)</f>
        <v>1.0250999999999999</v>
      </c>
      <c r="T6" s="3177">
        <f>ROUND(IF(项目基本情况!$B$8="出让",SUMPRODUCT(PRODUCT(1+M6:$M$16)),SUMPRODUCT(PRODUCT(1+M6:$M$15))),4)</f>
        <v>1.0145</v>
      </c>
      <c r="U6" s="3177">
        <f>ROUND(IF(项目基本情况!$B$8="出让",SUMPRODUCT(PRODUCT(1+N6:$N$16)),SUMPRODUCT(PRODUCT(1+N6:$N$15))),4)</f>
        <v>1.0618000000000001</v>
      </c>
      <c r="V6" s="3177">
        <f>ROUND(IF(项目基本情况!$B$8="出让",SUMPRODUCT(PRODUCT(1+O6:$O$16)),SUMPRODUCT(PRODUCT(1+O6:$O$15))),4)</f>
        <v>1.0502</v>
      </c>
      <c r="W6" s="3177">
        <f t="shared" ref="W6:W8" si="14">T6</f>
        <v>1.0145</v>
      </c>
      <c r="X6" s="3175"/>
      <c r="Y6" s="3178"/>
      <c r="Z6" s="3178"/>
      <c r="AA6" s="3178"/>
      <c r="AB6" s="3178"/>
      <c r="AC6" s="3178"/>
      <c r="AD6" s="3178"/>
    </row>
    <row r="7" spans="1:30" s="3179" customFormat="1" ht="12.75">
      <c r="A7" s="3170" t="s">
        <v>3372</v>
      </c>
      <c r="B7" s="3171">
        <v>2023</v>
      </c>
      <c r="C7" s="3172">
        <v>2</v>
      </c>
      <c r="D7" s="3173">
        <v>0</v>
      </c>
      <c r="E7" s="3173">
        <v>0</v>
      </c>
      <c r="F7" s="3173">
        <v>0</v>
      </c>
      <c r="G7" s="3173">
        <v>0</v>
      </c>
      <c r="H7" s="3173">
        <v>0</v>
      </c>
      <c r="I7" s="3174">
        <f t="shared" si="4"/>
        <v>0</v>
      </c>
      <c r="J7" s="3175"/>
      <c r="K7" s="3176">
        <f t="shared" si="8"/>
        <v>0</v>
      </c>
      <c r="L7" s="3166">
        <f t="shared" si="9"/>
        <v>0</v>
      </c>
      <c r="M7" s="3166">
        <f t="shared" si="10"/>
        <v>0</v>
      </c>
      <c r="N7" s="3166">
        <f t="shared" si="11"/>
        <v>0</v>
      </c>
      <c r="O7" s="3166">
        <f t="shared" si="12"/>
        <v>0</v>
      </c>
      <c r="P7" s="3166">
        <f t="shared" si="13"/>
        <v>0</v>
      </c>
      <c r="Q7" s="3175"/>
      <c r="R7" s="3177">
        <f>ROUND(IF(项目基本情况!$B$8="出让",SUMPRODUCT(PRODUCT(1+K7:$K$16)),SUMPRODUCT(PRODUCT(1+K7:$K$15))),4)</f>
        <v>1.0565</v>
      </c>
      <c r="S7" s="3177">
        <f>ROUND(IF(项目基本情况!$B$8="出让",SUMPRODUCT(PRODUCT(1+L7:$L$16)),SUMPRODUCT(PRODUCT(1+L7:$L$15))),4)</f>
        <v>1.0250999999999999</v>
      </c>
      <c r="T7" s="3177">
        <f>ROUND(IF(项目基本情况!$B$8="出让",SUMPRODUCT(PRODUCT(1+M7:$M$16)),SUMPRODUCT(PRODUCT(1+M7:$M$15))),4)</f>
        <v>1.0145</v>
      </c>
      <c r="U7" s="3177">
        <f>ROUND(IF(项目基本情况!$B$8="出让",SUMPRODUCT(PRODUCT(1+N7:$N$16)),SUMPRODUCT(PRODUCT(1+N7:$N$15))),4)</f>
        <v>1.0618000000000001</v>
      </c>
      <c r="V7" s="3177">
        <f>ROUND(IF(项目基本情况!$B$8="出让",SUMPRODUCT(PRODUCT(1+O7:$O$16)),SUMPRODUCT(PRODUCT(1+O7:$O$15))),4)</f>
        <v>1.0502</v>
      </c>
      <c r="W7" s="3177">
        <f t="shared" si="14"/>
        <v>1.0145</v>
      </c>
      <c r="X7" s="3175"/>
      <c r="Y7" s="3178"/>
      <c r="Z7" s="3178"/>
      <c r="AA7" s="3178"/>
      <c r="AB7" s="3178"/>
      <c r="AC7" s="3178"/>
      <c r="AD7" s="3178"/>
    </row>
    <row r="8" spans="1:30" s="3179" customFormat="1" ht="12.75">
      <c r="A8" s="3170" t="s">
        <v>2819</v>
      </c>
      <c r="B8" s="3171">
        <v>2023</v>
      </c>
      <c r="C8" s="3172">
        <v>1</v>
      </c>
      <c r="D8" s="3173">
        <v>0</v>
      </c>
      <c r="E8" s="3173">
        <v>0</v>
      </c>
      <c r="F8" s="3173">
        <v>0</v>
      </c>
      <c r="G8" s="3173">
        <v>0</v>
      </c>
      <c r="H8" s="3173">
        <v>0</v>
      </c>
      <c r="I8" s="3174">
        <f t="shared" si="4"/>
        <v>0</v>
      </c>
      <c r="J8" s="3175"/>
      <c r="K8" s="3176">
        <f t="shared" si="8"/>
        <v>0</v>
      </c>
      <c r="L8" s="3166">
        <f t="shared" si="9"/>
        <v>0</v>
      </c>
      <c r="M8" s="3166">
        <f t="shared" si="10"/>
        <v>0</v>
      </c>
      <c r="N8" s="3166">
        <f t="shared" si="11"/>
        <v>0</v>
      </c>
      <c r="O8" s="3166">
        <f t="shared" si="12"/>
        <v>0</v>
      </c>
      <c r="P8" s="3166">
        <f t="shared" si="13"/>
        <v>0</v>
      </c>
      <c r="Q8" s="3175"/>
      <c r="R8" s="3177">
        <f>ROUND(IF(项目基本情况!$B$8="出让",SUMPRODUCT(PRODUCT(1+K8:$K$16)),SUMPRODUCT(PRODUCT(1+K8:$K$15))),4)</f>
        <v>1.0565</v>
      </c>
      <c r="S8" s="3177">
        <f>ROUND(IF(项目基本情况!$B$8="出让",SUMPRODUCT(PRODUCT(1+L8:$L$16)),SUMPRODUCT(PRODUCT(1+L8:$L$15))),4)</f>
        <v>1.0250999999999999</v>
      </c>
      <c r="T8" s="3177">
        <f>ROUND(IF(项目基本情况!$B$8="出让",SUMPRODUCT(PRODUCT(1+M8:$M$16)),SUMPRODUCT(PRODUCT(1+M8:$M$15))),4)</f>
        <v>1.0145</v>
      </c>
      <c r="U8" s="3177">
        <f>ROUND(IF(项目基本情况!$B$8="出让",SUMPRODUCT(PRODUCT(1+N8:$N$16)),SUMPRODUCT(PRODUCT(1+N8:$N$15))),4)</f>
        <v>1.0618000000000001</v>
      </c>
      <c r="V8" s="3177">
        <f>ROUND(IF(项目基本情况!$B$8="出让",SUMPRODUCT(PRODUCT(1+O8:$O$16)),SUMPRODUCT(PRODUCT(1+O8:$O$15))),4)</f>
        <v>1.0502</v>
      </c>
      <c r="W8" s="3177">
        <f t="shared" si="14"/>
        <v>1.0145</v>
      </c>
      <c r="X8" s="3175"/>
      <c r="Y8" s="3178"/>
      <c r="Z8" s="3178"/>
      <c r="AA8" s="3178"/>
      <c r="AB8" s="3178"/>
      <c r="AC8" s="3178"/>
      <c r="AD8" s="3178"/>
    </row>
    <row r="9" spans="1:30" s="3189" customFormat="1" ht="12.75">
      <c r="A9" s="3180" t="s">
        <v>2820</v>
      </c>
      <c r="B9" s="3181">
        <v>2022</v>
      </c>
      <c r="C9" s="3182">
        <v>4</v>
      </c>
      <c r="D9" s="3183">
        <v>0.62</v>
      </c>
      <c r="E9" s="3183">
        <v>0.2</v>
      </c>
      <c r="F9" s="3183">
        <v>0.11</v>
      </c>
      <c r="G9" s="3183">
        <v>0.69</v>
      </c>
      <c r="H9" s="3184">
        <v>0.53</v>
      </c>
      <c r="I9" s="3185">
        <f t="shared" si="4"/>
        <v>0.11</v>
      </c>
      <c r="J9" s="3186"/>
      <c r="K9" s="3187">
        <f t="shared" si="5"/>
        <v>6.1999999999999998E-3</v>
      </c>
      <c r="L9" s="3188">
        <f t="shared" si="5"/>
        <v>2E-3</v>
      </c>
      <c r="M9" s="3188">
        <f t="shared" si="5"/>
        <v>1.1000000000000001E-3</v>
      </c>
      <c r="N9" s="3188">
        <f t="shared" si="5"/>
        <v>6.8999999999999999E-3</v>
      </c>
      <c r="O9" s="3188">
        <f t="shared" si="5"/>
        <v>5.3E-3</v>
      </c>
      <c r="P9" s="3188">
        <f t="shared" ref="P9:P16" si="15">M9</f>
        <v>1.1000000000000001E-3</v>
      </c>
      <c r="Q9" s="3186"/>
      <c r="R9" s="3186">
        <f>ROUND(IF([2]项目基本情况!B8="出让",SUMPRODUCT(PRODUCT(1+K9:K16)),SUMPRODUCT(PRODUCT(1+K9:K15))),4)</f>
        <v>1.0565</v>
      </c>
      <c r="S9" s="3186">
        <f>ROUND(IF([2]项目基本情况!B8="出让",SUMPRODUCT(PRODUCT(1+L9:L16)),SUMPRODUCT(PRODUCT(1+L9:L15))),4)</f>
        <v>1.0250999999999999</v>
      </c>
      <c r="T9" s="3186">
        <f>ROUND(IF([2]项目基本情况!B8="出让",SUMPRODUCT(PRODUCT(1+M9:M16)),SUMPRODUCT(PRODUCT(1+M9:M15))),4)</f>
        <v>1.0145</v>
      </c>
      <c r="U9" s="3186">
        <f>ROUND(IF([2]项目基本情况!B8="出让",SUMPRODUCT(PRODUCT(1+N9:N16)),SUMPRODUCT(PRODUCT(1+N9:N15))),4)</f>
        <v>1.0618000000000001</v>
      </c>
      <c r="V9" s="3186">
        <f>ROUND(IF([2]项目基本情况!B8="出让",SUMPRODUCT(PRODUCT(1+O9:O16)),SUMPRODUCT(PRODUCT(1+O9:O15))),4)</f>
        <v>1.0502</v>
      </c>
      <c r="W9" s="3186">
        <f t="shared" ref="W9:W16" si="16">T9</f>
        <v>1.0145</v>
      </c>
      <c r="X9" s="3186"/>
      <c r="Y9" s="3188">
        <f>IF(D9=0,0,ROUND(AVERAGE(D9:D17)/100,4))</f>
        <v>8.0999999999999996E-3</v>
      </c>
      <c r="Z9" s="3188">
        <f t="shared" ref="Z9:AC9" si="17">IF(E9=0,0,ROUND(AVERAGE(E9:E16)/100,4))</f>
        <v>3.3E-3</v>
      </c>
      <c r="AA9" s="3188">
        <f t="shared" si="17"/>
        <v>1.5E-3</v>
      </c>
      <c r="AB9" s="3188">
        <f t="shared" si="17"/>
        <v>8.8999999999999999E-3</v>
      </c>
      <c r="AC9" s="3188">
        <f t="shared" si="17"/>
        <v>6.6E-3</v>
      </c>
      <c r="AD9" s="3188">
        <f t="shared" si="7"/>
        <v>1.5E-3</v>
      </c>
    </row>
    <row r="10" spans="1:30" s="3179" customFormat="1" ht="12.75">
      <c r="A10" s="3170" t="s">
        <v>3367</v>
      </c>
      <c r="B10" s="3171">
        <v>2022</v>
      </c>
      <c r="C10" s="3172">
        <v>3</v>
      </c>
      <c r="D10" s="3173">
        <v>0.66</v>
      </c>
      <c r="E10" s="3173">
        <v>0.32</v>
      </c>
      <c r="F10" s="3173">
        <v>0.23</v>
      </c>
      <c r="G10" s="3173">
        <v>0.72</v>
      </c>
      <c r="H10" s="3190">
        <v>0.63</v>
      </c>
      <c r="I10" s="3174">
        <f t="shared" si="4"/>
        <v>0.23</v>
      </c>
      <c r="J10" s="3175"/>
      <c r="K10" s="3176">
        <f t="shared" si="5"/>
        <v>6.6E-3</v>
      </c>
      <c r="L10" s="3166">
        <f t="shared" si="5"/>
        <v>3.2000000000000002E-3</v>
      </c>
      <c r="M10" s="3166">
        <f t="shared" si="5"/>
        <v>2.3E-3</v>
      </c>
      <c r="N10" s="3166">
        <f t="shared" si="5"/>
        <v>7.1999999999999998E-3</v>
      </c>
      <c r="O10" s="3166">
        <f t="shared" si="5"/>
        <v>6.3E-3</v>
      </c>
      <c r="P10" s="3166">
        <f t="shared" si="15"/>
        <v>2.3E-3</v>
      </c>
      <c r="Q10" s="3175"/>
      <c r="R10" s="3177">
        <f>ROUND(IF([2]项目基本情况!B8="出让",SUMPRODUCT(PRODUCT(1+K10:K16)),SUMPRODUCT(PRODUCT(1+K10:K15))),4)</f>
        <v>1.05</v>
      </c>
      <c r="S10" s="3177">
        <f>ROUND(IF([2]项目基本情况!B8="出让",SUMPRODUCT(PRODUCT(1+L10:L16)),SUMPRODUCT(PRODUCT(1+L10:L15))),4)</f>
        <v>1.0229999999999999</v>
      </c>
      <c r="T10" s="3177">
        <f>ROUND(IF([2]项目基本情况!B8="出让",SUMPRODUCT(PRODUCT(1+M10:M16)),SUMPRODUCT(PRODUCT(1+M10:M15))),4)</f>
        <v>1.0134000000000001</v>
      </c>
      <c r="U10" s="3177">
        <f>ROUND(IF([2]项目基本情况!B8="出让",SUMPRODUCT(PRODUCT(1+N10:N16)),SUMPRODUCT(PRODUCT(1+N10:N15))),4)</f>
        <v>1.0545</v>
      </c>
      <c r="V10" s="3177">
        <f>ROUND(IF([2]项目基本情况!B8="出让",SUMPRODUCT(PRODUCT(1+O10:O16)),SUMPRODUCT(PRODUCT(1+O10:O15))),4)</f>
        <v>1.0447</v>
      </c>
      <c r="W10" s="3177">
        <f t="shared" si="16"/>
        <v>1.0134000000000001</v>
      </c>
      <c r="X10" s="3175"/>
      <c r="Y10" s="3178">
        <f>IF(D10=0,0,ROUND(AVERAGE(D10:D16)/100,4))</f>
        <v>8.3999999999999995E-3</v>
      </c>
      <c r="Z10" s="3178">
        <f t="shared" ref="Z10:AC10" si="18">IF(E10=0,0,ROUND(AVERAGE(E10:E16)/100,4))</f>
        <v>3.5000000000000001E-3</v>
      </c>
      <c r="AA10" s="3178">
        <f t="shared" si="18"/>
        <v>1.5E-3</v>
      </c>
      <c r="AB10" s="3178">
        <f t="shared" si="18"/>
        <v>9.1999999999999998E-3</v>
      </c>
      <c r="AC10" s="3178">
        <f t="shared" si="18"/>
        <v>6.7999999999999996E-3</v>
      </c>
      <c r="AD10" s="3178">
        <f t="shared" si="7"/>
        <v>1.5E-3</v>
      </c>
    </row>
    <row r="11" spans="1:30" s="3179" customFormat="1" ht="12.75">
      <c r="A11" s="3170" t="s">
        <v>3358</v>
      </c>
      <c r="B11" s="3171">
        <v>2022</v>
      </c>
      <c r="C11" s="3172">
        <v>2</v>
      </c>
      <c r="D11" s="3173">
        <v>0.93</v>
      </c>
      <c r="E11" s="3173">
        <v>0.15</v>
      </c>
      <c r="F11" s="3173">
        <v>0.01</v>
      </c>
      <c r="G11" s="3173">
        <v>1.05</v>
      </c>
      <c r="H11" s="3190">
        <v>1.08</v>
      </c>
      <c r="I11" s="3174">
        <f t="shared" si="4"/>
        <v>0.01</v>
      </c>
      <c r="J11" s="3175"/>
      <c r="K11" s="3176">
        <f t="shared" si="5"/>
        <v>9.300000000000001E-3</v>
      </c>
      <c r="L11" s="3166">
        <f t="shared" si="5"/>
        <v>1.5E-3</v>
      </c>
      <c r="M11" s="3166">
        <f t="shared" si="5"/>
        <v>1E-4</v>
      </c>
      <c r="N11" s="3166">
        <f t="shared" si="5"/>
        <v>1.0500000000000001E-2</v>
      </c>
      <c r="O11" s="3166">
        <f t="shared" si="5"/>
        <v>1.0800000000000001E-2</v>
      </c>
      <c r="P11" s="3166">
        <f t="shared" si="15"/>
        <v>1E-4</v>
      </c>
      <c r="Q11" s="3175"/>
      <c r="R11" s="3177">
        <f>ROUND(IF([2]项目基本情况!B8="出让",SUMPRODUCT(PRODUCT(1+K11:K16)),SUMPRODUCT(PRODUCT(1+K11:K15))),4)</f>
        <v>1.0430999999999999</v>
      </c>
      <c r="S11" s="3177">
        <f>ROUND(IF([2]项目基本情况!B8="出让",SUMPRODUCT(PRODUCT(1+L11:L16)),SUMPRODUCT(PRODUCT(1+L11:L15))),4)</f>
        <v>1.0197000000000001</v>
      </c>
      <c r="T11" s="3177">
        <f>ROUND(IF([2]项目基本情况!B8="出让",SUMPRODUCT(PRODUCT(1+M11:M16)),SUMPRODUCT(PRODUCT(1+M11:M15))),4)</f>
        <v>1.0109999999999999</v>
      </c>
      <c r="U11" s="3177">
        <f>ROUND(IF([2]项目基本情况!B8="出让",SUMPRODUCT(PRODUCT(1+N11:N16)),SUMPRODUCT(PRODUCT(1+N11:N15))),4)</f>
        <v>1.0468999999999999</v>
      </c>
      <c r="V11" s="3177">
        <f>ROUND(IF([2]项目基本情况!B8="出让",SUMPRODUCT(PRODUCT(1+O11:O16)),SUMPRODUCT(PRODUCT(1+O11:O15))),4)</f>
        <v>1.0382</v>
      </c>
      <c r="W11" s="3177">
        <f t="shared" si="16"/>
        <v>1.0109999999999999</v>
      </c>
      <c r="X11" s="3175"/>
      <c r="Y11" s="3178">
        <f>IF(D11=0,0,ROUND(AVERAGE(D11:D16)/100,4))</f>
        <v>8.6999999999999994E-3</v>
      </c>
      <c r="Z11" s="3178">
        <f t="shared" ref="Z11:AC11" si="19">IF(E11=0,0,ROUND(AVERAGE(E11:E16)/100,4))</f>
        <v>3.5000000000000001E-3</v>
      </c>
      <c r="AA11" s="3178">
        <f t="shared" si="19"/>
        <v>1.4E-3</v>
      </c>
      <c r="AB11" s="3178">
        <f t="shared" si="19"/>
        <v>9.4999999999999998E-3</v>
      </c>
      <c r="AC11" s="3178">
        <f t="shared" si="19"/>
        <v>6.8999999999999999E-3</v>
      </c>
      <c r="AD11" s="3178">
        <f t="shared" si="7"/>
        <v>1.4E-3</v>
      </c>
    </row>
    <row r="12" spans="1:30" s="3179" customFormat="1" ht="12.75">
      <c r="A12" s="3170" t="s">
        <v>2821</v>
      </c>
      <c r="B12" s="3171">
        <v>2022</v>
      </c>
      <c r="C12" s="3172">
        <v>1</v>
      </c>
      <c r="D12" s="3173">
        <v>0.89</v>
      </c>
      <c r="E12" s="3173">
        <v>0.44</v>
      </c>
      <c r="F12" s="3173">
        <v>0.37</v>
      </c>
      <c r="G12" s="3173">
        <v>0.96</v>
      </c>
      <c r="H12" s="3190">
        <v>0.64</v>
      </c>
      <c r="I12" s="3174">
        <f t="shared" si="4"/>
        <v>0.37</v>
      </c>
      <c r="J12" s="3175"/>
      <c r="K12" s="3176">
        <f t="shared" si="5"/>
        <v>8.8999999999999999E-3</v>
      </c>
      <c r="L12" s="3166">
        <f t="shared" si="5"/>
        <v>4.4000000000000003E-3</v>
      </c>
      <c r="M12" s="3166">
        <f t="shared" si="5"/>
        <v>3.7000000000000002E-3</v>
      </c>
      <c r="N12" s="3166">
        <f t="shared" si="5"/>
        <v>9.5999999999999992E-3</v>
      </c>
      <c r="O12" s="3166">
        <f t="shared" si="5"/>
        <v>6.4000000000000003E-3</v>
      </c>
      <c r="P12" s="3166">
        <f t="shared" si="15"/>
        <v>3.7000000000000002E-3</v>
      </c>
      <c r="Q12" s="3175"/>
      <c r="R12" s="3177">
        <f>ROUND(IF([2]项目基本情况!B8="出让",SUMPRODUCT(PRODUCT(1+K12:K16)),SUMPRODUCT(PRODUCT(1+K12:K15))),4)</f>
        <v>1.0335000000000001</v>
      </c>
      <c r="S12" s="3177">
        <f>ROUND(IF([2]项目基本情况!B8="出让",SUMPRODUCT(PRODUCT(1+L12:L16)),SUMPRODUCT(PRODUCT(1+L12:L15))),4)</f>
        <v>1.0182</v>
      </c>
      <c r="T12" s="3177">
        <f>ROUND(IF([2]项目基本情况!B8="出让",SUMPRODUCT(PRODUCT(1+M12:M16)),SUMPRODUCT(PRODUCT(1+M12:M15))),4)</f>
        <v>1.0108999999999999</v>
      </c>
      <c r="U12" s="3177">
        <f>ROUND(IF([2]项目基本情况!B8="出让",SUMPRODUCT(PRODUCT(1+N12:N16)),SUMPRODUCT(PRODUCT(1+N12:N15))),4)</f>
        <v>1.0361</v>
      </c>
      <c r="V12" s="3177">
        <f>ROUND(IF([2]项目基本情况!B8="出让",SUMPRODUCT(PRODUCT(1+O12:O16)),SUMPRODUCT(PRODUCT(1+O12:O15))),4)</f>
        <v>1.0270999999999999</v>
      </c>
      <c r="W12" s="3177">
        <f t="shared" si="16"/>
        <v>1.0108999999999999</v>
      </c>
      <c r="X12" s="3175"/>
      <c r="Y12" s="3178">
        <f>IF(D12=0,0,ROUND(AVERAGE(D12:D16)/100,4))</f>
        <v>8.6E-3</v>
      </c>
      <c r="Z12" s="3178">
        <f t="shared" ref="Z12:AC12" si="20">IF(E12=0,0,ROUND(AVERAGE(E12:E16)/100,4))</f>
        <v>3.8999999999999998E-3</v>
      </c>
      <c r="AA12" s="3178">
        <f t="shared" si="20"/>
        <v>1.6999999999999999E-3</v>
      </c>
      <c r="AB12" s="3178">
        <f t="shared" si="20"/>
        <v>9.2999999999999992E-3</v>
      </c>
      <c r="AC12" s="3178">
        <f t="shared" si="20"/>
        <v>6.1000000000000004E-3</v>
      </c>
      <c r="AD12" s="3178">
        <f t="shared" si="7"/>
        <v>1.6999999999999999E-3</v>
      </c>
    </row>
    <row r="13" spans="1:30" s="3179" customFormat="1" ht="12.75">
      <c r="A13" s="3170" t="s">
        <v>2822</v>
      </c>
      <c r="B13" s="3171">
        <v>2021</v>
      </c>
      <c r="C13" s="3172">
        <v>4</v>
      </c>
      <c r="D13" s="3173">
        <v>1.03</v>
      </c>
      <c r="E13" s="3173">
        <v>0.24</v>
      </c>
      <c r="F13" s="3173">
        <v>7.0000000000000007E-2</v>
      </c>
      <c r="G13" s="3173">
        <v>1.17</v>
      </c>
      <c r="H13" s="3190">
        <v>0.55000000000000004</v>
      </c>
      <c r="I13" s="3174">
        <f t="shared" si="4"/>
        <v>7.0000000000000007E-2</v>
      </c>
      <c r="J13" s="3175"/>
      <c r="K13" s="3176">
        <f t="shared" si="5"/>
        <v>1.03E-2</v>
      </c>
      <c r="L13" s="3166">
        <f t="shared" si="5"/>
        <v>2.3999999999999998E-3</v>
      </c>
      <c r="M13" s="3166">
        <f t="shared" si="5"/>
        <v>7.000000000000001E-4</v>
      </c>
      <c r="N13" s="3166">
        <f t="shared" si="5"/>
        <v>1.1699999999999999E-2</v>
      </c>
      <c r="O13" s="3166">
        <f t="shared" si="5"/>
        <v>5.5000000000000005E-3</v>
      </c>
      <c r="P13" s="3166">
        <f t="shared" si="15"/>
        <v>7.000000000000001E-4</v>
      </c>
      <c r="Q13" s="3175"/>
      <c r="R13" s="3177">
        <f>ROUND(IF([2]项目基本情况!B8="出让",SUMPRODUCT(PRODUCT(1+K13:K16)),SUMPRODUCT(PRODUCT(1+K13:K15))),4)</f>
        <v>1.0244</v>
      </c>
      <c r="S13" s="3177">
        <f>ROUND(IF([2]项目基本情况!B8="出让",SUMPRODUCT(PRODUCT(1+L13:L16)),SUMPRODUCT(PRODUCT(1+L13:L15))),4)</f>
        <v>1.0138</v>
      </c>
      <c r="T13" s="3177">
        <f>ROUND(IF([2]项目基本情况!B8="出让",SUMPRODUCT(PRODUCT(1+M13:M16)),SUMPRODUCT(PRODUCT(1+M13:M15))),4)</f>
        <v>1.0072000000000001</v>
      </c>
      <c r="U13" s="3177">
        <f>ROUND(IF([2]项目基本情况!B8="出让",SUMPRODUCT(PRODUCT(1+N13:N16)),SUMPRODUCT(PRODUCT(1+N13:N15))),4)</f>
        <v>1.0262</v>
      </c>
      <c r="V13" s="3177">
        <f>ROUND(IF([2]项目基本情况!B8="出让",SUMPRODUCT(PRODUCT(1+O13:O16)),SUMPRODUCT(PRODUCT(1+O13:O15))),4)</f>
        <v>1.0205</v>
      </c>
      <c r="W13" s="3177">
        <f t="shared" si="16"/>
        <v>1.0072000000000001</v>
      </c>
      <c r="X13" s="3175"/>
      <c r="Y13" s="3178">
        <f>IF(D13=0,0,ROUND(AVERAGE(D13:D16)/100,4))</f>
        <v>8.5000000000000006E-3</v>
      </c>
      <c r="Z13" s="3178">
        <f t="shared" ref="Z13:AC13" si="21">IF(E13=0,0,ROUND(AVERAGE(E13:E16)/100,4))</f>
        <v>3.8E-3</v>
      </c>
      <c r="AA13" s="3178">
        <f t="shared" si="21"/>
        <v>1.1999999999999999E-3</v>
      </c>
      <c r="AB13" s="3178">
        <f t="shared" si="21"/>
        <v>9.2999999999999992E-3</v>
      </c>
      <c r="AC13" s="3178">
        <f t="shared" si="21"/>
        <v>6.0000000000000001E-3</v>
      </c>
      <c r="AD13" s="3178">
        <f t="shared" si="7"/>
        <v>1.1999999999999999E-3</v>
      </c>
    </row>
    <row r="14" spans="1:30" s="3179" customFormat="1" ht="12.75">
      <c r="A14" s="3170" t="s">
        <v>2823</v>
      </c>
      <c r="B14" s="3171">
        <v>2021</v>
      </c>
      <c r="C14" s="3172">
        <v>3</v>
      </c>
      <c r="D14" s="3173">
        <v>0.47</v>
      </c>
      <c r="E14" s="3173">
        <v>0.41</v>
      </c>
      <c r="F14" s="3173">
        <v>0.24</v>
      </c>
      <c r="G14" s="3173">
        <v>0.48</v>
      </c>
      <c r="H14" s="3190">
        <v>0.48</v>
      </c>
      <c r="I14" s="3174">
        <f t="shared" si="4"/>
        <v>0.24</v>
      </c>
      <c r="J14" s="3175"/>
      <c r="K14" s="3176">
        <f t="shared" si="5"/>
        <v>4.6999999999999993E-3</v>
      </c>
      <c r="L14" s="3166">
        <f t="shared" si="5"/>
        <v>4.0999999999999995E-3</v>
      </c>
      <c r="M14" s="3166">
        <f t="shared" si="5"/>
        <v>2.3999999999999998E-3</v>
      </c>
      <c r="N14" s="3166">
        <f t="shared" si="5"/>
        <v>4.7999999999999996E-3</v>
      </c>
      <c r="O14" s="3166">
        <f t="shared" si="5"/>
        <v>4.7999999999999996E-3</v>
      </c>
      <c r="P14" s="3166">
        <f t="shared" si="15"/>
        <v>2.3999999999999998E-3</v>
      </c>
      <c r="Q14" s="3175"/>
      <c r="R14" s="3177">
        <f>ROUND(IF([2]项目基本情况!B8="出让",SUMPRODUCT(PRODUCT(1+K14:K16)),SUMPRODUCT(PRODUCT(1+K14:K15))),4)</f>
        <v>1.0139</v>
      </c>
      <c r="S14" s="3177">
        <f>ROUND(IF([2]项目基本情况!B8="出让",SUMPRODUCT(PRODUCT(1+L14:L16)),SUMPRODUCT(PRODUCT(1+L14:L15))),4)</f>
        <v>1.0113000000000001</v>
      </c>
      <c r="T14" s="3177">
        <f>ROUND(IF([2]项目基本情况!B8="出让",SUMPRODUCT(PRODUCT(1+M14:M16)),SUMPRODUCT(PRODUCT(1+M14:M15))),4)</f>
        <v>1.0065</v>
      </c>
      <c r="U14" s="3177">
        <f>ROUND(IF([2]项目基本情况!B8="出让",SUMPRODUCT(PRODUCT(1+N14:N16)),SUMPRODUCT(PRODUCT(1+N14:N15))),4)</f>
        <v>1.0143</v>
      </c>
      <c r="V14" s="3177">
        <f>ROUND(IF([2]项目基本情况!B8="出让",SUMPRODUCT(PRODUCT(1+O14:O16)),SUMPRODUCT(PRODUCT(1+O14:O15))),4)</f>
        <v>1.0148999999999999</v>
      </c>
      <c r="W14" s="3177">
        <f t="shared" si="16"/>
        <v>1.0065</v>
      </c>
      <c r="X14" s="3175"/>
      <c r="Y14" s="3178">
        <f>IF(D14=0,0,ROUND(AVERAGE(D14:D16)/100,4))</f>
        <v>7.9000000000000008E-3</v>
      </c>
      <c r="Z14" s="3178">
        <f>IF(E14=0,0,ROUND(AVERAGE(E14:E16)/100,4))</f>
        <v>4.3E-3</v>
      </c>
      <c r="AA14" s="3178">
        <f>IF(F14=0,0,ROUND(AVERAGE(F14:F16)/100,4))</f>
        <v>1.2999999999999999E-3</v>
      </c>
      <c r="AB14" s="3178">
        <f>IF(G14=0,0,ROUND(AVERAGE(G14:G16)/100,4))</f>
        <v>8.5000000000000006E-3</v>
      </c>
      <c r="AC14" s="3178">
        <f>IF(H14=0,0,ROUND(AVERAGE(H14:H16)/100,4))</f>
        <v>6.1999999999999998E-3</v>
      </c>
      <c r="AD14" s="3178">
        <f t="shared" si="7"/>
        <v>1.2999999999999999E-3</v>
      </c>
    </row>
    <row r="15" spans="1:30" s="3179" customFormat="1" ht="12.75">
      <c r="A15" s="3170" t="s">
        <v>2824</v>
      </c>
      <c r="B15" s="3171">
        <v>2021</v>
      </c>
      <c r="C15" s="3172">
        <v>2</v>
      </c>
      <c r="D15" s="3173">
        <v>0.92</v>
      </c>
      <c r="E15" s="3173">
        <v>0.72</v>
      </c>
      <c r="F15" s="3173">
        <v>0.41</v>
      </c>
      <c r="G15" s="3173">
        <v>0.95</v>
      </c>
      <c r="H15" s="3190">
        <v>1.01</v>
      </c>
      <c r="I15" s="3174">
        <f t="shared" si="4"/>
        <v>0.41</v>
      </c>
      <c r="J15" s="3175"/>
      <c r="K15" s="3176">
        <f t="shared" si="5"/>
        <v>9.1999999999999998E-3</v>
      </c>
      <c r="L15" s="3166">
        <f t="shared" si="5"/>
        <v>7.1999999999999998E-3</v>
      </c>
      <c r="M15" s="3166">
        <f t="shared" si="5"/>
        <v>4.0999999999999995E-3</v>
      </c>
      <c r="N15" s="3166">
        <f t="shared" si="5"/>
        <v>9.4999999999999998E-3</v>
      </c>
      <c r="O15" s="3166">
        <f t="shared" si="5"/>
        <v>1.01E-2</v>
      </c>
      <c r="P15" s="3166">
        <f t="shared" si="15"/>
        <v>4.0999999999999995E-3</v>
      </c>
      <c r="Q15" s="3175"/>
      <c r="R15" s="3177">
        <f>ROUND(IF([2]项目基本情况!B8="出让",SUMPRODUCT(PRODUCT(1+K15:K16)),SUMPRODUCT(PRODUCT(1+K15:K15))),4)</f>
        <v>1.0092000000000001</v>
      </c>
      <c r="S15" s="3177">
        <f>ROUND(IF([2]项目基本情况!B8="出让",SUMPRODUCT(PRODUCT(1+L15:L16)),SUMPRODUCT(PRODUCT(1+L15:L15))),4)</f>
        <v>1.0072000000000001</v>
      </c>
      <c r="T15" s="3177">
        <f>ROUND(IF([2]项目基本情况!B8="出让",SUMPRODUCT(PRODUCT(1+M15:M16)),SUMPRODUCT(PRODUCT(1+M15:M15))),4)</f>
        <v>1.0041</v>
      </c>
      <c r="U15" s="3177">
        <f>ROUND(IF([2]项目基本情况!B8="出让",SUMPRODUCT(PRODUCT(1+N15:N16)),SUMPRODUCT(PRODUCT(1+N15:N15))),4)</f>
        <v>1.0095000000000001</v>
      </c>
      <c r="V15" s="3177">
        <f>ROUND(IF([2]项目基本情况!B8="出让",SUMPRODUCT(PRODUCT(1+O15:O16)),SUMPRODUCT(PRODUCT(1+O15:O15))),4)</f>
        <v>1.0101</v>
      </c>
      <c r="W15" s="3177">
        <f t="shared" si="16"/>
        <v>1.0041</v>
      </c>
      <c r="X15" s="3175"/>
      <c r="Y15" s="3178">
        <f>IF(D15=0,0,ROUND(AVERAGE(D15:D16)/100,4))</f>
        <v>9.4999999999999998E-3</v>
      </c>
      <c r="Z15" s="3178">
        <f>IF(E15=0,0,ROUND(AVERAGE(E15:E16)/100,4))</f>
        <v>4.4000000000000003E-3</v>
      </c>
      <c r="AA15" s="3178">
        <f>IF(F15=0,0,ROUND(AVERAGE(F15:F16)/100,4))</f>
        <v>8.0000000000000004E-4</v>
      </c>
      <c r="AB15" s="3178">
        <f>IF(G15=0,0,ROUND(AVERAGE(G15:G16)/100,4))</f>
        <v>1.03E-2</v>
      </c>
      <c r="AC15" s="3178">
        <f>IF(H15=0,0,ROUND(AVERAGE(H15:H16)/100,4))</f>
        <v>6.8999999999999999E-3</v>
      </c>
      <c r="AD15" s="3178">
        <f t="shared" si="7"/>
        <v>8.0000000000000004E-4</v>
      </c>
    </row>
    <row r="16" spans="1:30" s="3201" customFormat="1" thickBot="1">
      <c r="A16" s="3191" t="s">
        <v>2825</v>
      </c>
      <c r="B16" s="3192">
        <v>2021</v>
      </c>
      <c r="C16" s="3193">
        <v>1</v>
      </c>
      <c r="D16" s="3194">
        <v>0.97</v>
      </c>
      <c r="E16" s="3194">
        <v>0.16</v>
      </c>
      <c r="F16" s="3194">
        <v>-0.25</v>
      </c>
      <c r="G16" s="3194">
        <v>1.1100000000000001</v>
      </c>
      <c r="H16" s="3195">
        <v>0.36</v>
      </c>
      <c r="I16" s="3196">
        <f t="shared" si="4"/>
        <v>-0.25</v>
      </c>
      <c r="J16" s="3197"/>
      <c r="K16" s="3198">
        <f t="shared" si="5"/>
        <v>9.7000000000000003E-3</v>
      </c>
      <c r="L16" s="3199">
        <f t="shared" si="5"/>
        <v>1.6000000000000001E-3</v>
      </c>
      <c r="M16" s="3199">
        <f>F16/100</f>
        <v>-2.5000000000000001E-3</v>
      </c>
      <c r="N16" s="3199">
        <f t="shared" si="5"/>
        <v>1.11E-2</v>
      </c>
      <c r="O16" s="3199">
        <f t="shared" si="5"/>
        <v>3.5999999999999999E-3</v>
      </c>
      <c r="P16" s="3199">
        <f t="shared" si="15"/>
        <v>-2.5000000000000001E-3</v>
      </c>
      <c r="Q16" s="3197"/>
      <c r="R16" s="3200">
        <v>1</v>
      </c>
      <c r="S16" s="3200">
        <v>1</v>
      </c>
      <c r="T16" s="3200">
        <v>1</v>
      </c>
      <c r="U16" s="3200">
        <v>1</v>
      </c>
      <c r="V16" s="3200">
        <v>1</v>
      </c>
      <c r="W16" s="3200">
        <f t="shared" si="16"/>
        <v>1</v>
      </c>
      <c r="X16" s="3197"/>
      <c r="Y16" s="3199">
        <f>IF(D16=0,0,ROUND(AVERAGE(D16:D16)/100,4))</f>
        <v>9.7000000000000003E-3</v>
      </c>
      <c r="Z16" s="3199">
        <f>IF(E16=0,0,ROUND(AVERAGE(E16:E16)/100,4))</f>
        <v>1.6000000000000001E-3</v>
      </c>
      <c r="AA16" s="3199">
        <f>IF(F16=0,0,ROUND(AVERAGE(F16:F16)/100,4))</f>
        <v>-2.5000000000000001E-3</v>
      </c>
      <c r="AB16" s="3199">
        <f>IF(G16=0,0,ROUND(AVERAGE(G16:G16)/100,4))</f>
        <v>1.11E-2</v>
      </c>
      <c r="AC16" s="3199">
        <f>IF(H16=0,0,ROUND(AVERAGE(H16:H16)/100,4))</f>
        <v>3.5999999999999999E-3</v>
      </c>
      <c r="AD16" s="3199">
        <f>AA16</f>
        <v>-2.5000000000000001E-3</v>
      </c>
    </row>
    <row r="17" spans="1:30" s="3003" customFormat="1" ht="14.25" thickTop="1"/>
    <row r="18" spans="1:30" s="3003" customFormat="1">
      <c r="A18" s="3442" t="s">
        <v>3370</v>
      </c>
    </row>
    <row r="19" spans="1:30" s="3003" customFormat="1">
      <c r="I19" s="3202" t="s">
        <v>2826</v>
      </c>
    </row>
    <row r="20" spans="1:30" s="3003" customFormat="1"/>
    <row r="21" spans="1:30" s="3203" customFormat="1" ht="12.75">
      <c r="B21" s="3204" t="s">
        <v>2827</v>
      </c>
      <c r="C21" s="3205"/>
      <c r="D21" s="3205"/>
      <c r="E21" s="3205"/>
      <c r="F21" s="3205"/>
      <c r="G21" s="3205"/>
      <c r="H21" s="3205"/>
      <c r="I21" s="3205"/>
      <c r="J21" s="3159"/>
      <c r="K21" s="3205" t="s">
        <v>2828</v>
      </c>
      <c r="L21" s="3205"/>
      <c r="M21" s="3205"/>
      <c r="N21" s="3205"/>
      <c r="O21" s="3205"/>
      <c r="P21" s="3205"/>
      <c r="Q21" s="3159"/>
      <c r="R21" s="3788" t="s">
        <v>2829</v>
      </c>
      <c r="S21" s="3789"/>
      <c r="T21" s="3789"/>
      <c r="U21" s="3789"/>
      <c r="V21" s="3789"/>
      <c r="W21" s="3789"/>
      <c r="X21" s="3159"/>
      <c r="Y21" s="3788" t="s">
        <v>2830</v>
      </c>
      <c r="Z21" s="3789"/>
      <c r="AA21" s="3789"/>
      <c r="AB21" s="3789"/>
      <c r="AC21" s="3789"/>
      <c r="AD21" s="3789"/>
    </row>
    <row r="22" spans="1:30" s="3137" customFormat="1" ht="14.25" thickBot="1">
      <c r="B22" s="3138"/>
      <c r="C22" s="3139"/>
      <c r="D22" s="3140" t="s">
        <v>2831</v>
      </c>
      <c r="E22" s="3141" t="s">
        <v>2832</v>
      </c>
      <c r="F22" s="3141" t="s">
        <v>2833</v>
      </c>
      <c r="G22" s="3141" t="s">
        <v>2834</v>
      </c>
      <c r="H22" s="3141"/>
      <c r="I22" s="3141" t="s">
        <v>2835</v>
      </c>
      <c r="J22" s="3142"/>
      <c r="K22" s="3140" t="s">
        <v>2831</v>
      </c>
      <c r="L22" s="3141" t="s">
        <v>2832</v>
      </c>
      <c r="M22" s="3141" t="s">
        <v>2833</v>
      </c>
      <c r="N22" s="3141" t="s">
        <v>2834</v>
      </c>
      <c r="O22" s="3141"/>
      <c r="P22" s="3141" t="s">
        <v>2835</v>
      </c>
      <c r="Q22" s="3142"/>
      <c r="R22" s="3140" t="s">
        <v>2831</v>
      </c>
      <c r="S22" s="3141" t="s">
        <v>2832</v>
      </c>
      <c r="T22" s="3141" t="s">
        <v>2833</v>
      </c>
      <c r="U22" s="3141" t="s">
        <v>2834</v>
      </c>
      <c r="V22" s="3141"/>
      <c r="W22" s="3141" t="s">
        <v>2835</v>
      </c>
      <c r="X22" s="3142"/>
      <c r="Y22" s="3140" t="s">
        <v>2831</v>
      </c>
      <c r="Z22" s="3141" t="s">
        <v>2832</v>
      </c>
      <c r="AA22" s="3141" t="s">
        <v>2833</v>
      </c>
      <c r="AB22" s="3141" t="s">
        <v>2834</v>
      </c>
      <c r="AC22" s="3141"/>
      <c r="AD22" s="3141" t="s">
        <v>2835</v>
      </c>
    </row>
    <row r="23" spans="1:30" s="3155" customFormat="1" ht="12.75">
      <c r="A23" s="3143" t="s">
        <v>2836</v>
      </c>
      <c r="B23" s="3144"/>
      <c r="C23" s="3145"/>
      <c r="D23" s="3145"/>
      <c r="E23" s="3145">
        <f t="shared" ref="E23:G23" si="22">ROUND(AVERAGEIF(E24:E36,"&lt;&gt;0"),2)</f>
        <v>0.4</v>
      </c>
      <c r="F23" s="3145">
        <f t="shared" si="22"/>
        <v>0.26</v>
      </c>
      <c r="G23" s="3145">
        <f t="shared" si="22"/>
        <v>0.74</v>
      </c>
      <c r="H23" s="3145"/>
      <c r="I23" s="3145">
        <f>F23</f>
        <v>0.26</v>
      </c>
      <c r="J23" s="3146"/>
      <c r="K23" s="3147"/>
      <c r="L23" s="3148">
        <f t="shared" ref="L23:N23" si="23">ROUND(AVERAGEIF(L24:L36,"&lt;&gt;0"),4)</f>
        <v>4.0000000000000001E-3</v>
      </c>
      <c r="M23" s="3148">
        <f t="shared" si="23"/>
        <v>2.5999999999999999E-3</v>
      </c>
      <c r="N23" s="3148">
        <f t="shared" si="23"/>
        <v>7.4000000000000003E-3</v>
      </c>
      <c r="O23" s="3148"/>
      <c r="P23" s="3148">
        <f>M23</f>
        <v>2.5999999999999999E-3</v>
      </c>
      <c r="Q23" s="3146"/>
      <c r="R23" s="3149"/>
      <c r="S23" s="3150">
        <f>ROUND(SUMPRODUCT(PRODUCT(1+L24:L36)),4)</f>
        <v>1.0323</v>
      </c>
      <c r="T23" s="3150">
        <f t="shared" ref="T23:U23" si="24">ROUND(SUMPRODUCT(PRODUCT(1+M24:M36)),4)</f>
        <v>1.0213000000000001</v>
      </c>
      <c r="U23" s="3150">
        <f t="shared" si="24"/>
        <v>1.0609</v>
      </c>
      <c r="V23" s="3150"/>
      <c r="W23" s="3149">
        <f>T23</f>
        <v>1.0213000000000001</v>
      </c>
      <c r="X23" s="3146"/>
      <c r="Y23" s="3151"/>
      <c r="Z23" s="3152">
        <f t="shared" ref="Z23:AB23" si="25">ROUND(AVERAGEIF(Z24:Z36,"&lt;&gt;0"),4)</f>
        <v>4.3E-3</v>
      </c>
      <c r="AA23" s="3153">
        <f t="shared" si="25"/>
        <v>3.5999999999999999E-3</v>
      </c>
      <c r="AB23" s="3151">
        <f t="shared" si="25"/>
        <v>8.8999999999999999E-3</v>
      </c>
      <c r="AC23" s="3154"/>
      <c r="AD23" s="3151">
        <f>AA23</f>
        <v>3.5999999999999999E-3</v>
      </c>
    </row>
    <row r="24" spans="1:30" s="3156" customFormat="1" ht="12.75">
      <c r="B24" s="3157"/>
      <c r="C24" s="3158"/>
      <c r="D24" s="3158"/>
      <c r="E24" s="3158"/>
      <c r="F24" s="3158"/>
      <c r="G24" s="3158"/>
      <c r="H24" s="3158"/>
      <c r="I24" s="3158"/>
      <c r="J24" s="3159"/>
      <c r="K24" s="3160"/>
      <c r="L24" s="3161"/>
      <c r="M24" s="3161"/>
      <c r="N24" s="3161"/>
      <c r="O24" s="3161"/>
      <c r="P24" s="3161"/>
      <c r="Q24" s="3159"/>
      <c r="R24" s="3162"/>
      <c r="S24" s="3163"/>
      <c r="T24" s="3164"/>
      <c r="U24" s="3162"/>
      <c r="V24" s="3165"/>
      <c r="W24" s="3162"/>
      <c r="X24" s="3159"/>
      <c r="Y24" s="3166"/>
      <c r="Z24" s="3167"/>
      <c r="AA24" s="3168"/>
      <c r="AB24" s="3166"/>
      <c r="AC24" s="3169"/>
      <c r="AD24" s="3166"/>
    </row>
    <row r="25" spans="1:30" s="3179" customFormat="1" ht="12.75">
      <c r="A25" s="3170" t="s">
        <v>3373</v>
      </c>
      <c r="B25" s="3171">
        <v>2023</v>
      </c>
      <c r="C25" s="3172">
        <v>4</v>
      </c>
      <c r="D25" s="3173"/>
      <c r="E25" s="3173">
        <v>0</v>
      </c>
      <c r="F25" s="3173">
        <v>0</v>
      </c>
      <c r="G25" s="3173">
        <v>0</v>
      </c>
      <c r="H25" s="3173"/>
      <c r="I25" s="3174">
        <f t="shared" ref="I25:I36" si="26">F25</f>
        <v>0</v>
      </c>
      <c r="J25" s="3175"/>
      <c r="K25" s="3176"/>
      <c r="L25" s="3166">
        <f t="shared" ref="L25:N36" si="27">E25/100</f>
        <v>0</v>
      </c>
      <c r="M25" s="3166">
        <f t="shared" si="27"/>
        <v>0</v>
      </c>
      <c r="N25" s="3166">
        <f t="shared" si="27"/>
        <v>0</v>
      </c>
      <c r="O25" s="3166"/>
      <c r="P25" s="3166">
        <f>M25</f>
        <v>0</v>
      </c>
      <c r="Q25" s="3175"/>
      <c r="R25" s="3177"/>
      <c r="S25" s="3177">
        <f>ROUND(IF([2]项目基本情况!$B$8="出让",SUMPRODUCT(PRODUCT(1+L25:L$36)),SUMPRODUCT(PRODUCT(1+L25:L$35))),4)</f>
        <v>1.0286999999999999</v>
      </c>
      <c r="T25" s="3177">
        <f>ROUND(IF([2]项目基本情况!$B$8="出让",SUMPRODUCT(PRODUCT(1+M25:M$36)),SUMPRODUCT(PRODUCT(1+M25:M$35))),4)</f>
        <v>1.0164</v>
      </c>
      <c r="U25" s="3177">
        <f>ROUND(IF([2]项目基本情况!$B$8="出让",SUMPRODUCT(PRODUCT(1+N25:N$36)),SUMPRODUCT(PRODUCT(1+N25:N$35))),4)</f>
        <v>1.0506</v>
      </c>
      <c r="V25" s="3177"/>
      <c r="W25" s="3177">
        <f>T25</f>
        <v>1.0164</v>
      </c>
      <c r="X25" s="3175"/>
      <c r="Y25" s="3178"/>
      <c r="Z25" s="3206">
        <f>IF(E25=0,0,ROUND(AVERAGE(E25:E36)/100,4))</f>
        <v>0</v>
      </c>
      <c r="AA25" s="3206">
        <f>IF(F25=0,0,ROUND(AVERAGE(F25:F36)/100,4))</f>
        <v>0</v>
      </c>
      <c r="AB25" s="3206">
        <f>IF(G25=0,0,ROUND(AVERAGE(G25:G36)/100,4))</f>
        <v>0</v>
      </c>
      <c r="AC25" s="3207"/>
      <c r="AD25" s="3178">
        <f>IF(I25=0,0,ROUND(AVERAGE(I25:I36)/100,4))</f>
        <v>0</v>
      </c>
    </row>
    <row r="26" spans="1:30" s="3179" customFormat="1" ht="12.75">
      <c r="A26" s="3170" t="s">
        <v>3374</v>
      </c>
      <c r="B26" s="3171">
        <v>2023</v>
      </c>
      <c r="C26" s="3172">
        <v>3</v>
      </c>
      <c r="D26" s="3173"/>
      <c r="E26" s="3173">
        <v>0</v>
      </c>
      <c r="F26" s="3173">
        <v>0</v>
      </c>
      <c r="G26" s="3173">
        <v>0</v>
      </c>
      <c r="H26" s="3190"/>
      <c r="I26" s="3174">
        <f t="shared" si="26"/>
        <v>0</v>
      </c>
      <c r="J26" s="3175"/>
      <c r="K26" s="3176"/>
      <c r="L26" s="3166">
        <f t="shared" ref="L26:L28" si="28">E26/100</f>
        <v>0</v>
      </c>
      <c r="M26" s="3166">
        <f t="shared" ref="M26:M28" si="29">F26/100</f>
        <v>0</v>
      </c>
      <c r="N26" s="3166">
        <f t="shared" ref="N26:N28" si="30">G26/100</f>
        <v>0</v>
      </c>
      <c r="O26" s="3166"/>
      <c r="P26" s="3166">
        <f t="shared" ref="P26:P28" si="31">M26</f>
        <v>0</v>
      </c>
      <c r="Q26" s="3175"/>
      <c r="R26" s="3177"/>
      <c r="S26" s="3177">
        <f>ROUND(IF([2]项目基本情况!$B$8="出让",SUMPRODUCT(PRODUCT(1+L26:L$36)),SUMPRODUCT(PRODUCT(1+L26:L$35))),4)</f>
        <v>1.0286999999999999</v>
      </c>
      <c r="T26" s="3177">
        <f>ROUND(IF([2]项目基本情况!$B$8="出让",SUMPRODUCT(PRODUCT(1+M26:M$36)),SUMPRODUCT(PRODUCT(1+M26:M$35))),4)</f>
        <v>1.0164</v>
      </c>
      <c r="U26" s="3177">
        <f>ROUND(IF([2]项目基本情况!$B$8="出让",SUMPRODUCT(PRODUCT(1+N26:N$36)),SUMPRODUCT(PRODUCT(1+N26:N$35))),4)</f>
        <v>1.0506</v>
      </c>
      <c r="V26" s="3177"/>
      <c r="W26" s="3177">
        <f t="shared" ref="W26:W28" si="32">T26</f>
        <v>1.0164</v>
      </c>
      <c r="X26" s="3175"/>
      <c r="Y26" s="3178"/>
      <c r="Z26" s="3206"/>
      <c r="AA26" s="3443"/>
      <c r="AB26" s="3443"/>
      <c r="AC26" s="3207"/>
      <c r="AD26" s="3178"/>
    </row>
    <row r="27" spans="1:30" s="3179" customFormat="1" ht="12.75">
      <c r="A27" s="3170" t="s">
        <v>3372</v>
      </c>
      <c r="B27" s="3171">
        <v>2023</v>
      </c>
      <c r="C27" s="3172">
        <v>2</v>
      </c>
      <c r="D27" s="3173"/>
      <c r="E27" s="3173">
        <v>0</v>
      </c>
      <c r="F27" s="3173">
        <v>0</v>
      </c>
      <c r="G27" s="3173">
        <v>0</v>
      </c>
      <c r="H27" s="3190"/>
      <c r="I27" s="3174">
        <f t="shared" si="26"/>
        <v>0</v>
      </c>
      <c r="J27" s="3175"/>
      <c r="K27" s="3176"/>
      <c r="L27" s="3166">
        <f t="shared" si="28"/>
        <v>0</v>
      </c>
      <c r="M27" s="3166">
        <f t="shared" si="29"/>
        <v>0</v>
      </c>
      <c r="N27" s="3166">
        <f t="shared" si="30"/>
        <v>0</v>
      </c>
      <c r="O27" s="3166"/>
      <c r="P27" s="3166">
        <f t="shared" si="31"/>
        <v>0</v>
      </c>
      <c r="Q27" s="3175"/>
      <c r="R27" s="3177"/>
      <c r="S27" s="3177">
        <f>ROUND(IF([2]项目基本情况!$B$8="出让",SUMPRODUCT(PRODUCT(1+L27:L$36)),SUMPRODUCT(PRODUCT(1+L27:L$35))),4)</f>
        <v>1.0286999999999999</v>
      </c>
      <c r="T27" s="3177">
        <f>ROUND(IF([2]项目基本情况!$B$8="出让",SUMPRODUCT(PRODUCT(1+M27:M$36)),SUMPRODUCT(PRODUCT(1+M27:M$35))),4)</f>
        <v>1.0164</v>
      </c>
      <c r="U27" s="3177">
        <f>ROUND(IF([2]项目基本情况!$B$8="出让",SUMPRODUCT(PRODUCT(1+N27:N$36)),SUMPRODUCT(PRODUCT(1+N27:N$35))),4)</f>
        <v>1.0506</v>
      </c>
      <c r="V27" s="3177"/>
      <c r="W27" s="3177">
        <f t="shared" si="32"/>
        <v>1.0164</v>
      </c>
      <c r="X27" s="3175"/>
      <c r="Y27" s="3178"/>
      <c r="Z27" s="3206"/>
      <c r="AA27" s="3443"/>
      <c r="AB27" s="3443"/>
      <c r="AC27" s="3207"/>
      <c r="AD27" s="3178"/>
    </row>
    <row r="28" spans="1:30" s="3179" customFormat="1" ht="12.75">
      <c r="A28" s="3170" t="s">
        <v>2819</v>
      </c>
      <c r="B28" s="3171">
        <v>2023</v>
      </c>
      <c r="C28" s="3172">
        <v>1</v>
      </c>
      <c r="D28" s="3173"/>
      <c r="E28" s="3173">
        <v>0</v>
      </c>
      <c r="F28" s="3173">
        <v>0</v>
      </c>
      <c r="G28" s="3173">
        <v>0</v>
      </c>
      <c r="H28" s="3190"/>
      <c r="I28" s="3174">
        <f t="shared" si="26"/>
        <v>0</v>
      </c>
      <c r="J28" s="3175"/>
      <c r="K28" s="3176"/>
      <c r="L28" s="3166">
        <f t="shared" si="28"/>
        <v>0</v>
      </c>
      <c r="M28" s="3166">
        <f t="shared" si="29"/>
        <v>0</v>
      </c>
      <c r="N28" s="3166">
        <f t="shared" si="30"/>
        <v>0</v>
      </c>
      <c r="O28" s="3166"/>
      <c r="P28" s="3166">
        <f t="shared" si="31"/>
        <v>0</v>
      </c>
      <c r="Q28" s="3175"/>
      <c r="R28" s="3177"/>
      <c r="S28" s="3177">
        <f>ROUND(IF([2]项目基本情况!$B$8="出让",SUMPRODUCT(PRODUCT(1+L28:L$36)),SUMPRODUCT(PRODUCT(1+L28:L$35))),4)</f>
        <v>1.0286999999999999</v>
      </c>
      <c r="T28" s="3177">
        <f>ROUND(IF([2]项目基本情况!$B$8="出让",SUMPRODUCT(PRODUCT(1+M28:M$36)),SUMPRODUCT(PRODUCT(1+M28:M$35))),4)</f>
        <v>1.0164</v>
      </c>
      <c r="U28" s="3177">
        <f>ROUND(IF([2]项目基本情况!$B$8="出让",SUMPRODUCT(PRODUCT(1+N28:N$36)),SUMPRODUCT(PRODUCT(1+N28:N$35))),4)</f>
        <v>1.0506</v>
      </c>
      <c r="V28" s="3177"/>
      <c r="W28" s="3177">
        <f t="shared" si="32"/>
        <v>1.0164</v>
      </c>
      <c r="X28" s="3175"/>
      <c r="Y28" s="3178"/>
      <c r="Z28" s="3206"/>
      <c r="AA28" s="3443"/>
      <c r="AB28" s="3443"/>
      <c r="AC28" s="3207"/>
      <c r="AD28" s="3178"/>
    </row>
    <row r="29" spans="1:30" s="3189" customFormat="1" ht="12.75">
      <c r="A29" s="3180" t="s">
        <v>3368</v>
      </c>
      <c r="B29" s="3181">
        <v>2022</v>
      </c>
      <c r="C29" s="3182">
        <v>4</v>
      </c>
      <c r="D29" s="3183"/>
      <c r="E29" s="3183">
        <v>0.45</v>
      </c>
      <c r="F29" s="3183">
        <v>0.2</v>
      </c>
      <c r="G29" s="3183">
        <v>0.38</v>
      </c>
      <c r="H29" s="3184"/>
      <c r="I29" s="3185">
        <f t="shared" si="26"/>
        <v>0.2</v>
      </c>
      <c r="J29" s="3186"/>
      <c r="K29" s="3187"/>
      <c r="L29" s="3188">
        <f t="shared" si="27"/>
        <v>4.5000000000000005E-3</v>
      </c>
      <c r="M29" s="3188">
        <f t="shared" si="27"/>
        <v>2E-3</v>
      </c>
      <c r="N29" s="3188">
        <f t="shared" si="27"/>
        <v>3.8E-3</v>
      </c>
      <c r="O29" s="3188"/>
      <c r="P29" s="3188">
        <f t="shared" ref="P29:P36" si="33">M29</f>
        <v>2E-3</v>
      </c>
      <c r="Q29" s="3186"/>
      <c r="R29" s="3186"/>
      <c r="S29" s="3186">
        <f>ROUND(IF([2]项目基本情况!$B$8="出让",SUMPRODUCT(PRODUCT(1+L29:L$36)),SUMPRODUCT(PRODUCT(1+L29:L$35))),4)</f>
        <v>1.0286999999999999</v>
      </c>
      <c r="T29" s="3186">
        <f>ROUND(IF([2]项目基本情况!$B$8="出让",SUMPRODUCT(PRODUCT(1+M29:M$36)),SUMPRODUCT(PRODUCT(1+M29:M$35))),4)</f>
        <v>1.0164</v>
      </c>
      <c r="U29" s="3186">
        <f>ROUND(IF([2]项目基本情况!$B$8="出让",SUMPRODUCT(PRODUCT(1+N29:N$36)),SUMPRODUCT(PRODUCT(1+N29:N$35))),4)</f>
        <v>1.0506</v>
      </c>
      <c r="V29" s="3186"/>
      <c r="W29" s="3186">
        <f t="shared" ref="W29:W36" si="34">T29</f>
        <v>1.0164</v>
      </c>
      <c r="X29" s="3186"/>
      <c r="Y29" s="3188"/>
      <c r="Z29" s="3209">
        <f t="shared" ref="Z29:AD36" si="35">IF(E29=0,0,ROUND(AVERAGE(E29:E37)/100,4))</f>
        <v>4.0000000000000001E-3</v>
      </c>
      <c r="AA29" s="3210">
        <f t="shared" si="35"/>
        <v>2.5999999999999999E-3</v>
      </c>
      <c r="AB29" s="3188">
        <f t="shared" si="35"/>
        <v>7.4000000000000003E-3</v>
      </c>
      <c r="AC29" s="3211"/>
      <c r="AD29" s="3188">
        <f t="shared" si="35"/>
        <v>2.5999999999999999E-3</v>
      </c>
    </row>
    <row r="30" spans="1:30" s="3179" customFormat="1" ht="12.75">
      <c r="A30" s="3170" t="s">
        <v>3369</v>
      </c>
      <c r="B30" s="3171">
        <v>2022</v>
      </c>
      <c r="C30" s="3172">
        <v>3</v>
      </c>
      <c r="D30" s="3173"/>
      <c r="E30" s="3173">
        <v>0.3</v>
      </c>
      <c r="F30" s="3173">
        <v>0.28999999999999998</v>
      </c>
      <c r="G30" s="3173">
        <v>0.83</v>
      </c>
      <c r="H30" s="3190"/>
      <c r="I30" s="3174">
        <f t="shared" si="26"/>
        <v>0.28999999999999998</v>
      </c>
      <c r="J30" s="3175"/>
      <c r="K30" s="3176"/>
      <c r="L30" s="3166">
        <f t="shared" si="27"/>
        <v>3.0000000000000001E-3</v>
      </c>
      <c r="M30" s="3166">
        <f t="shared" si="27"/>
        <v>2.8999999999999998E-3</v>
      </c>
      <c r="N30" s="3166">
        <f t="shared" si="27"/>
        <v>8.3000000000000001E-3</v>
      </c>
      <c r="O30" s="3166"/>
      <c r="P30" s="3166">
        <f t="shared" si="33"/>
        <v>2.8999999999999998E-3</v>
      </c>
      <c r="Q30" s="3175"/>
      <c r="R30" s="3177"/>
      <c r="S30" s="3177">
        <f>ROUND(IF([2]项目基本情况!$B$8="出让",SUMPRODUCT(PRODUCT(1+L30:L$36)),SUMPRODUCT(PRODUCT(1+L30:L$35))),4)</f>
        <v>1.0241</v>
      </c>
      <c r="T30" s="3177">
        <f>ROUND(IF([2]项目基本情况!$B$8="出让",SUMPRODUCT(PRODUCT(1+M30:M$36)),SUMPRODUCT(PRODUCT(1+M30:M$35))),4)</f>
        <v>1.0144</v>
      </c>
      <c r="U30" s="3177">
        <f>ROUND(IF([2]项目基本情况!$B$8="出让",SUMPRODUCT(PRODUCT(1+N30:N$36)),SUMPRODUCT(PRODUCT(1+N30:N$35))),4)</f>
        <v>1.0467</v>
      </c>
      <c r="V30" s="3177"/>
      <c r="W30" s="3177">
        <f t="shared" si="34"/>
        <v>1.0144</v>
      </c>
      <c r="X30" s="3175"/>
      <c r="Y30" s="3178"/>
      <c r="Z30" s="3206">
        <f t="shared" si="35"/>
        <v>3.8999999999999998E-3</v>
      </c>
      <c r="AA30" s="3208">
        <f t="shared" si="35"/>
        <v>2.7000000000000001E-3</v>
      </c>
      <c r="AB30" s="3178">
        <f t="shared" si="35"/>
        <v>7.9000000000000008E-3</v>
      </c>
      <c r="AC30" s="3207"/>
      <c r="AD30" s="3178">
        <f t="shared" si="35"/>
        <v>2.7000000000000001E-3</v>
      </c>
    </row>
    <row r="31" spans="1:30" s="3179" customFormat="1" ht="12.75">
      <c r="A31" s="3170" t="s">
        <v>3358</v>
      </c>
      <c r="B31" s="3171">
        <v>2022</v>
      </c>
      <c r="C31" s="3172">
        <v>2</v>
      </c>
      <c r="D31" s="3173"/>
      <c r="E31" s="3173">
        <v>-0.11</v>
      </c>
      <c r="F31" s="3173">
        <v>-0.13</v>
      </c>
      <c r="G31" s="3173">
        <v>0.53</v>
      </c>
      <c r="H31" s="3190"/>
      <c r="I31" s="3174">
        <f t="shared" si="26"/>
        <v>-0.13</v>
      </c>
      <c r="J31" s="3175"/>
      <c r="K31" s="3176"/>
      <c r="L31" s="3166">
        <f t="shared" si="27"/>
        <v>-1.1000000000000001E-3</v>
      </c>
      <c r="M31" s="3166">
        <f t="shared" si="27"/>
        <v>-1.2999999999999999E-3</v>
      </c>
      <c r="N31" s="3166">
        <f t="shared" si="27"/>
        <v>5.3E-3</v>
      </c>
      <c r="O31" s="3166"/>
      <c r="P31" s="3166">
        <f t="shared" si="33"/>
        <v>-1.2999999999999999E-3</v>
      </c>
      <c r="Q31" s="3175"/>
      <c r="R31" s="3177"/>
      <c r="S31" s="3177">
        <f>ROUND(IF([2]项目基本情况!$B$8="出让",SUMPRODUCT(PRODUCT(1+L31:L$36)),SUMPRODUCT(PRODUCT(1+L31:L$35))),4)</f>
        <v>1.0210999999999999</v>
      </c>
      <c r="T31" s="3177">
        <f>ROUND(IF([2]项目基本情况!$B$8="出让",SUMPRODUCT(PRODUCT(1+M31:M$36)),SUMPRODUCT(PRODUCT(1+M31:M$35))),4)</f>
        <v>1.0114000000000001</v>
      </c>
      <c r="U31" s="3177">
        <f>ROUND(IF([2]项目基本情况!$B$8="出让",SUMPRODUCT(PRODUCT(1+N31:N$36)),SUMPRODUCT(PRODUCT(1+N31:N$35))),4)</f>
        <v>1.0381</v>
      </c>
      <c r="V31" s="3177"/>
      <c r="W31" s="3177">
        <f t="shared" si="34"/>
        <v>1.0114000000000001</v>
      </c>
      <c r="X31" s="3175"/>
      <c r="Y31" s="3178"/>
      <c r="Z31" s="3206">
        <f t="shared" si="35"/>
        <v>4.1000000000000003E-3</v>
      </c>
      <c r="AA31" s="3208">
        <f t="shared" si="35"/>
        <v>2.7000000000000001E-3</v>
      </c>
      <c r="AB31" s="3178">
        <f t="shared" si="35"/>
        <v>7.9000000000000008E-3</v>
      </c>
      <c r="AC31" s="3207"/>
      <c r="AD31" s="3178">
        <f t="shared" si="35"/>
        <v>2.7000000000000001E-3</v>
      </c>
    </row>
    <row r="32" spans="1:30" s="3179" customFormat="1" ht="12.75">
      <c r="A32" s="3170" t="s">
        <v>2837</v>
      </c>
      <c r="B32" s="3171">
        <v>2022</v>
      </c>
      <c r="C32" s="3172">
        <v>1</v>
      </c>
      <c r="D32" s="3173"/>
      <c r="E32" s="3173">
        <v>0.6</v>
      </c>
      <c r="F32" s="3173">
        <v>0.45</v>
      </c>
      <c r="G32" s="3173">
        <v>0.53</v>
      </c>
      <c r="H32" s="3190"/>
      <c r="I32" s="3174">
        <f t="shared" si="26"/>
        <v>0.45</v>
      </c>
      <c r="J32" s="3175"/>
      <c r="K32" s="3176"/>
      <c r="L32" s="3166">
        <f t="shared" si="27"/>
        <v>6.0000000000000001E-3</v>
      </c>
      <c r="M32" s="3166">
        <f t="shared" si="27"/>
        <v>4.5000000000000005E-3</v>
      </c>
      <c r="N32" s="3166">
        <f t="shared" si="27"/>
        <v>5.3E-3</v>
      </c>
      <c r="O32" s="3166"/>
      <c r="P32" s="3166">
        <f t="shared" si="33"/>
        <v>4.5000000000000005E-3</v>
      </c>
      <c r="Q32" s="3175"/>
      <c r="R32" s="3177"/>
      <c r="S32" s="3177">
        <f>ROUND(IF([2]项目基本情况!$B$8="出让",SUMPRODUCT(PRODUCT(1+L32:L$36)),SUMPRODUCT(PRODUCT(1+L32:L$35))),4)</f>
        <v>1.0222</v>
      </c>
      <c r="T32" s="3177">
        <f>ROUND(IF([2]项目基本情况!$B$8="出让",SUMPRODUCT(PRODUCT(1+M32:M$36)),SUMPRODUCT(PRODUCT(1+M32:M$35))),4)</f>
        <v>1.0127999999999999</v>
      </c>
      <c r="U32" s="3177">
        <f>ROUND(IF([2]项目基本情况!$B$8="出让",SUMPRODUCT(PRODUCT(1+N32:N$36)),SUMPRODUCT(PRODUCT(1+N32:N$35))),4)</f>
        <v>1.0326</v>
      </c>
      <c r="V32" s="3177"/>
      <c r="W32" s="3177">
        <f t="shared" si="34"/>
        <v>1.0127999999999999</v>
      </c>
      <c r="X32" s="3175"/>
      <c r="Y32" s="3178"/>
      <c r="Z32" s="3206">
        <f t="shared" si="35"/>
        <v>5.1000000000000004E-3</v>
      </c>
      <c r="AA32" s="3208">
        <f t="shared" si="35"/>
        <v>3.5000000000000001E-3</v>
      </c>
      <c r="AB32" s="3178">
        <f t="shared" si="35"/>
        <v>8.3999999999999995E-3</v>
      </c>
      <c r="AC32" s="3207"/>
      <c r="AD32" s="3178">
        <f t="shared" si="35"/>
        <v>3.5000000000000001E-3</v>
      </c>
    </row>
    <row r="33" spans="1:30" s="3179" customFormat="1" ht="12.75">
      <c r="A33" s="3170" t="s">
        <v>2838</v>
      </c>
      <c r="B33" s="3171">
        <v>2021</v>
      </c>
      <c r="C33" s="3172">
        <v>4</v>
      </c>
      <c r="D33" s="3173"/>
      <c r="E33" s="3173">
        <v>0.57999999999999996</v>
      </c>
      <c r="F33" s="3173">
        <v>0.08</v>
      </c>
      <c r="G33" s="3173">
        <v>0.68</v>
      </c>
      <c r="H33" s="3190"/>
      <c r="I33" s="3174">
        <f t="shared" si="26"/>
        <v>0.08</v>
      </c>
      <c r="J33" s="3175"/>
      <c r="K33" s="3176"/>
      <c r="L33" s="3166">
        <f t="shared" si="27"/>
        <v>5.7999999999999996E-3</v>
      </c>
      <c r="M33" s="3166">
        <f t="shared" si="27"/>
        <v>8.0000000000000004E-4</v>
      </c>
      <c r="N33" s="3166">
        <f t="shared" si="27"/>
        <v>6.8000000000000005E-3</v>
      </c>
      <c r="O33" s="3166"/>
      <c r="P33" s="3166">
        <f t="shared" si="33"/>
        <v>8.0000000000000004E-4</v>
      </c>
      <c r="Q33" s="3175"/>
      <c r="R33" s="3177"/>
      <c r="S33" s="3177">
        <f>ROUND(IF([2]项目基本情况!$B$8="出让",SUMPRODUCT(PRODUCT(1+L33:L$36)),SUMPRODUCT(PRODUCT(1+L33:L$35))),4)</f>
        <v>1.0161</v>
      </c>
      <c r="T33" s="3177">
        <f>ROUND(IF([2]项目基本情况!$B$8="出让",SUMPRODUCT(PRODUCT(1+M33:M$36)),SUMPRODUCT(PRODUCT(1+M33:M$35))),4)</f>
        <v>1.0082</v>
      </c>
      <c r="U33" s="3177">
        <f>ROUND(IF([2]项目基本情况!$B$8="出让",SUMPRODUCT(PRODUCT(1+N33:N$36)),SUMPRODUCT(PRODUCT(1+N33:N$35))),4)</f>
        <v>1.0270999999999999</v>
      </c>
      <c r="V33" s="3177"/>
      <c r="W33" s="3177">
        <f t="shared" si="34"/>
        <v>1.0082</v>
      </c>
      <c r="X33" s="3175"/>
      <c r="Y33" s="3178"/>
      <c r="Z33" s="3206">
        <f t="shared" si="35"/>
        <v>4.8999999999999998E-3</v>
      </c>
      <c r="AA33" s="3208">
        <f t="shared" si="35"/>
        <v>3.3E-3</v>
      </c>
      <c r="AB33" s="3178">
        <f t="shared" si="35"/>
        <v>9.1999999999999998E-3</v>
      </c>
      <c r="AC33" s="3207"/>
      <c r="AD33" s="3178">
        <f t="shared" si="35"/>
        <v>3.3E-3</v>
      </c>
    </row>
    <row r="34" spans="1:30" s="3179" customFormat="1" ht="12.75">
      <c r="A34" s="3170" t="s">
        <v>2839</v>
      </c>
      <c r="B34" s="3171">
        <v>2021</v>
      </c>
      <c r="C34" s="3172">
        <v>3</v>
      </c>
      <c r="D34" s="3173"/>
      <c r="E34" s="3173">
        <v>0.47</v>
      </c>
      <c r="F34" s="3173">
        <v>0.28000000000000003</v>
      </c>
      <c r="G34" s="3173">
        <v>0.91</v>
      </c>
      <c r="H34" s="3190"/>
      <c r="I34" s="3174">
        <f t="shared" si="26"/>
        <v>0.28000000000000003</v>
      </c>
      <c r="J34" s="3175"/>
      <c r="K34" s="3176"/>
      <c r="L34" s="3166">
        <f t="shared" si="27"/>
        <v>4.6999999999999993E-3</v>
      </c>
      <c r="M34" s="3166">
        <f t="shared" si="27"/>
        <v>2.8000000000000004E-3</v>
      </c>
      <c r="N34" s="3166">
        <f t="shared" si="27"/>
        <v>9.1000000000000004E-3</v>
      </c>
      <c r="O34" s="3166"/>
      <c r="P34" s="3166">
        <f t="shared" si="33"/>
        <v>2.8000000000000004E-3</v>
      </c>
      <c r="Q34" s="3175"/>
      <c r="R34" s="3177"/>
      <c r="S34" s="3177">
        <f>ROUND(IF([2]项目基本情况!$B$8="出让",SUMPRODUCT(PRODUCT(1+L34:L$36)),SUMPRODUCT(PRODUCT(1+L34:L$35))),4)</f>
        <v>1.0102</v>
      </c>
      <c r="T34" s="3177">
        <f>ROUND(IF([2]项目基本情况!$B$8="出让",SUMPRODUCT(PRODUCT(1+M34:M$36)),SUMPRODUCT(PRODUCT(1+M34:M$35))),4)</f>
        <v>1.0074000000000001</v>
      </c>
      <c r="U34" s="3177">
        <f>ROUND(IF([2]项目基本情况!$B$8="出让",SUMPRODUCT(PRODUCT(1+N34:N$36)),SUMPRODUCT(PRODUCT(1+N34:N$35))),4)</f>
        <v>1.0202</v>
      </c>
      <c r="V34" s="3177"/>
      <c r="W34" s="3177">
        <f t="shared" si="34"/>
        <v>1.0074000000000001</v>
      </c>
      <c r="X34" s="3175"/>
      <c r="Y34" s="3178"/>
      <c r="Z34" s="3206">
        <f t="shared" si="35"/>
        <v>4.5999999999999999E-3</v>
      </c>
      <c r="AA34" s="3208">
        <f t="shared" si="35"/>
        <v>4.1000000000000003E-3</v>
      </c>
      <c r="AB34" s="3178">
        <f t="shared" si="35"/>
        <v>0.01</v>
      </c>
      <c r="AC34" s="3207"/>
      <c r="AD34" s="3178">
        <f t="shared" si="35"/>
        <v>4.1000000000000003E-3</v>
      </c>
    </row>
    <row r="35" spans="1:30" s="3179" customFormat="1" ht="12.75">
      <c r="A35" s="3170" t="s">
        <v>2840</v>
      </c>
      <c r="B35" s="3171">
        <v>2021</v>
      </c>
      <c r="C35" s="3172">
        <v>2</v>
      </c>
      <c r="D35" s="3173"/>
      <c r="E35" s="3173">
        <v>0.55000000000000004</v>
      </c>
      <c r="F35" s="3173">
        <v>0.46</v>
      </c>
      <c r="G35" s="3173">
        <v>1.1000000000000001</v>
      </c>
      <c r="H35" s="3190"/>
      <c r="I35" s="3174">
        <f t="shared" si="26"/>
        <v>0.46</v>
      </c>
      <c r="J35" s="3175"/>
      <c r="K35" s="3176"/>
      <c r="L35" s="3166">
        <f t="shared" si="27"/>
        <v>5.5000000000000005E-3</v>
      </c>
      <c r="M35" s="3166">
        <f t="shared" si="27"/>
        <v>4.5999999999999999E-3</v>
      </c>
      <c r="N35" s="3166">
        <f t="shared" si="27"/>
        <v>1.1000000000000001E-2</v>
      </c>
      <c r="O35" s="3166"/>
      <c r="P35" s="3166">
        <f t="shared" si="33"/>
        <v>4.5999999999999999E-3</v>
      </c>
      <c r="Q35" s="3175"/>
      <c r="R35" s="3177"/>
      <c r="S35" s="3177">
        <f>ROUND(IF([2]项目基本情况!$B$8="出让",SUMPRODUCT(PRODUCT(1+L35:L$36)),SUMPRODUCT(PRODUCT(1+L35:L$35))),4)</f>
        <v>1.0055000000000001</v>
      </c>
      <c r="T35" s="3177">
        <f>ROUND(IF([2]项目基本情况!$B$8="出让",SUMPRODUCT(PRODUCT(1+M35:M$36)),SUMPRODUCT(PRODUCT(1+M35:M$35))),4)</f>
        <v>1.0045999999999999</v>
      </c>
      <c r="U35" s="3177">
        <f>ROUND(IF([2]项目基本情况!$B$8="出让",SUMPRODUCT(PRODUCT(1+N35:N$36)),SUMPRODUCT(PRODUCT(1+N35:N$35))),4)</f>
        <v>1.0109999999999999</v>
      </c>
      <c r="V35" s="3177"/>
      <c r="W35" s="3177">
        <f t="shared" si="34"/>
        <v>1.0045999999999999</v>
      </c>
      <c r="X35" s="3175"/>
      <c r="Y35" s="3178"/>
      <c r="Z35" s="3206">
        <f t="shared" si="35"/>
        <v>4.4999999999999997E-3</v>
      </c>
      <c r="AA35" s="3208">
        <f t="shared" si="35"/>
        <v>4.7000000000000002E-3</v>
      </c>
      <c r="AB35" s="3178">
        <f t="shared" si="35"/>
        <v>1.04E-2</v>
      </c>
      <c r="AC35" s="3207"/>
      <c r="AD35" s="3178">
        <f t="shared" si="35"/>
        <v>4.7000000000000002E-3</v>
      </c>
    </row>
    <row r="36" spans="1:30" s="3201" customFormat="1" thickBot="1">
      <c r="A36" s="3191" t="s">
        <v>2825</v>
      </c>
      <c r="B36" s="3192">
        <v>2021</v>
      </c>
      <c r="C36" s="3193">
        <v>1</v>
      </c>
      <c r="D36" s="3194"/>
      <c r="E36" s="3194">
        <v>0.35</v>
      </c>
      <c r="F36" s="3194">
        <v>0.48</v>
      </c>
      <c r="G36" s="3194">
        <v>0.98</v>
      </c>
      <c r="H36" s="3195"/>
      <c r="I36" s="3196">
        <f t="shared" si="26"/>
        <v>0.48</v>
      </c>
      <c r="J36" s="3197"/>
      <c r="K36" s="3198"/>
      <c r="L36" s="3199">
        <f t="shared" si="27"/>
        <v>3.4999999999999996E-3</v>
      </c>
      <c r="M36" s="3199">
        <f>F36/100</f>
        <v>4.7999999999999996E-3</v>
      </c>
      <c r="N36" s="3199">
        <f t="shared" si="27"/>
        <v>9.7999999999999997E-3</v>
      </c>
      <c r="O36" s="3199"/>
      <c r="P36" s="3199">
        <f t="shared" si="33"/>
        <v>4.7999999999999996E-3</v>
      </c>
      <c r="Q36" s="3197"/>
      <c r="R36" s="3200"/>
      <c r="S36" s="3200">
        <v>1</v>
      </c>
      <c r="T36" s="3200">
        <v>1</v>
      </c>
      <c r="U36" s="3200">
        <v>1</v>
      </c>
      <c r="V36" s="3200"/>
      <c r="W36" s="3200">
        <f t="shared" si="34"/>
        <v>1</v>
      </c>
      <c r="X36" s="3197"/>
      <c r="Y36" s="3199"/>
      <c r="Z36" s="3212">
        <f t="shared" si="35"/>
        <v>3.5000000000000001E-3</v>
      </c>
      <c r="AA36" s="3213">
        <f t="shared" si="35"/>
        <v>4.7999999999999996E-3</v>
      </c>
      <c r="AB36" s="3199">
        <f t="shared" si="35"/>
        <v>9.7999999999999997E-3</v>
      </c>
      <c r="AC36" s="3214"/>
      <c r="AD36" s="3199">
        <f t="shared" si="35"/>
        <v>4.7999999999999996E-3</v>
      </c>
    </row>
    <row r="37" spans="1:30" ht="14.25" thickTop="1"/>
    <row r="38" spans="1:30">
      <c r="A38" s="3442"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3366</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0">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3363</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0">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3364</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0">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3365</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0">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2435</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9">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2312</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4">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2311</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3">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2310</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7">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2308</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6">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2307</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3">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79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79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79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79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79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79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79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79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79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79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79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79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79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79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79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79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79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79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79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79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79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79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79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79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79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79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79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79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79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79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79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79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79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79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79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79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79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79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79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79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79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79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79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79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79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79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79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79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79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79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79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79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79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45013</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5">
        <v>44795</v>
      </c>
      <c r="D13" s="2816">
        <v>3.65</v>
      </c>
      <c r="E13" s="2816">
        <f>D13</f>
        <v>3.65</v>
      </c>
      <c r="F13" s="2816">
        <f>D13</f>
        <v>3.65</v>
      </c>
      <c r="G13" s="2816">
        <f>D13</f>
        <v>3.65</v>
      </c>
      <c r="H13" s="2816">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0"/>
      <c r="C14" s="2812">
        <v>44701</v>
      </c>
      <c r="D14" s="2811">
        <v>3.7</v>
      </c>
      <c r="E14" s="2811">
        <f>D14</f>
        <v>3.7</v>
      </c>
      <c r="F14" s="2811">
        <f>D14</f>
        <v>3.7</v>
      </c>
      <c r="G14" s="2811">
        <f>D14</f>
        <v>3.7</v>
      </c>
      <c r="H14" s="2811">
        <v>4.45</v>
      </c>
      <c r="I14" s="2816"/>
      <c r="J14" s="2816"/>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0"/>
      <c r="C15" s="2812">
        <v>44581</v>
      </c>
      <c r="D15" s="2811">
        <v>3.7</v>
      </c>
      <c r="E15" s="2811">
        <f>D15</f>
        <v>3.7</v>
      </c>
      <c r="F15" s="2811">
        <f>D15</f>
        <v>3.7</v>
      </c>
      <c r="G15" s="2811">
        <f>D15</f>
        <v>3.7</v>
      </c>
      <c r="H15" s="2811">
        <v>4.5999999999999996</v>
      </c>
      <c r="I15" s="2816"/>
      <c r="J15" s="2816"/>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1"/>
      <c r="C16" s="2812">
        <v>44550</v>
      </c>
      <c r="D16" s="2811">
        <v>3.8</v>
      </c>
      <c r="E16" s="2811">
        <f>D16</f>
        <v>3.8</v>
      </c>
      <c r="F16" s="2811">
        <f>D16</f>
        <v>3.8</v>
      </c>
      <c r="G16" s="2811">
        <f>D16</f>
        <v>3.8</v>
      </c>
      <c r="H16" s="2811">
        <v>4.6500000000000004</v>
      </c>
      <c r="I16" s="2811"/>
      <c r="J16" s="2816"/>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1"/>
      <c r="C17" s="2812">
        <v>43941</v>
      </c>
      <c r="D17" s="2811">
        <v>3.85</v>
      </c>
      <c r="E17" s="2811">
        <v>3.85</v>
      </c>
      <c r="F17" s="2811">
        <v>3.85</v>
      </c>
      <c r="G17" s="2811">
        <v>3.85</v>
      </c>
      <c r="H17" s="2811">
        <v>4.6500000000000004</v>
      </c>
      <c r="I17" s="2811"/>
      <c r="J17" s="281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1"/>
      <c r="C18" s="2812">
        <v>43881</v>
      </c>
      <c r="D18" s="2811">
        <v>4.05</v>
      </c>
      <c r="E18" s="2811">
        <v>4.05</v>
      </c>
      <c r="F18" s="2811">
        <v>4.05</v>
      </c>
      <c r="G18" s="2811">
        <v>4.05</v>
      </c>
      <c r="H18" s="2811">
        <v>4.75</v>
      </c>
      <c r="I18" s="2811"/>
      <c r="J18" s="2811"/>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84"/>
      <c r="B19" s="2811"/>
      <c r="C19" s="2812">
        <v>43789</v>
      </c>
      <c r="D19" s="2811">
        <v>4.1500000000000004</v>
      </c>
      <c r="E19" s="2811">
        <v>4.1500000000000004</v>
      </c>
      <c r="F19" s="2811">
        <v>4.1500000000000004</v>
      </c>
      <c r="G19" s="2811">
        <v>4.1500000000000004</v>
      </c>
      <c r="H19" s="2811">
        <v>4.8</v>
      </c>
      <c r="I19" s="2811"/>
      <c r="J19" s="281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1"/>
      <c r="C20" s="2812">
        <v>43728</v>
      </c>
      <c r="D20" s="2811">
        <v>4.2</v>
      </c>
      <c r="E20" s="2811">
        <v>4.2</v>
      </c>
      <c r="F20" s="2811">
        <v>4.2</v>
      </c>
      <c r="G20" s="2811">
        <v>4.2</v>
      </c>
      <c r="H20" s="2811">
        <v>4.8499999999999996</v>
      </c>
      <c r="I20" s="2811"/>
      <c r="J20" s="281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0" t="s">
        <v>2309</v>
      </c>
      <c r="C21" s="2813">
        <v>43697</v>
      </c>
      <c r="D21" s="2814">
        <v>4.25</v>
      </c>
      <c r="E21" s="2814">
        <v>4.25</v>
      </c>
      <c r="F21" s="2814">
        <v>4.25</v>
      </c>
      <c r="G21" s="2814">
        <v>4.25</v>
      </c>
      <c r="H21" s="2814">
        <v>4.8499999999999996</v>
      </c>
      <c r="I21" s="2814"/>
      <c r="J21" s="2814"/>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17"/>
      <c r="B22" s="2818"/>
      <c r="C22" s="2819">
        <v>42301</v>
      </c>
      <c r="D22" s="2820">
        <v>4.3499999999999996</v>
      </c>
      <c r="E22" s="2820">
        <v>4.3499999999999996</v>
      </c>
      <c r="F22" s="2820">
        <v>4.75</v>
      </c>
      <c r="G22" s="2820">
        <v>4.75</v>
      </c>
      <c r="H22" s="2820">
        <v>4.9000000000000004</v>
      </c>
      <c r="I22" s="2820"/>
      <c r="J22" s="2820"/>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6" workbookViewId="0">
      <selection activeCell="L25" sqref="L25"/>
    </sheetView>
  </sheetViews>
  <sheetFormatPr defaultRowHeight="13.5"/>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M2:Y19"/>
  <sheetViews>
    <sheetView topLeftCell="A11" workbookViewId="0">
      <selection activeCell="O47" sqref="O47"/>
    </sheetView>
  </sheetViews>
  <sheetFormatPr defaultRowHeight="13.5"/>
  <sheetData>
    <row r="2" spans="13:25">
      <c r="M2" s="3444" t="s">
        <v>3390</v>
      </c>
      <c r="N2">
        <v>31580.01</v>
      </c>
    </row>
    <row r="3" spans="13:25">
      <c r="M3" s="3444" t="s">
        <v>3391</v>
      </c>
      <c r="N3">
        <v>30701.98</v>
      </c>
    </row>
    <row r="4" spans="13:25">
      <c r="M4" s="3444" t="s">
        <v>3392</v>
      </c>
      <c r="N4">
        <v>13224.27</v>
      </c>
    </row>
    <row r="5" spans="13:25">
      <c r="M5" s="3444" t="s">
        <v>3393</v>
      </c>
      <c r="N5">
        <v>13859.82</v>
      </c>
    </row>
    <row r="6" spans="13:25">
      <c r="M6" s="3444" t="s">
        <v>3394</v>
      </c>
      <c r="N6">
        <v>19365.16</v>
      </c>
    </row>
    <row r="7" spans="13:25">
      <c r="N7" s="3445">
        <f>SUM(N2:N6)</f>
        <v>108731.23999999999</v>
      </c>
      <c r="O7">
        <v>31139.11</v>
      </c>
      <c r="P7">
        <f>N7/O7</f>
        <v>3.491790227787499</v>
      </c>
    </row>
    <row r="16" spans="13:25">
      <c r="W16">
        <v>137.28</v>
      </c>
      <c r="X16">
        <v>18000</v>
      </c>
      <c r="Y16">
        <f>X16/W16/30</f>
        <v>4.3706293706293708</v>
      </c>
    </row>
    <row r="17" spans="23:25">
      <c r="W17">
        <v>63.91</v>
      </c>
      <c r="X17">
        <v>7500</v>
      </c>
      <c r="Y17">
        <f t="shared" ref="Y17:Y19" si="0">X17/W17/30</f>
        <v>3.9117508997027075</v>
      </c>
    </row>
    <row r="18" spans="23:25">
      <c r="W18">
        <v>85</v>
      </c>
      <c r="X18">
        <v>12500</v>
      </c>
      <c r="Y18">
        <f t="shared" si="0"/>
        <v>4.9019607843137258</v>
      </c>
    </row>
    <row r="19" spans="23:25">
      <c r="W19">
        <v>88</v>
      </c>
      <c r="X19">
        <v>11000</v>
      </c>
      <c r="Y19">
        <f t="shared" si="0"/>
        <v>4.166666666666667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70.150000000000006</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t="e">
        <f ca="1">结果表!D122</f>
        <v>#REF!</v>
      </c>
      <c r="E8" s="3476"/>
      <c r="F8" s="3476"/>
      <c r="G8" s="3476"/>
      <c r="H8" s="3476"/>
      <c r="I8" s="3476"/>
    </row>
    <row r="9" spans="1:9" ht="15">
      <c r="A9" s="3475" t="s">
        <v>927</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75" thickBot="1">
      <c r="A13" s="3480" t="s">
        <v>927</v>
      </c>
      <c r="B13" s="3480"/>
      <c r="C13" s="3480"/>
      <c r="D13" s="3480" t="e">
        <f>结果表!D127</f>
        <v>#VALUE!</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45029</v>
      </c>
      <c r="C2" s="2337" t="s">
        <v>2140</v>
      </c>
      <c r="D2" s="2337"/>
      <c r="E2" s="2337"/>
      <c r="F2" s="2333"/>
      <c r="G2" s="2333"/>
      <c r="H2" s="2333"/>
    </row>
    <row r="3" spans="1:8" ht="24" customHeight="1">
      <c r="A3" s="2338" t="s">
        <v>2141</v>
      </c>
      <c r="B3" s="2339" t="s">
        <v>2142</v>
      </c>
      <c r="C3" s="2339" t="s">
        <v>2143</v>
      </c>
      <c r="D3" s="2340" t="s">
        <v>2144</v>
      </c>
      <c r="E3" s="2341" t="s">
        <v>2145</v>
      </c>
      <c r="F3" s="1304" t="s">
        <v>2146</v>
      </c>
      <c r="G3" s="2339" t="s">
        <v>2143</v>
      </c>
      <c r="H3" s="2340" t="s">
        <v>2147</v>
      </c>
    </row>
    <row r="4" spans="1:8" ht="24" customHeight="1">
      <c r="A4" s="1304" t="s">
        <v>2148</v>
      </c>
      <c r="B4" s="1304">
        <f ca="1">IF(C4&lt;B2,"已过期",1119970066)</f>
        <v>1119970066</v>
      </c>
      <c r="C4" s="2342">
        <v>45937</v>
      </c>
      <c r="D4" s="2343" t="str">
        <f ca="1">A4&amp;"（注册号："&amp;B4&amp;"）"</f>
        <v>梁津（注册号：1119970066）</v>
      </c>
      <c r="E4" s="2344" t="s">
        <v>2148</v>
      </c>
      <c r="F4" s="1304">
        <f ca="1">IF(G4&lt;B2,"已过期",96010014)</f>
        <v>96010014</v>
      </c>
      <c r="G4" s="2345">
        <v>47118</v>
      </c>
      <c r="H4" s="2346" t="str">
        <f ca="1">E4&amp;"（注册号："&amp;F4&amp;"）"</f>
        <v>梁津（注册号：96010014）</v>
      </c>
    </row>
    <row r="5" spans="1:8" ht="24" customHeight="1">
      <c r="A5" s="1304" t="s">
        <v>2149</v>
      </c>
      <c r="B5" s="1304">
        <f ca="1">IF(C5&lt;B2,"已过期",1119970111)</f>
        <v>1119970111</v>
      </c>
      <c r="C5" s="2342">
        <v>45937</v>
      </c>
      <c r="D5" s="2343" t="str">
        <f t="shared" ref="D5:D15" ca="1" si="0">A5&amp;"（注册号："&amp;B5&amp;"）"</f>
        <v>叶凌（注册号：1119970111）</v>
      </c>
      <c r="E5" s="2344" t="s">
        <v>2149</v>
      </c>
      <c r="F5" s="1304">
        <f ca="1">IF(G5&lt;B2,"已过期",94010078)</f>
        <v>94010078</v>
      </c>
      <c r="G5" s="2345">
        <v>46387</v>
      </c>
      <c r="H5" s="2346" t="str">
        <f t="shared" ref="H5:H16" ca="1" si="1">E5&amp;"（注册号："&amp;F5&amp;"）"</f>
        <v>叶凌（注册号：94010078）</v>
      </c>
    </row>
    <row r="6" spans="1:8" ht="24" customHeight="1">
      <c r="A6" s="1304" t="s">
        <v>2150</v>
      </c>
      <c r="B6" s="1304">
        <f ca="1">IF(C6&lt;B2,"已过期",1120050019)</f>
        <v>1120050019</v>
      </c>
      <c r="C6" s="2342">
        <v>45410</v>
      </c>
      <c r="D6" s="2343" t="str">
        <f t="shared" ca="1" si="0"/>
        <v>王鹏（注册号：1120050019）</v>
      </c>
      <c r="E6" s="2344" t="s">
        <v>2150</v>
      </c>
      <c r="F6" s="1304">
        <f ca="1">IF(G6&lt;B2,"已过期",2002110030)</f>
        <v>2002110030</v>
      </c>
      <c r="G6" s="2345">
        <v>46387</v>
      </c>
      <c r="H6" s="2346" t="str">
        <f t="shared" ca="1" si="1"/>
        <v>王鹏（注册号：2002110030）</v>
      </c>
    </row>
    <row r="7" spans="1:8" ht="24" customHeight="1">
      <c r="A7" s="1304" t="s">
        <v>2151</v>
      </c>
      <c r="B7" s="1304">
        <f ca="1">IF(C7&lt;B2,"已过期",1120000080)</f>
        <v>1120000080</v>
      </c>
      <c r="C7" s="2342">
        <v>45937</v>
      </c>
      <c r="D7" s="2343" t="str">
        <f t="shared" ca="1" si="0"/>
        <v>欧红伟（注册号：1120000080）</v>
      </c>
      <c r="E7" s="2344" t="s">
        <v>2151</v>
      </c>
      <c r="F7" s="1304">
        <f ca="1">IF(G7&lt;B2,"已过期",2000110082)</f>
        <v>2000110082</v>
      </c>
      <c r="G7" s="2345">
        <v>46387</v>
      </c>
      <c r="H7" s="2346" t="str">
        <f t="shared" ca="1" si="1"/>
        <v>欧红伟（注册号：2000110082）</v>
      </c>
    </row>
    <row r="8" spans="1:8" ht="24" customHeight="1">
      <c r="A8" s="1304" t="s">
        <v>2152</v>
      </c>
      <c r="B8" s="1304">
        <f ca="1">IF(C8&lt;B2,"已过期",1419970001)</f>
        <v>1419970001</v>
      </c>
      <c r="C8" s="2342">
        <v>45937</v>
      </c>
      <c r="D8" s="2343" t="str">
        <f t="shared" ca="1" si="0"/>
        <v>吴薇（注册号：1419970001）</v>
      </c>
      <c r="E8" s="2344" t="s">
        <v>2152</v>
      </c>
      <c r="F8" s="1304">
        <f ca="1">IF(G8&lt;B2,"已过期",2002110125)</f>
        <v>2002110125</v>
      </c>
      <c r="G8" s="2345">
        <v>47118</v>
      </c>
      <c r="H8" s="2346" t="str">
        <f t="shared" ca="1" si="1"/>
        <v>吴薇（注册号：2002110125）</v>
      </c>
    </row>
    <row r="9" spans="1:8" ht="24" customHeight="1">
      <c r="A9" s="1304" t="s">
        <v>2153</v>
      </c>
      <c r="B9" s="1304">
        <f ca="1">IF(C9&lt;B2,"已过期",1120060040)</f>
        <v>1120060040</v>
      </c>
      <c r="C9" s="2347">
        <v>45592</v>
      </c>
      <c r="D9" s="2343" t="str">
        <f t="shared" ca="1" si="0"/>
        <v>陈颖（注册号：1120060040）</v>
      </c>
      <c r="E9" s="2344" t="s">
        <v>2153</v>
      </c>
      <c r="F9" s="1304">
        <f ca="1">IF(G9&lt;B2,"已过期",2004110096)</f>
        <v>2004110096</v>
      </c>
      <c r="G9" s="2345">
        <v>47118</v>
      </c>
      <c r="H9" s="2346" t="str">
        <f t="shared" ca="1" si="1"/>
        <v>陈颖（注册号：2004110096）</v>
      </c>
    </row>
    <row r="10" spans="1:8" ht="24" customHeight="1">
      <c r="A10" s="1304" t="s">
        <v>2154</v>
      </c>
      <c r="B10" s="1304">
        <f ca="1">IF(C10&lt;B2,"已过期",1120100036)</f>
        <v>1120100036</v>
      </c>
      <c r="C10" s="2347">
        <v>45752</v>
      </c>
      <c r="D10" s="2343" t="str">
        <f t="shared" ca="1" si="0"/>
        <v>崔锴（注册号：1120100036）</v>
      </c>
      <c r="E10" s="2344" t="s">
        <v>2154</v>
      </c>
      <c r="F10" s="1304">
        <f ca="1">IF(G10&lt;B2,"已过期",2010110070)</f>
        <v>2010110070</v>
      </c>
      <c r="G10" s="2345">
        <v>47907</v>
      </c>
      <c r="H10" s="2346" t="str">
        <f t="shared" ca="1" si="1"/>
        <v>崔锴（注册号：2010110070）</v>
      </c>
    </row>
    <row r="11" spans="1:8" ht="24" customHeight="1">
      <c r="A11" s="1304" t="s">
        <v>2155</v>
      </c>
      <c r="B11" s="1304">
        <f ca="1">IF(C11&lt;B2,"已过期",1120070131)</f>
        <v>1120070131</v>
      </c>
      <c r="C11" s="2342">
        <v>45937</v>
      </c>
      <c r="D11" s="2343" t="str">
        <f t="shared" ca="1" si="0"/>
        <v>郑燚（注册号：1120070131）</v>
      </c>
      <c r="E11" s="2344" t="s">
        <v>2155</v>
      </c>
      <c r="F11" s="1304">
        <f ca="1">IF(G11&lt;B2,"已过期",2014110011)</f>
        <v>2014110011</v>
      </c>
      <c r="G11" s="2345">
        <v>49302</v>
      </c>
      <c r="H11" s="2346" t="str">
        <f t="shared" ca="1" si="1"/>
        <v>郑燚（注册号：2014110011）</v>
      </c>
    </row>
    <row r="12" spans="1:8" ht="24" customHeight="1">
      <c r="A12" s="1304" t="s">
        <v>2156</v>
      </c>
      <c r="B12" s="1304">
        <f ca="1">IF(C12&lt;B2,"已过期",1120040230)</f>
        <v>1120040230</v>
      </c>
      <c r="C12" s="2347">
        <v>45937</v>
      </c>
      <c r="D12" s="2343" t="str">
        <f t="shared" ca="1" si="0"/>
        <v>苏海（注册号：1120040230）</v>
      </c>
      <c r="E12" s="2344" t="s">
        <v>2156</v>
      </c>
      <c r="F12" s="1304">
        <f ca="1">IF(G12&lt;B2,"已过期",98030020)</f>
        <v>98030020</v>
      </c>
      <c r="G12" s="2345">
        <v>47118</v>
      </c>
      <c r="H12" s="2346" t="str">
        <f t="shared" ca="1" si="1"/>
        <v>苏海（注册号：98030020）</v>
      </c>
    </row>
    <row r="13" spans="1:8" ht="24" customHeight="1">
      <c r="A13" s="1304" t="s">
        <v>2157</v>
      </c>
      <c r="B13" s="1304">
        <f ca="1">IF(C13&lt;B2,"已过期",1120020033)</f>
        <v>1120020033</v>
      </c>
      <c r="C13" s="2342">
        <v>45375</v>
      </c>
      <c r="D13" s="2343" t="str">
        <f t="shared" ca="1" si="0"/>
        <v>刘敬东（注册号：1120020033）</v>
      </c>
      <c r="E13" s="2344" t="s">
        <v>2157</v>
      </c>
      <c r="F13" s="1304">
        <f ca="1">IF(G13&lt;B2,"已过期",2000110137)</f>
        <v>2000110137</v>
      </c>
      <c r="G13" s="2345">
        <v>46387</v>
      </c>
      <c r="H13" s="2346" t="str">
        <f t="shared" ca="1" si="1"/>
        <v>刘敬东（注册号：2000110137）</v>
      </c>
    </row>
    <row r="14" spans="1:8" ht="24" customHeight="1">
      <c r="A14" s="1304" t="s">
        <v>2158</v>
      </c>
      <c r="B14" s="1304" t="str">
        <f ca="1">IF(C14&lt;B2,"已过期",1119980106)</f>
        <v>已过期</v>
      </c>
      <c r="C14" s="2347">
        <v>44969</v>
      </c>
      <c r="D14" s="2343" t="str">
        <f t="shared" ca="1" si="0"/>
        <v>刘俊财（注册号：已过期）</v>
      </c>
      <c r="E14" s="2344" t="s">
        <v>2158</v>
      </c>
      <c r="F14" s="1304">
        <f ca="1">IF(G14&lt;B2,"已过期",96010063)</f>
        <v>96010063</v>
      </c>
      <c r="G14" s="2345">
        <v>47483</v>
      </c>
      <c r="H14" s="2346" t="str">
        <f t="shared" ca="1" si="1"/>
        <v>刘俊财（注册号：96010063）</v>
      </c>
    </row>
    <row r="15" spans="1:8" ht="24" customHeight="1">
      <c r="A15" s="1304" t="s">
        <v>2436</v>
      </c>
      <c r="B15" s="1304">
        <v>1120210056</v>
      </c>
      <c r="C15" s="2347">
        <v>45410</v>
      </c>
      <c r="D15" s="2343" t="str">
        <f t="shared" si="0"/>
        <v>宁小鳗（注册号：1120210056）</v>
      </c>
      <c r="E15" s="2344" t="s">
        <v>2159</v>
      </c>
      <c r="F15" s="1304">
        <f ca="1">IF(G15&lt;B2,"已过期",2011110090)</f>
        <v>2011110090</v>
      </c>
      <c r="G15" s="2345">
        <v>48302</v>
      </c>
      <c r="H15" s="2346" t="str">
        <f t="shared" ca="1" si="1"/>
        <v>赵雯（注册号：2011110090）</v>
      </c>
    </row>
    <row r="16" spans="1:8" s="2349" customFormat="1" ht="24" customHeight="1">
      <c r="A16" s="1304"/>
      <c r="B16" s="1304"/>
      <c r="C16" s="1304"/>
      <c r="D16" s="2343" t="str">
        <f>A16&amp;"（注册号："&amp;B16&amp;"）"</f>
        <v>（注册号：）</v>
      </c>
      <c r="E16" s="2344"/>
      <c r="F16" s="1304"/>
      <c r="G16" s="1304"/>
      <c r="H16" s="2348"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0"/>
      <c r="E18" s="3501" t="s">
        <v>2162</v>
      </c>
      <c r="F18" s="3500"/>
      <c r="G18" s="3500"/>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2437</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比较法-公寓</vt:lpstr>
      <vt:lpstr>收益法 (元)</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Sheet1</vt:lpstr>
      <vt:lpstr>'比较法-办公'!Print_Area</vt:lpstr>
      <vt:lpstr>'比较法-仓储'!Print_Area</vt:lpstr>
      <vt:lpstr>'比较法-车位'!Print_Area</vt:lpstr>
      <vt:lpstr>'比较法-工业'!Print_Area</vt:lpstr>
      <vt:lpstr>'比较法-公寓'!Print_Area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2023-04-13T09:16:07Z</dcterms:modified>
</cp:coreProperties>
</file>