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19440" windowHeight="598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5" i="9" l="1"/>
  <c r="G26" i="9" s="1"/>
  <c r="E104" i="33"/>
  <c r="F104" i="33" s="1"/>
  <c r="G104" i="33" s="1"/>
  <c r="D104" i="33"/>
  <c r="X20" i="1"/>
  <c r="X21" i="1" s="1"/>
  <c r="V21" i="1"/>
  <c r="V20" i="1"/>
  <c r="V19" i="1"/>
  <c r="O96" i="33" l="1"/>
  <c r="O95" i="33"/>
  <c r="P92" i="33" l="1"/>
  <c r="P93" i="33"/>
  <c r="J49" i="67"/>
  <c r="O19" i="1" l="1"/>
  <c r="N18" i="1"/>
  <c r="N20" i="1" s="1"/>
  <c r="N6" i="1" s="1"/>
  <c r="F19" i="6"/>
  <c r="C33" i="33" s="1"/>
  <c r="C36" i="33" l="1"/>
  <c r="Y6" i="1"/>
  <c r="D3" i="4"/>
  <c r="G36" i="33" l="1"/>
  <c r="E36" i="33"/>
  <c r="I12" i="79"/>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47" i="79"/>
  <c r="AK47" i="79" s="1"/>
  <c r="AH47" i="79"/>
  <c r="W45" i="79"/>
  <c r="AK45" i="79" s="1"/>
  <c r="AH45" i="79"/>
  <c r="W21" i="79"/>
  <c r="AK21" i="79" s="1"/>
  <c r="AH21"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AA21" i="33" s="1"/>
  <c r="E83" i="21"/>
  <c r="F83" i="21" s="1"/>
  <c r="H1" i="69"/>
  <c r="AC25" i="40"/>
  <c r="W25" i="40"/>
  <c r="U25" i="40"/>
  <c r="U29" i="39"/>
  <c r="W29" i="39"/>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6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F46" i="33" s="1"/>
  <c r="B128" i="33"/>
  <c r="B126" i="33"/>
  <c r="B98" i="33"/>
  <c r="B96" i="33"/>
  <c r="F30" i="33" s="1"/>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s="1"/>
  <c r="J27" i="33" s="1"/>
  <c r="W27" i="33" s="1"/>
  <c r="B88" i="33"/>
  <c r="J26" i="33"/>
  <c r="C23" i="33"/>
  <c r="C19" i="33"/>
  <c r="C17" i="33"/>
  <c r="C15" i="33"/>
  <c r="C15" i="21"/>
  <c r="D125" i="33"/>
  <c r="D123" i="33"/>
  <c r="F42" i="33" s="1"/>
  <c r="AA42" i="33" s="1"/>
  <c r="D117" i="33"/>
  <c r="E117" i="33"/>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H32" i="33" s="1"/>
  <c r="AB32"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AC41" i="33"/>
  <c r="W41" i="33"/>
  <c r="Q41" i="33"/>
  <c r="Z41" i="33" s="1"/>
  <c r="Q40" i="33"/>
  <c r="Z40" i="33"/>
  <c r="J40" i="33"/>
  <c r="AC40" i="33" s="1"/>
  <c r="H40" i="33"/>
  <c r="AB40" i="33" s="1"/>
  <c r="AA40" i="33"/>
  <c r="Q39" i="33"/>
  <c r="Z39" i="33"/>
  <c r="J39" i="33"/>
  <c r="W39" i="33" s="1"/>
  <c r="AC39" i="33"/>
  <c r="Q38" i="33"/>
  <c r="Z38" i="33"/>
  <c r="Q37" i="33"/>
  <c r="Z37" i="33"/>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AA26" i="33"/>
  <c r="U35" i="33"/>
  <c r="S40"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s="1"/>
  <c r="E113" i="33"/>
  <c r="F32" i="33"/>
  <c r="AA32" i="33" s="1"/>
  <c r="J19" i="33"/>
  <c r="W19" i="33" s="1"/>
  <c r="J15" i="33"/>
  <c r="AC15" i="33" s="1"/>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F113" i="33"/>
  <c r="G113" i="33"/>
  <c r="H113" i="33"/>
  <c r="I113" i="33" s="1"/>
  <c r="J113" i="33" s="1"/>
  <c r="K113" i="33" s="1"/>
  <c r="L113" i="33"/>
  <c r="M113" i="33" s="1"/>
  <c r="H37" i="33"/>
  <c r="AB37" i="33" s="1"/>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s="1"/>
  <c r="F28" i="33"/>
  <c r="S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J13" i="33"/>
  <c r="H13" i="33"/>
  <c r="U13" i="33" s="1"/>
  <c r="F13" i="33"/>
  <c r="S13" i="33"/>
  <c r="J29" i="33"/>
  <c r="H29" i="33"/>
  <c r="U29" i="33" s="1"/>
  <c r="F29" i="33"/>
  <c r="S29" i="33" s="1"/>
  <c r="J31" i="33"/>
  <c r="W31" i="33"/>
  <c r="H31" i="33"/>
  <c r="F31" i="33"/>
  <c r="S31" i="33" s="1"/>
  <c r="H45" i="33"/>
  <c r="U45" i="33" s="1"/>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s="1"/>
  <c r="H44" i="33"/>
  <c r="U44" i="33" s="1"/>
  <c r="J44" i="33"/>
  <c r="AC44" i="33"/>
  <c r="F44" i="33"/>
  <c r="S44" i="33" s="1"/>
  <c r="J46" i="33"/>
  <c r="AC46" i="33" s="1"/>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AA14" i="33"/>
  <c r="J36" i="37"/>
  <c r="AC36" i="37"/>
  <c r="J10" i="36"/>
  <c r="AC10" i="36" s="1"/>
  <c r="AB26" i="33"/>
  <c r="AB30" i="21"/>
  <c r="AA14" i="37"/>
  <c r="W31" i="34"/>
  <c r="S11" i="36"/>
  <c r="AB46" i="34"/>
  <c r="AA14" i="34"/>
  <c r="S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W43" i="33" s="1"/>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AC13" i="34"/>
  <c r="AA47" i="34"/>
  <c r="W28" i="37"/>
  <c r="S19" i="39"/>
  <c r="F12" i="33"/>
  <c r="S12" i="33" s="1"/>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H41" i="33"/>
  <c r="AB41" i="33" s="1"/>
  <c r="F121" i="33"/>
  <c r="G121" i="33" s="1"/>
  <c r="H121" i="33" s="1"/>
  <c r="I121" i="33" s="1"/>
  <c r="J121" i="33" s="1"/>
  <c r="K121" i="33" s="1"/>
  <c r="L121" i="33" s="1"/>
  <c r="M121" i="33" s="1"/>
  <c r="G108" i="33"/>
  <c r="H108" i="33" s="1"/>
  <c r="I108" i="33" s="1"/>
  <c r="J108" i="33" s="1"/>
  <c r="K108" i="33" s="1"/>
  <c r="L108" i="33" s="1"/>
  <c r="M108" i="33" s="1"/>
  <c r="J35" i="33"/>
  <c r="W35" i="33" s="1"/>
  <c r="S37" i="33"/>
  <c r="AA37" i="33"/>
  <c r="S39" i="33"/>
  <c r="J32" i="33"/>
  <c r="AC32" i="33" s="1"/>
  <c r="S43" i="33"/>
  <c r="F87" i="33"/>
  <c r="G87" i="33" s="1"/>
  <c r="H87" i="33" s="1"/>
  <c r="I87" i="33" s="1"/>
  <c r="J87" i="33" s="1"/>
  <c r="K87" i="33" s="1"/>
  <c r="L87" i="33" s="1"/>
  <c r="M87" i="33" s="1"/>
  <c r="H25" i="33"/>
  <c r="AB25" i="33" s="1"/>
  <c r="F25" i="33"/>
  <c r="AA25" i="33" s="1"/>
  <c r="J23" i="33"/>
  <c r="AC23" i="33" s="1"/>
  <c r="F85" i="33"/>
  <c r="H23" i="33"/>
  <c r="U23" i="33" s="1"/>
  <c r="F81" i="33"/>
  <c r="F19" i="33"/>
  <c r="S19" i="33" s="1"/>
  <c r="U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34" i="33"/>
  <c r="AC14" i="33"/>
  <c r="W14" i="33"/>
  <c r="W13" i="33"/>
  <c r="AC13" i="33"/>
  <c r="S11"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69"/>
  <c r="F48" i="69" s="1"/>
  <c r="F32" i="15"/>
  <c r="F60" i="15" s="1"/>
  <c r="AA39" i="40"/>
  <c r="S39" i="40"/>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J25" i="33"/>
  <c r="W25" i="33" s="1"/>
  <c r="F23" i="33"/>
  <c r="G85" i="33"/>
  <c r="H19" i="33"/>
  <c r="AB19" i="33" s="1"/>
  <c r="G81"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9" i="15"/>
  <c r="F26" i="67"/>
  <c r="F38" i="15"/>
  <c r="F5" i="73"/>
  <c r="M29" i="67"/>
  <c r="J15" i="15"/>
  <c r="F42" i="15"/>
  <c r="F6" i="73"/>
  <c r="L48" i="15"/>
  <c r="M24" i="15"/>
  <c r="F8" i="15"/>
  <c r="M28" i="15"/>
  <c r="D6" i="73"/>
  <c r="F43" i="15"/>
  <c r="L47" i="67"/>
  <c r="F38" i="67"/>
  <c r="F7" i="73"/>
  <c r="M24" i="67"/>
  <c r="F36" i="15"/>
  <c r="M8" i="67"/>
  <c r="M9" i="67"/>
  <c r="F26" i="15"/>
  <c r="E12" i="76"/>
  <c r="M6" i="15"/>
  <c r="F40" i="15"/>
  <c r="C76" i="15"/>
  <c r="M23" i="15"/>
  <c r="F36" i="67"/>
  <c r="J15" i="67"/>
  <c r="M26" i="67"/>
  <c r="M22" i="15"/>
  <c r="E2" i="68"/>
  <c r="E9" i="76"/>
  <c r="F4" i="73"/>
  <c r="L47" i="15"/>
  <c r="F7" i="15"/>
  <c r="M8" i="15"/>
  <c r="M28" i="67"/>
  <c r="F37" i="67"/>
  <c r="F13" i="67"/>
  <c r="F37" i="15"/>
  <c r="B12" i="76"/>
  <c r="E2" i="69"/>
  <c r="E13" i="76"/>
  <c r="M29" i="15"/>
  <c r="E8" i="76"/>
  <c r="C76" i="67"/>
  <c r="M23" i="67"/>
  <c r="B10" i="76"/>
  <c r="F7" i="67"/>
  <c r="E11" i="76"/>
  <c r="AO13" i="1"/>
  <c r="F16" i="15"/>
  <c r="B11" i="76"/>
  <c r="F3" i="73"/>
  <c r="F43" i="67"/>
  <c r="F9" i="67"/>
  <c r="B9" i="76"/>
  <c r="B8" i="76"/>
  <c r="F16" i="67"/>
  <c r="F40" i="67"/>
  <c r="M26" i="15"/>
  <c r="B7" i="76"/>
  <c r="F20" i="31"/>
  <c r="M22" i="67"/>
  <c r="M6" i="67"/>
  <c r="F8" i="67"/>
  <c r="E10" i="76"/>
  <c r="F9" i="15"/>
  <c r="F42" i="67"/>
  <c r="F6" i="15"/>
  <c r="F13" i="15"/>
  <c r="E7" i="76"/>
  <c r="F6" i="67"/>
  <c r="B13" i="76"/>
  <c r="J36" i="33" l="1"/>
  <c r="W36" i="33" s="1"/>
  <c r="G111" i="33"/>
  <c r="H111" i="33" s="1"/>
  <c r="I111" i="33" s="1"/>
  <c r="J111" i="33" s="1"/>
  <c r="K111" i="33" s="1"/>
  <c r="L111" i="33" s="1"/>
  <c r="M111" i="33" s="1"/>
  <c r="F36" i="33"/>
  <c r="AA36" i="33" s="1"/>
  <c r="J42" i="33"/>
  <c r="AC42" i="33" s="1"/>
  <c r="S33" i="33"/>
  <c r="C7" i="40"/>
  <c r="C63" i="40" s="1"/>
  <c r="C7" i="39"/>
  <c r="C67" i="39" s="1"/>
  <c r="C7" i="34"/>
  <c r="C7" i="21"/>
  <c r="C42" i="1"/>
  <c r="C24" i="12" s="1"/>
  <c r="C7" i="37"/>
  <c r="C52" i="37" s="1"/>
  <c r="D52" i="37" s="1"/>
  <c r="G23" i="43"/>
  <c r="C23" i="43" s="1"/>
  <c r="C7" i="33"/>
  <c r="C58" i="33" s="1"/>
  <c r="D58" i="33" s="1"/>
  <c r="E58" i="33" s="1"/>
  <c r="F58" i="33" s="1"/>
  <c r="G58" i="33" s="1"/>
  <c r="H58" i="33" s="1"/>
  <c r="I58" i="33" s="1"/>
  <c r="J58" i="33" s="1"/>
  <c r="K58" i="33" s="1"/>
  <c r="L58" i="33" s="1"/>
  <c r="M58" i="33" s="1"/>
  <c r="N58" i="33" s="1"/>
  <c r="O58" i="33" s="1"/>
  <c r="F6" i="1"/>
  <c r="AA46" i="33"/>
  <c r="S46" i="33"/>
  <c r="AB44" i="33"/>
  <c r="W46" i="33"/>
  <c r="H46" i="33"/>
  <c r="AB45" i="33"/>
  <c r="AA30" i="33"/>
  <c r="S30" i="33"/>
  <c r="AA31" i="33"/>
  <c r="J30" i="33"/>
  <c r="AA29" i="33"/>
  <c r="B79" i="43"/>
  <c r="B77" i="43"/>
  <c r="B68" i="43"/>
  <c r="B57" i="43"/>
  <c r="U30" i="33"/>
  <c r="AB29" i="33"/>
  <c r="H27" i="33"/>
  <c r="AB27" i="33" s="1"/>
  <c r="H38" i="33"/>
  <c r="AB38" i="33" s="1"/>
  <c r="F101" i="33"/>
  <c r="G101" i="33" s="1"/>
  <c r="H101" i="33" s="1"/>
  <c r="I101" i="33" s="1"/>
  <c r="J101" i="33" s="1"/>
  <c r="K101" i="33" s="1"/>
  <c r="L101" i="33" s="1"/>
  <c r="M101" i="33" s="1"/>
  <c r="W33" i="33"/>
  <c r="J38" i="33"/>
  <c r="F38" i="33"/>
  <c r="AA38" i="33" s="1"/>
  <c r="AC25" i="33"/>
  <c r="F27" i="33"/>
  <c r="AA27" i="33" s="1"/>
  <c r="F91" i="33"/>
  <c r="G91" i="33" s="1"/>
  <c r="H91" i="33" s="1"/>
  <c r="I91" i="33" s="1"/>
  <c r="J91" i="33" s="1"/>
  <c r="K91" i="33" s="1"/>
  <c r="L91" i="33" s="1"/>
  <c r="M91" i="33" s="1"/>
  <c r="J17" i="33"/>
  <c r="AC17" i="33" s="1"/>
  <c r="F79" i="33"/>
  <c r="G79" i="33" s="1"/>
  <c r="F17" i="33"/>
  <c r="S17" i="33" s="1"/>
  <c r="H17" i="33"/>
  <c r="U17" i="33" s="1"/>
  <c r="S21" i="33"/>
  <c r="AC35" i="33"/>
  <c r="AC43" i="33"/>
  <c r="U41" i="33"/>
  <c r="U39" i="33"/>
  <c r="AA35" i="33"/>
  <c r="S41" i="33"/>
  <c r="U42" i="33"/>
  <c r="AC34" i="33"/>
  <c r="AB28" i="33"/>
  <c r="AB23" i="33"/>
  <c r="AB21" i="33"/>
  <c r="AC21" i="33"/>
  <c r="AC19" i="33"/>
  <c r="U19" i="33"/>
  <c r="AA19" i="33"/>
  <c r="W15" i="33"/>
  <c r="U15" i="33"/>
  <c r="S15" i="33"/>
  <c r="S42" i="33"/>
  <c r="S38" i="33"/>
  <c r="U37" i="33"/>
  <c r="AC37" i="33"/>
  <c r="AA34" i="33"/>
  <c r="U33" i="33"/>
  <c r="W32" i="33"/>
  <c r="U32" i="33"/>
  <c r="S32" i="33"/>
  <c r="AC28" i="33"/>
  <c r="AA28" i="33"/>
  <c r="AC27" i="33"/>
  <c r="S25" i="33"/>
  <c r="U25" i="33"/>
  <c r="AC11" i="33"/>
  <c r="W8" i="33"/>
  <c r="F54" i="9"/>
  <c r="F52" i="9"/>
  <c r="D68" i="9"/>
  <c r="F31" i="12"/>
  <c r="C31" i="12" s="1"/>
  <c r="F28" i="15"/>
  <c r="F32" i="67"/>
  <c r="F60" i="67" s="1"/>
  <c r="F28" i="67"/>
  <c r="C28" i="67" s="1"/>
  <c r="M18" i="15"/>
  <c r="M18" i="67"/>
  <c r="F30" i="11"/>
  <c r="C48" i="11" s="1"/>
  <c r="C40" i="69"/>
  <c r="F29" i="6"/>
  <c r="F9" i="1"/>
  <c r="G9" i="1" s="1"/>
  <c r="F10" i="1"/>
  <c r="G10" i="1" s="1"/>
  <c r="F8" i="1"/>
  <c r="G8" i="1" s="1"/>
  <c r="H69" i="43"/>
  <c r="S23" i="33"/>
  <c r="AA23" i="33"/>
  <c r="C20" i="71"/>
  <c r="E19" i="71"/>
  <c r="E18" i="71" s="1"/>
  <c r="E17" i="71" s="1"/>
  <c r="E16" i="71" s="1"/>
  <c r="V20" i="71"/>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J26" i="43"/>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L48" i="67"/>
  <c r="D3" i="73"/>
  <c r="D4" i="73"/>
  <c r="D7" i="73"/>
  <c r="D5" i="73"/>
  <c r="C16" i="15"/>
  <c r="C16" i="67"/>
  <c r="S36" i="33" l="1"/>
  <c r="W42" i="33"/>
  <c r="N94" i="46"/>
  <c r="F26" i="43"/>
  <c r="N370" i="46"/>
  <c r="L56" i="67"/>
  <c r="J53" i="67"/>
  <c r="Q52" i="67" s="1"/>
  <c r="J57" i="67"/>
  <c r="J55" i="67" s="1"/>
  <c r="J58" i="67" s="1"/>
  <c r="Q50" i="67" s="1"/>
  <c r="I54" i="67"/>
  <c r="L58" i="67"/>
  <c r="Q60" i="67" s="1"/>
  <c r="J7" i="36"/>
  <c r="AB46" i="33"/>
  <c r="U46" i="33"/>
  <c r="W30" i="33"/>
  <c r="AC30" i="33"/>
  <c r="U27" i="33"/>
  <c r="AA17" i="33"/>
  <c r="U38" i="33"/>
  <c r="AC38" i="33"/>
  <c r="W38" i="33"/>
  <c r="S27" i="33"/>
  <c r="AB17" i="33"/>
  <c r="W17" i="33"/>
  <c r="P6" i="1"/>
  <c r="C13" i="12" s="1"/>
  <c r="K16" i="1"/>
  <c r="E26" i="43"/>
  <c r="D20" i="53"/>
  <c r="B40" i="72" s="1"/>
  <c r="G16" i="1"/>
  <c r="F10" i="39" s="1"/>
  <c r="AA10" i="39" s="1"/>
  <c r="J7" i="37"/>
  <c r="W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AC6" i="3" s="1"/>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59" i="67"/>
  <c r="H7" i="37"/>
  <c r="AB7" i="37" s="1"/>
  <c r="T42" i="37" s="1"/>
  <c r="G42" i="37" s="1"/>
  <c r="H7" i="33"/>
  <c r="J7" i="33"/>
  <c r="D65" i="40"/>
  <c r="E63" i="40"/>
  <c r="F48" i="35"/>
  <c r="S7" i="36"/>
  <c r="AC7" i="37"/>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F1" i="67"/>
  <c r="Q60" i="15"/>
  <c r="Q73" i="15"/>
  <c r="Q61" i="67"/>
  <c r="Q74" i="67"/>
  <c r="Q74" i="15"/>
  <c r="Q61" i="15"/>
  <c r="AE11" i="1"/>
  <c r="AE9" i="1"/>
  <c r="F27" i="68"/>
  <c r="AE7" i="1"/>
  <c r="AE8" i="1"/>
  <c r="AE12" i="1"/>
  <c r="AE10" i="1"/>
  <c r="G1" i="73"/>
  <c r="AE6" i="1"/>
  <c r="Q73" i="67" l="1"/>
  <c r="F67" i="39"/>
  <c r="S10" i="39"/>
  <c r="H10" i="40"/>
  <c r="AB10" i="40" s="1"/>
  <c r="J10" i="40"/>
  <c r="AC10" i="40" s="1"/>
  <c r="H10" i="39"/>
  <c r="U10" i="39" s="1"/>
  <c r="F10" i="40"/>
  <c r="S10" i="40" s="1"/>
  <c r="E3" i="6"/>
  <c r="D3" i="21" s="1"/>
  <c r="J10" i="39"/>
  <c r="W10" i="39"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D3" i="34"/>
  <c r="D19" i="11"/>
  <c r="C19" i="11" s="1"/>
  <c r="L18" i="9"/>
  <c r="D3" i="33"/>
  <c r="D3" i="37"/>
  <c r="C39" i="43"/>
  <c r="C42" i="43"/>
  <c r="E42" i="43" s="1"/>
  <c r="C38" i="43"/>
  <c r="AB10" i="39"/>
  <c r="AA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M27" i="15"/>
  <c r="M27" i="67"/>
  <c r="F41" i="15"/>
  <c r="F41" i="67"/>
  <c r="C17" i="4" l="1"/>
  <c r="B4" i="52" s="1"/>
  <c r="B43" i="72" s="1"/>
  <c r="M18" i="9"/>
  <c r="B118" i="9" s="1"/>
  <c r="AC10" i="39"/>
  <c r="U10" i="40"/>
  <c r="W10" i="40"/>
  <c r="F69" i="67"/>
  <c r="F25" i="12"/>
  <c r="C26" i="12" s="1"/>
  <c r="D25" i="12" s="1"/>
  <c r="F22" i="68"/>
  <c r="C23" i="68"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48" i="33"/>
  <c r="I53" i="33" s="1"/>
  <c r="J53" i="33" s="1"/>
  <c r="I52" i="33"/>
  <c r="J52" i="33" s="1"/>
  <c r="E40" i="36"/>
  <c r="F40" i="36" s="1"/>
  <c r="E41" i="36"/>
  <c r="F41" i="36" s="1"/>
  <c r="I54" i="34"/>
  <c r="J54" i="34" s="1"/>
  <c r="H48" i="35"/>
  <c r="C49" i="34"/>
  <c r="C50" i="34"/>
  <c r="I41" i="36"/>
  <c r="J41" i="36" s="1"/>
  <c r="R43" i="37"/>
  <c r="E42" i="37"/>
  <c r="G63" i="40"/>
  <c r="F65" i="40"/>
  <c r="C37" i="36"/>
  <c r="C36" i="36"/>
  <c r="G58" i="21"/>
  <c r="C60" i="15"/>
  <c r="C66" i="67"/>
  <c r="C60" i="67"/>
  <c r="D10" i="69"/>
  <c r="C34" i="69"/>
  <c r="D10" i="68"/>
  <c r="C14" i="67"/>
  <c r="C17" i="15"/>
  <c r="C17" i="67"/>
  <c r="B14" i="74" l="1"/>
  <c r="B1" i="74" s="1"/>
  <c r="F41" i="68"/>
  <c r="C44" i="11"/>
  <c r="D41" i="11" s="1"/>
  <c r="C44" i="68"/>
  <c r="D41" i="68" s="1"/>
  <c r="C26" i="68"/>
  <c r="D22" i="68" s="1"/>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H36" i="33" s="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15"/>
  <c r="F35" i="67"/>
  <c r="M21" i="67"/>
  <c r="E48" i="21" l="1"/>
  <c r="U36" i="33"/>
  <c r="AB36" i="33"/>
  <c r="T48" i="33"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G48" i="33" l="1"/>
  <c r="R49" i="33"/>
  <c r="G43" i="35"/>
  <c r="H43" i="35" s="1"/>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49" i="33"/>
  <c r="C48" i="33"/>
  <c r="G52" i="33"/>
  <c r="H52" i="33" s="1"/>
  <c r="G53" i="33"/>
  <c r="H53" i="33" s="1"/>
  <c r="E53" i="33"/>
  <c r="F53" i="33"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2" i="34"/>
  <c r="C19" i="9"/>
  <c r="D2" i="36"/>
  <c r="D2" i="35"/>
  <c r="D19" i="9"/>
  <c r="D2" i="37"/>
  <c r="C102" i="9" l="1"/>
  <c r="C21" i="9"/>
  <c r="B3" i="33"/>
  <c r="G19" i="9"/>
  <c r="G21" i="9" s="1"/>
  <c r="D22" i="9"/>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5" i="9"/>
  <c r="C20" i="9"/>
  <c r="AO7" i="1"/>
  <c r="AO11" i="1"/>
  <c r="AO8" i="1"/>
  <c r="AO9" i="1"/>
  <c r="AO10" i="1"/>
  <c r="D20" i="9"/>
  <c r="AO12" i="1"/>
  <c r="D34" i="9"/>
  <c r="AO6" i="1"/>
  <c r="C103" i="9" l="1"/>
  <c r="G20" i="9"/>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E118" i="9" l="1"/>
  <c r="E4" i="52" s="1"/>
  <c r="B48" i="72" s="1"/>
  <c r="F118" i="9"/>
  <c r="F119" i="9" s="1"/>
  <c r="F5" i="52" s="1"/>
  <c r="B53" i="72" s="1"/>
  <c r="H102" i="9"/>
  <c r="I4" i="52"/>
  <c r="C105" i="9"/>
  <c r="H118" i="9"/>
  <c r="D14" i="74" s="1"/>
  <c r="G14" i="74" s="1"/>
  <c r="B6" i="74" s="1"/>
  <c r="D6" i="74" s="1"/>
  <c r="E14" i="74" l="1"/>
  <c r="B5" i="74"/>
  <c r="D5" i="74" s="1"/>
  <c r="F14" i="74"/>
  <c r="D118" i="9"/>
  <c r="D4" i="52" s="1"/>
  <c r="B47" i="72" s="1"/>
  <c r="F4" i="52"/>
  <c r="B51" i="72" s="1"/>
  <c r="H4" i="52"/>
  <c r="C104" i="9"/>
  <c r="H119" i="9"/>
  <c r="H5" i="52" s="1"/>
  <c r="H101" i="9"/>
  <c r="D7" i="53"/>
  <c r="B21" i="72" s="1"/>
  <c r="C5" i="74" l="1"/>
  <c r="D119" i="9"/>
  <c r="D5" i="52" s="1"/>
  <c r="B49" i="72" s="1"/>
  <c r="M48" i="9"/>
  <c r="D45" i="9"/>
  <c r="D5" i="53"/>
  <c r="H107" i="9"/>
  <c r="H108" i="9" l="1"/>
  <c r="I107" i="9" s="1"/>
  <c r="D13" i="53"/>
  <c r="D122" i="9"/>
  <c r="M49" i="9"/>
  <c r="B20" i="72"/>
  <c r="D6" i="53"/>
  <c r="B22" i="72" s="1"/>
  <c r="D53" i="9"/>
  <c r="C72" i="9"/>
  <c r="C64" i="9"/>
  <c r="C63" i="9" s="1"/>
  <c r="C67" i="9" s="1"/>
  <c r="D52" i="9"/>
  <c r="D55" i="9"/>
  <c r="M53" i="9" s="1"/>
  <c r="C78" i="9"/>
  <c r="C73" i="9" s="1"/>
  <c r="C85" i="9"/>
  <c r="C93" i="9"/>
  <c r="C86" i="9" s="1"/>
  <c r="C79" i="9" l="1"/>
  <c r="D8" i="52"/>
  <c r="D123" i="9"/>
  <c r="D9" i="52" s="1"/>
  <c r="B30" i="72"/>
  <c r="D14" i="53"/>
  <c r="B32" i="72" s="1"/>
  <c r="L68" i="9"/>
  <c r="M68" i="9" s="1"/>
  <c r="L64" i="9"/>
  <c r="M64" i="9" s="1"/>
  <c r="L63" i="9"/>
  <c r="M63" i="9" s="1"/>
  <c r="L67" i="9"/>
  <c r="M67" i="9" s="1"/>
  <c r="L66" i="9"/>
  <c r="M66" i="9" s="1"/>
  <c r="L65" i="9"/>
  <c r="M65" i="9" s="1"/>
  <c r="C95" i="9"/>
  <c r="D59" i="9"/>
  <c r="M55" i="9" s="1"/>
  <c r="C68" i="9"/>
  <c r="D54" i="9" s="1"/>
  <c r="C6" i="74"/>
  <c r="D15" i="53"/>
  <c r="B31" i="72" s="1"/>
  <c r="C96" i="9" l="1"/>
  <c r="E96" i="9" s="1"/>
  <c r="E97" i="9" s="1"/>
  <c r="M69" i="9"/>
  <c r="N69" i="9" s="1"/>
  <c r="C80" i="9"/>
  <c r="E80" i="9" s="1"/>
  <c r="E81"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<sst xmlns="http://schemas.openxmlformats.org/spreadsheetml/2006/main" count="7922" uniqueCount="3472">
  <si>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</si>
  <si>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</si>
  <si>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</si>
  <si>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</si>
  <si>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</si>
  <si>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</si>
  <si>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</si>
  <si>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</si>
  <si>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</si>
  <si>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</si>
  <si>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</si>
  <si>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</si>
  <si>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</si>
  <si>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</si>
  <si>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</si>
  <si>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</si>
  <si>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</si>
  <si>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</si>
  <si>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</si>
  <si>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</si>
  <si>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</si>
  <si>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</si>
  <si>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</si>
  <si>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</si>
  <si>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</si>
  <si>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</si>
  <si>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</si>
  <si>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</si>
  <si>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</si>
  <si>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</si>
  <si>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</si>
  <si>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</si>
  <si>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</si>
  <si>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</si>
  <si>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</si>
  <si>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</si>
  <si>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</si>
  <si>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</si>
  <si>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</si>
  <si>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</si>
  <si>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</si>
  <si>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</si>
  <si>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</si>
  <si>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</si>
  <si>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</si>
  <si>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</si>
  <si>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</si>
  <si>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</si>
  <si>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</si>
  <si>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</si>
  <si>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</si>
  <si>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</si>
  <si>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</si>
  <si>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</si>
  <si>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</si>
  <si>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</si>
  <si>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</si>
  <si>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</si>
  <si>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</si>
  <si>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</si>
  <si>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</si>
  <si>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</si>
  <si>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</si>
  <si>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</si>
  <si>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</si>
  <si>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</si>
  <si>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</si>
  <si>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</si>
  <si>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</si>
  <si>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</si>
  <si>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</si>
  <si>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</si>
  <si>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</si>
  <si>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</si>
  <si>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</si>
  <si>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</si>
  <si>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</si>
  <si>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</si>
  <si>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</si>
  <si>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</si>
  <si>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</si>
  <si>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</si>
  <si>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</si>
  <si>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</si>
  <si>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</si>
  <si>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</si>
  <si>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</si>
  <si>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</si>
  <si>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</si>
  <si>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</si>
  <si>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</si>
  <si>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</si>
  <si>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</si>
  <si>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</si>
  <si>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</si>
  <si>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</si>
  <si>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</si>
  <si>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</si>
  <si>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</si>
  <si>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</si>
  <si>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</si>
  <si>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</si>
  <si>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</si>
  <si>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</si>
  <si>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</si>
  <si>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</si>
  <si>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</si>
  <si>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</si>
  <si>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</si>
  <si>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</si>
  <si>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</si>
  <si>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</si>
  <si>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</si>
  <si>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</si>
  <si>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</si>
  <si>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</si>
  <si>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</si>
  <si>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</si>
  <si>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</si>
  <si>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</si>
  <si>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</si>
  <si>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</si>
  <si>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</si>
  <si>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</si>
  <si>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</si>
  <si>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</si>
  <si>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</si>
  <si>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</si>
  <si>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</si>
  <si>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</si>
  <si>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</si>
  <si>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</si>
  <si>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</si>
  <si>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</si>
  <si>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</si>
  <si>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</si>
  <si>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</si>
  <si>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</si>
  <si>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</si>
  <si>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</si>
  <si>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</si>
  <si>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</si>
  <si>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</si>
  <si>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</si>
  <si>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</si>
  <si>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</si>
  <si>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</si>
  <si>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</si>
  <si>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</si>
  <si>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</si>
  <si>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</si>
  <si>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</si>
  <si>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</si>
  <si>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</si>
  <si>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</si>
  <si>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</si>
  <si>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</si>
  <si>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</si>
  <si>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</si>
  <si>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</si>
  <si>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</si>
  <si>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</si>
  <si>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</si>
  <si>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</si>
  <si>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</si>
  <si>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</si>
  <si>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</si>
  <si>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</si>
  <si>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</si>
  <si>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</si>
  <si>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</si>
  <si>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</si>
  <si>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</si>
  <si>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</si>
  <si>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</si>
  <si>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</si>
  <si>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</si>
  <si>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</si>
  <si>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</si>
  <si>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</si>
  <si>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</si>
  <si>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</si>
  <si>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</si>
  <si>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</si>
  <si>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</si>
  <si>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</si>
  <si>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</si>
  <si>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</si>
  <si>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</si>
  <si>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</si>
  <si>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</si>
  <si>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</si>
  <si>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</si>
  <si>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</si>
  <si>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</si>
  <si>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</si>
  <si>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</si>
  <si>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</si>
  <si>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</si>
  <si>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</si>
  <si>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</si>
  <si>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</si>
  <si>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</si>
  <si>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</si>
  <si>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</si>
  <si>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</si>
  <si>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</si>
  <si>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</si>
  <si>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</si>
  <si>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</si>
  <si>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</si>
  <si>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</si>
  <si>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</si>
  <si>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</si>
  <si>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</si>
  <si>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</si>
  <si>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</si>
  <si>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</si>
  <si>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</si>
  <si>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</si>
  <si>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</si>
  <si>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</si>
  <si>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</si>
  <si>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</si>
  <si>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</si>
  <si>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</si>
  <si>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</si>
  <si>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</si>
  <si>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</si>
  <si>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</si>
  <si>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</si>
  <si>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</si>
  <si>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</si>
  <si>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</si>
  <si>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</si>
  <si>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</si>
  <si>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</si>
  <si>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</si>
  <si>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</si>
  <si>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</si>
  <si>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</si>
  <si>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</si>
  <si>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</si>
  <si>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</si>
  <si>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</si>
  <si>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</si>
  <si>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</si>
  <si>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</si>
  <si>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</si>
  <si>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</si>
  <si>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</si>
  <si>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</si>
  <si>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</si>
  <si>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</si>
  <si>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</si>
  <si>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</si>
  <si>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</si>
  <si>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</si>
  <si>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</si>
  <si>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</si>
  <si>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</si>
  <si>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</si>
  <si>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</si>
  <si>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</si>
  <si>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</si>
  <si>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</si>
  <si>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</si>
  <si>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</si>
  <si>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</si>
  <si>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</si>
  <si>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</si>
  <si>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</si>
  <si>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</si>
  <si>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</si>
  <si>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</si>
  <si>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</si>
  <si>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</si>
  <si>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</si>
  <si>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</si>
  <si>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</si>
  <si>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</si>
  <si>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</si>
  <si>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</si>
  <si>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</si>
  <si>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</si>
  <si>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</si>
  <si>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</si>
  <si>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</si>
  <si>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</si>
  <si>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</si>
  <si>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</si>
  <si>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</si>
  <si>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</si>
  <si>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</si>
  <si>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</si>
  <si>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</si>
  <si>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</si>
  <si>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</si>
  <si>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</si>
  <si>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</si>
  <si>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</si>
  <si>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</si>
  <si>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</si>
  <si>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</si>
  <si>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</si>
  <si>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</si>
  <si>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</si>
  <si>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</si>
  <si>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</si>
  <si>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</si>
  <si>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</si>
  <si>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</si>
  <si>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</si>
  <si>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</si>
  <si>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</si>
  <si>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</si>
  <si>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</si>
  <si>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</si>
  <si>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</si>
  <si>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</si>
  <si>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</si>
  <si>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</si>
  <si>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</si>
  <si>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</si>
  <si>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</si>
  <si>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</si>
  <si>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</si>
  <si>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</si>
  <si>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</si>
  <si>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</si>
  <si>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</si>
  <si>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</si>
  <si>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</si>
  <si>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</si>
  <si>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</si>
  <si>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</si>
  <si>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</si>
  <si>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</si>
  <si>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</si>
  <si>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</si>
  <si>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</si>
  <si>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</si>
  <si>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</si>
  <si>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</si>
  <si>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</si>
  <si>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</si>
  <si>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</si>
  <si>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</si>
  <si>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</si>
  <si>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</si>
  <si>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</si>
  <si>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</si>
  <si>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</si>
  <si>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</si>
  <si>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</si>
  <si>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</si>
  <si>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</si>
  <si>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</si>
  <si>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</si>
  <si>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</si>
  <si>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</si>
  <si>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</si>
  <si>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</si>
  <si>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</si>
  <si>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</si>
  <si>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</si>
  <si>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</si>
  <si>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</si>
  <si>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</si>
  <si>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</si>
  <si>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</si>
  <si>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</si>
  <si>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</si>
  <si>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</si>
  <si>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</si>
  <si>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</si>
  <si>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</si>
  <si>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</si>
  <si>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</si>
  <si>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</si>
  <si>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</si>
  <si>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</si>
  <si>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</si>
  <si>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</si>
  <si>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</si>
  <si>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</si>
  <si>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</si>
  <si>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</si>
  <si>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</si>
  <si>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</si>
  <si>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</si>
  <si>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</si>
  <si>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</si>
  <si>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</si>
  <si>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</si>
  <si>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</si>
  <si>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</si>
  <si>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</si>
  <si>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</si>
  <si>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</si>
  <si>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</si>
  <si>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</si>
  <si>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</si>
  <si>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</si>
  <si>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</si>
  <si>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</si>
  <si>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</si>
  <si>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</si>
  <si>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</si>
  <si>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</si>
  <si>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</si>
  <si>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</si>
  <si>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</si>
  <si>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</si>
  <si>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</si>
  <si>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</si>
  <si>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</si>
  <si>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</si>
  <si>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</si>
  <si>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</si>
  <si>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</si>
  <si>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</si>
  <si>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</si>
  <si>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</si>
  <si>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</si>
  <si>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</si>
  <si>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</si>
  <si>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</si>
  <si>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</si>
  <si>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</si>
  <si>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</si>
  <si>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</si>
  <si>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</si>
  <si>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</si>
  <si>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</si>
  <si>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</si>
  <si>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</si>
  <si>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</si>
  <si>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</si>
  <si>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</si>
  <si>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</si>
  <si>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</si>
  <si>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</si>
  <si>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</si>
  <si>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</si>
  <si>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</si>
  <si>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</si>
  <si>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</si>
  <si>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</si>
  <si>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</si>
  <si>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</si>
  <si>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</si>
  <si>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</si>
  <si>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</si>
  <si>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</si>
  <si>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</si>
  <si>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</si>
  <si>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</si>
  <si>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</si>
  <si>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</si>
  <si>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</si>
  <si>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</si>
  <si>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</si>
  <si>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</si>
  <si>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</si>
  <si>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</si>
  <si>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</si>
  <si>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</si>
  <si>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</si>
  <si>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</si>
  <si>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</si>
  <si>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</si>
  <si>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</si>
  <si>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</si>
  <si>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</si>
  <si>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</si>
  <si>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</si>
  <si>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</si>
  <si>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</si>
  <si>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</si>
  <si>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</si>
  <si>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</si>
  <si>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</si>
  <si>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</si>
  <si>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</si>
  <si>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</si>
  <si>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</si>
  <si>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</si>
  <si>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</si>
  <si>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</si>
  <si>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</si>
  <si>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</si>
  <si>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</si>
  <si>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</si>
  <si>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</si>
  <si>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</si>
  <si>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</si>
  <si>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</si>
  <si>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</si>
  <si>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</si>
  <si>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</si>
  <si>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</si>
  <si>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</si>
  <si>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</si>
  <si>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</si>
  <si>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</si>
  <si>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</si>
  <si>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</si>
  <si>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</si>
  <si>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</si>
  <si>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</si>
  <si>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</si>
  <si>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</si>
  <si>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</si>
  <si>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</si>
  <si>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</si>
  <si>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</si>
  <si>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</si>
  <si>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</si>
  <si>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</si>
  <si>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</si>
  <si>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</si>
  <si>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</si>
  <si>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</si>
  <si>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</si>
  <si>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</si>
  <si>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</si>
  <si>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</si>
  <si>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</si>
  <si>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</si>
  <si>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</si>
  <si>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</si>
  <si>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</si>
  <si>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</si>
  <si>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</si>
  <si>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</si>
  <si>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</si>
  <si>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</si>
  <si>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</si>
  <si>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</si>
  <si>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</si>
  <si>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</si>
  <si>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</si>
  <si>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</si>
  <si>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</si>
  <si>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</si>
  <si>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</si>
  <si>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</si>
  <si>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</si>
  <si>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</si>
  <si>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</si>
  <si>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</si>
  <si>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</si>
  <si>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</si>
  <si>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</si>
  <si>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</si>
  <si>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</si>
  <si>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</si>
  <si>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</si>
  <si>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</si>
  <si>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</si>
  <si>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</si>
  <si>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</si>
  <si>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</si>
  <si>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</si>
  <si>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</si>
  <si>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</si>
  <si>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</si>
  <si>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</si>
  <si>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</si>
  <si>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</si>
  <si>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</si>
  <si>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</si>
  <si>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</si>
  <si>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</si>
  <si>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</si>
  <si>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</si>
  <si>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</si>
  <si>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</si>
  <si>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</si>
  <si>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</si>
  <si>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</si>
  <si>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</si>
  <si>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</si>
  <si>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</si>
  <si>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</si>
  <si>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</si>
  <si>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</si>
  <si>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</si>
  <si>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</si>
  <si>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</si>
  <si>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</si>
  <si>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</si>
  <si>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</si>
  <si>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</si>
  <si>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</si>
  <si>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</si>
  <si>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</si>
  <si>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</si>
  <si>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</si>
  <si>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</si>
  <si>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</si>
  <si>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</si>
  <si>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</si>
  <si>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</si>
  <si>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</si>
  <si>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</si>
  <si>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</si>
  <si>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</si>
  <si>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</si>
  <si>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</si>
  <si>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</si>
  <si>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</si>
  <si>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</si>
  <si>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</si>
  <si>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</si>
  <si>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</si>
  <si>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</si>
  <si>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</si>
  <si>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</si>
  <si>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</si>
  <si>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</si>
  <si>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</si>
  <si>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</si>
  <si>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</si>
  <si>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</si>
  <si>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</si>
  <si>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</si>
  <si>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</si>
  <si>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</si>
  <si>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</si>
  <si>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</si>
  <si>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</si>
  <si>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</si>
  <si>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</si>
  <si>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</si>
  <si>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</si>
  <si>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</si>
  <si>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</si>
  <si>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</si>
  <si>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</si>
  <si>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</si>
  <si>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</si>
  <si>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</si>
  <si>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</si>
  <si>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</si>
  <si>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</si>
  <si>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</si>
  <si>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</si>
  <si>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</si>
  <si>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</si>
  <si>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</si>
  <si>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</si>
  <si>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</si>
  <si>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</si>
  <si>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</si>
  <si>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</si>
  <si>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</si>
  <si>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</si>
  <si>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</si>
  <si>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</si>
  <si>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</si>
  <si>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</si>
  <si>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</si>
  <si>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</si>
  <si>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</si>
  <si>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</si>
  <si>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</si>
  <si>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</si>
  <si>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</si>
  <si>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</si>
  <si>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</si>
  <si>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</si>
  <si>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</si>
  <si>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</si>
  <si>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</si>
  <si>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</si>
  <si>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</si>
  <si>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</si>
  <si>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</si>
  <si>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</si>
  <si>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</si>
  <si>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</si>
  <si>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</si>
  <si>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</si>
  <si>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</si>
  <si>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</si>
  <si>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</si>
  <si>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</si>
  <si>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</si>
  <si>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</si>
  <si>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</si>
  <si>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</si>
  <si>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</si>
  <si>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</si>
  <si>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</si>
  <si>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</si>
  <si>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</si>
  <si>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</si>
  <si>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</si>
  <si>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</si>
  <si>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</si>
  <si>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</si>
  <si>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</si>
  <si>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</si>
  <si>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</si>
  <si>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</si>
  <si>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</si>
  <si>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</si>
  <si>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</si>
  <si>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</si>
  <si>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</si>
  <si>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</si>
  <si>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</si>
  <si>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</si>
  <si>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</si>
  <si>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</si>
  <si>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</si>
  <si>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</si>
  <si>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</si>
  <si>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</si>
  <si>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</si>
  <si>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</si>
  <si>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</si>
  <si>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</si>
  <si>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</si>
  <si>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</si>
  <si>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</si>
  <si>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</si>
  <si>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</si>
  <si>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</si>
  <si>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</si>
  <si>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</si>
  <si>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</si>
  <si>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</si>
  <si>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</si>
  <si>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</si>
  <si>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</si>
  <si>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</si>
  <si>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</si>
  <si>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</si>
  <si>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</si>
  <si>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</si>
  <si>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</si>
  <si>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</si>
  <si>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</si>
  <si>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</si>
  <si>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</si>
  <si>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</si>
  <si>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</si>
  <si>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</si>
  <si>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</si>
  <si>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</si>
  <si>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</si>
  <si>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</si>
  <si>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</si>
  <si>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</si>
  <si>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</si>
  <si>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</si>
  <si>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</si>
  <si>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</si>
  <si>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</si>
  <si>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</si>
  <si>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</si>
  <si>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</si>
  <si>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</si>
  <si>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</si>
  <si>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</si>
  <si>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</si>
  <si>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</si>
  <si>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</si>
  <si>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</si>
  <si>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</si>
  <si>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</si>
  <si>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</si>
  <si>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</si>
  <si>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</si>
  <si>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</si>
  <si>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</si>
  <si>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</si>
  <si>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</si>
  <si>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</si>
  <si>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</si>
  <si>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</si>
  <si>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</si>
  <si>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</si>
  <si>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</si>
  <si>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</si>
  <si>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</si>
  <si>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</si>
  <si>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</si>
  <si>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</si>
  <si>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</si>
  <si>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</si>
  <si>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</si>
  <si>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</si>
  <si>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</si>
  <si>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</si>
  <si>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</si>
  <si>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</si>
  <si>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</si>
  <si>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</si>
  <si>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</si>
  <si>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</si>
  <si>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</si>
  <si>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</si>
  <si>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</si>
  <si>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</si>
  <si>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</si>
  <si>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</si>
  <si>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</si>
  <si>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</si>
  <si>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</si>
  <si>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</si>
  <si>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</si>
  <si>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</si>
  <si>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</si>
  <si>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</si>
  <si>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</si>
  <si>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</si>
  <si>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</si>
  <si>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</si>
  <si>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</si>
  <si>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</si>
  <si>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</si>
  <si>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</si>
  <si>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</si>
  <si>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</si>
  <si>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</si>
  <si>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</si>
  <si>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</si>
  <si>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</si>
  <si>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</si>
  <si>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</si>
  <si>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</si>
  <si>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</si>
  <si>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</si>
  <si>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</si>
  <si>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</si>
  <si>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</si>
  <si>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</si>
  <si>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</si>
  <si>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</si>
  <si>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</si>
  <si>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</si>
  <si>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</si>
  <si>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</si>
  <si>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</si>
  <si>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</si>
  <si>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</si>
  <si>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</si>
  <si>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</si>
  <si>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</si>
  <si>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</si>
  <si>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</si>
  <si>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</si>
  <si>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</si>
  <si>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</si>
  <si>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</si>
  <si>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</si>
  <si>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</si>
  <si>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</si>
  <si>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</si>
  <si>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</si>
  <si>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</si>
  <si>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</si>
  <si>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</si>
  <si>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</si>
  <si>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</si>
  <si>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</si>
  <si>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</si>
  <si>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</si>
  <si>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</si>
  <si>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</si>
  <si>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</si>
  <si>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</si>
  <si>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</si>
  <si>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</si>
  <si>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</si>
  <si>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</si>
  <si>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</si>
  <si>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</si>
  <si>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</si>
  <si>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</si>
  <si>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</si>
  <si>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</si>
  <si>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</si>
  <si>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</si>
  <si>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</si>
  <si>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</si>
  <si>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</si>
  <si>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</si>
  <si>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</si>
  <si>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</si>
  <si>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</si>
  <si>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</si>
  <si>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</si>
  <si>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</si>
  <si>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</si>
  <si>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</si>
  <si>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</si>
  <si>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</si>
  <si>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</si>
  <si>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</si>
  <si>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</si>
  <si>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</si>
  <si>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</si>
  <si>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</si>
  <si>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</si>
  <si>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</si>
  <si>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</si>
  <si>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</si>
  <si>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</si>
  <si>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</si>
  <si>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</si>
  <si>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</si>
  <si>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</si>
  <si>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</si>
  <si>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</si>
  <si>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</si>
  <si>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</si>
  <si>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</si>
  <si>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</si>
  <si>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</si>
  <si>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</si>
  <si>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</si>
  <si>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</si>
  <si>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</si>
  <si>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</si>
  <si>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</si>
  <si>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</si>
  <si>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</si>
  <si>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</si>
  <si>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</si>
  <si>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</si>
  <si>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</si>
  <si>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</si>
  <si>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</si>
  <si>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</si>
  <si>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</si>
  <si>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</si>
  <si>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</si>
  <si>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</si>
  <si>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</si>
  <si>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</si>
  <si>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</si>
  <si>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</si>
  <si>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</si>
  <si>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</si>
  <si>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</si>
  <si>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</si>
  <si>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</si>
  <si>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</si>
  <si>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</si>
  <si>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</si>
  <si>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</si>
  <si>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</si>
  <si>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</si>
  <si>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</si>
  <si>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</si>
  <si>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</si>
  <si>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</si>
  <si>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</si>
  <si>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</si>
  <si>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</si>
  <si>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</si>
  <si>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</si>
  <si>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</si>
  <si>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</si>
  <si>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</si>
  <si>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</si>
  <si>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</si>
  <si>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</si>
  <si>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</si>
  <si>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</si>
  <si>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</si>
  <si>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</si>
  <si>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</si>
  <si>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</si>
  <si>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</si>
  <si>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</si>
  <si>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</si>
  <si>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</si>
  <si>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</si>
  <si>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</si>
  <si>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</si>
  <si>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</si>
  <si>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</si>
  <si>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</si>
  <si>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</si>
  <si>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</si>
  <si>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</si>
  <si>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</si>
  <si>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</si>
  <si>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</si>
  <si>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</si>
  <si>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</si>
  <si>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</si>
  <si>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</si>
  <si>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</si>
  <si>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</si>
  <si>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</si>
  <si>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</si>
  <si>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</si>
  <si>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</si>
  <si>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</si>
  <si>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</si>
  <si>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</si>
  <si>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</si>
  <si>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</si>
  <si>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</si>
  <si>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</si>
  <si>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</si>
  <si>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</si>
  <si>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</si>
  <si>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</si>
  <si>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</si>
  <si>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</si>
  <si>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</si>
  <si>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</si>
  <si>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</si>
  <si>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</si>
  <si>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</si>
  <si>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</si>
  <si>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</si>
  <si>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</si>
  <si>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</si>
  <si>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</si>
  <si>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</si>
  <si>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</si>
  <si>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</si>
  <si>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</si>
  <si>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</si>
  <si>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</si>
  <si>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</si>
  <si>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</si>
  <si>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</si>
  <si>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</si>
  <si>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</si>
  <si>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</si>
  <si>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</si>
  <si>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</si>
  <si>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</si>
  <si>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</si>
  <si>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</si>
  <si>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</si>
  <si>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</si>
  <si>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</si>
  <si>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</si>
  <si>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</si>
  <si>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</si>
  <si>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</si>
  <si>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</si>
  <si>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</si>
  <si>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</si>
  <si>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</si>
  <si>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</si>
  <si>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</si>
  <si>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</si>
  <si>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</si>
  <si>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</si>
  <si>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</si>
  <si>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</si>
  <si>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</si>
  <si>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</si>
  <si>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</si>
  <si>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</si>
  <si>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</si>
  <si>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</si>
  <si>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</si>
  <si>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</si>
  <si>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</si>
  <si>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</si>
  <si>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</si>
  <si>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</si>
  <si>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</si>
  <si>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</si>
  <si>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</si>
  <si>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</si>
  <si>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</si>
  <si>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</si>
  <si>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</si>
  <si>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</si>
  <si>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</si>
  <si>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</si>
  <si>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</si>
  <si>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</si>
  <si>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</si>
  <si>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</si>
  <si>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</si>
  <si>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</si>
  <si>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</si>
  <si>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</si>
  <si>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</si>
  <si>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</si>
  <si>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</si>
  <si>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</si>
  <si>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</si>
  <si>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</si>
  <si>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</si>
  <si>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</si>
  <si>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</si>
  <si>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</si>
  <si>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</si>
  <si>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</si>
  <si>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</si>
  <si>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</si>
  <si>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</si>
  <si>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</si>
  <si>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</si>
  <si>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</si>
  <si>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</si>
  <si>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</si>
  <si>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</si>
  <si>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</si>
  <si>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</si>
  <si>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</si>
  <si>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</si>
  <si>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</si>
  <si>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</si>
  <si>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</si>
  <si>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</si>
  <si>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</si>
  <si>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</si>
  <si>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</si>
  <si>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</si>
  <si>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</si>
  <si>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</si>
  <si>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</si>
  <si>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</si>
  <si>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</si>
  <si>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</si>
  <si>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</si>
  <si>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</si>
  <si>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</si>
  <si>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</si>
  <si>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</si>
  <si>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</si>
  <si>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</si>
  <si>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</si>
  <si>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</si>
  <si>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</si>
  <si>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</si>
  <si>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</si>
  <si>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</si>
  <si>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</si>
  <si>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</si>
  <si>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</si>
  <si>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</si>
  <si>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</si>
  <si>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</si>
  <si>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</si>
  <si>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</si>
  <si>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</si>
  <si>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</si>
  <si>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</si>
  <si>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</si>
  <si>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</si>
  <si>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</si>
  <si>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</si>
  <si>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</si>
  <si>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</si>
  <si>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</si>
  <si>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</si>
  <si>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</si>
  <si>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</si>
  <si>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</si>
  <si>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</si>
  <si>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</si>
  <si>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</si>
  <si>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</si>
  <si>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</si>
  <si>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</si>
  <si>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</si>
  <si>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</si>
  <si>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</si>
  <si>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</si>
  <si>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</si>
  <si>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</si>
  <si>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</si>
  <si>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</si>
  <si>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</si>
  <si>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</si>
  <si>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</si>
  <si>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</si>
  <si>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</si>
  <si>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</si>
  <si>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</si>
  <si>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</si>
  <si>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</si>
  <si>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</si>
  <si>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</si>
  <si>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</si>
  <si>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</si>
  <si>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</si>
  <si>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</si>
  <si>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</si>
  <si>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</si>
  <si>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</si>
  <si>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</si>
  <si>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</si>
  <si>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</si>
  <si>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</si>
  <si>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</si>
  <si>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</si>
  <si>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</si>
  <si>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</si>
  <si>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</si>
  <si>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</si>
  <si>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</si>
  <si>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</si>
  <si>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</si>
  <si>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</si>
  <si>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</si>
  <si>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</si>
  <si>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</si>
  <si>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</si>
  <si>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</si>
  <si>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</si>
  <si>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</si>
  <si>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</si>
  <si>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</si>
  <si>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</si>
  <si>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</si>
  <si>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</si>
  <si>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</si>
  <si>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</si>
  <si>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</si>
  <si>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</si>
  <si>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</si>
  <si>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</si>
  <si>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</si>
  <si>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</si>
  <si>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</si>
  <si>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</si>
  <si>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</si>
  <si>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</si>
  <si>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</si>
  <si>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</si>
  <si>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</si>
  <si>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</si>
  <si>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</si>
  <si>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</si>
  <si>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</si>
  <si>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</si>
  <si>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</si>
  <si>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</si>
  <si>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</si>
  <si>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</si>
  <si>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</si>
  <si>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</si>
  <si>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</si>
  <si>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</si>
  <si>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</si>
  <si>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</si>
  <si>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</si>
  <si>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</si>
  <si>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</si>
  <si>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</si>
  <si>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</si>
  <si>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</si>
  <si>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</si>
  <si>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</si>
  <si>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</si>
  <si>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</si>
  <si>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</si>
  <si>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</si>
  <si>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</si>
  <si>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</si>
  <si>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</si>
  <si>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</si>
  <si>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</si>
  <si>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</si>
  <si>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</si>
  <si>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</si>
  <si>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</si>
  <si>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</si>
  <si>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</si>
  <si>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</si>
  <si>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</si>
  <si>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</si>
  <si>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</si>
  <si>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</si>
  <si>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</si>
  <si>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</si>
  <si>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</si>
  <si>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</si>
  <si>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</si>
  <si>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</si>
  <si>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</si>
  <si>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</si>
  <si>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</si>
  <si>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</si>
  <si>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</si>
  <si>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</si>
  <si>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</si>
  <si>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</si>
  <si>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</si>
  <si>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</si>
  <si>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</si>
  <si>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</si>
  <si>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</si>
  <si>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</si>
  <si>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</si>
  <si>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</si>
  <si>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</si>
  <si>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</si>
  <si>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</si>
  <si>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</si>
  <si>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</si>
  <si>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</si>
  <si>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</si>
  <si>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</si>
  <si>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</si>
  <si>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</si>
  <si>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</si>
  <si>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</si>
  <si>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</si>
  <si>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</si>
  <si>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</si>
  <si>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</si>
  <si>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</si>
  <si>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</si>
  <si>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</si>
  <si>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</si>
  <si>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</si>
  <si>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</si>
  <si>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</si>
  <si>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</si>
  <si>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</si>
  <si>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</si>
  <si>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</si>
  <si>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</si>
  <si>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</si>
  <si>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</si>
  <si>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</si>
  <si>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</si>
  <si>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</si>
  <si>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</si>
  <si>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</si>
  <si>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</si>
  <si>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</si>
  <si>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</si>
  <si>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</si>
  <si>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</si>
  <si>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</si>
  <si>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</si>
  <si>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</si>
  <si>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</si>
  <si>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</si>
  <si>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</si>
  <si>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</si>
  <si>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</si>
  <si>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</si>
  <si>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</si>
  <si>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</si>
  <si>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</si>
  <si>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</si>
  <si>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</si>
  <si>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</si>
  <si>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</si>
  <si>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</si>
  <si>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</si>
  <si>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</si>
  <si>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</si>
  <si>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</si>
  <si>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</si>
  <si>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</si>
  <si>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</si>
  <si>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</si>
  <si>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</si>
  <si>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</si>
  <si>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</si>
  <si>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</si>
  <si>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</si>
  <si>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</si>
  <si>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</si>
  <si>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</si>
  <si>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</si>
  <si>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</si>
  <si>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</si>
  <si>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</si>
  <si>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</si>
  <si>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</si>
  <si>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</si>
  <si>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</si>
  <si>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</si>
  <si>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</si>
  <si>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</si>
  <si>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</si>
  <si>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</si>
  <si>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</si>
  <si>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</si>
  <si>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</si>
  <si>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</si>
  <si>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</si>
  <si>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</si>
  <si>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</si>
  <si>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</si>
  <si>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</si>
  <si>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</si>
  <si>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</si>
  <si>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</si>
  <si>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</si>
  <si>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</si>
  <si>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</si>
  <si>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</si>
  <si>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</si>
  <si>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</si>
  <si>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</si>
  <si>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</si>
  <si>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</si>
  <si>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</si>
  <si>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</si>
  <si>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</si>
  <si>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</si>
  <si>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</si>
  <si>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</si>
  <si>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</si>
  <si>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</si>
  <si>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</si>
  <si>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</si>
  <si>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</si>
  <si>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</si>
  <si>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</si>
  <si>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</si>
  <si>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</si>
  <si>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</si>
  <si>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</si>
  <si>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</si>
  <si>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</si>
  <si>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</si>
  <si>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</si>
  <si>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</si>
  <si>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</si>
  <si>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</si>
  <si>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</si>
  <si>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</si>
  <si>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</si>
  <si>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</si>
  <si>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</si>
  <si>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</si>
  <si>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</si>
  <si>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</si>
  <si>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</si>
  <si>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</si>
  <si>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</si>
  <si>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</si>
  <si>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</si>
  <si>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</si>
  <si>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</si>
  <si>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</si>
  <si>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</si>
  <si>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</si>
  <si>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</si>
  <si>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</si>
  <si>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</si>
  <si>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</si>
  <si>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</si>
  <si>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</si>
  <si>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</si>
  <si>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</si>
  <si>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</si>
  <si>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</si>
  <si>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</si>
  <si>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</si>
  <si>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</si>
  <si>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</si>
  <si>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</si>
  <si>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</si>
  <si>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</si>
  <si>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</si>
  <si>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</si>
  <si>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</si>
  <si>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</si>
  <si>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</si>
  <si>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</si>
  <si>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</si>
  <si>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</si>
  <si>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</si>
  <si>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</si>
  <si>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</si>
  <si>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</si>
  <si>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</si>
  <si>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</si>
  <si>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</si>
  <si>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</si>
  <si>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</si>
  <si>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</si>
  <si>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</si>
  <si>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</si>
  <si>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</si>
  <si>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</si>
  <si>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</si>
  <si>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</si>
  <si>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</si>
  <si>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</si>
  <si>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</si>
  <si>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</si>
  <si>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</si>
  <si>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</si>
  <si>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</si>
  <si>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</si>
  <si>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</si>
  <si>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</si>
  <si>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</si>
  <si>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</si>
  <si>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</si>
  <si>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</si>
  <si>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</si>
  <si>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</si>
  <si>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</si>
  <si>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</si>
  <si>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</si>
  <si>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</si>
  <si>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</si>
  <si>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</si>
  <si>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</si>
  <si>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</si>
  <si>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</si>
  <si>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</si>
  <si>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</si>
  <si>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</si>
  <si>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</si>
  <si>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</si>
  <si>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</si>
  <si>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</si>
  <si>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</si>
  <si>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</si>
  <si>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</si>
  <si>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</si>
  <si>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</si>
  <si>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</si>
  <si>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</si>
  <si>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</si>
  <si>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</si>
  <si>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</si>
  <si>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</si>
  <si>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</si>
  <si>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</si>
  <si>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</si>
  <si>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</si>
  <si>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</si>
  <si>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</si>
  <si>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</si>
  <si>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</si>
  <si>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</si>
  <si>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</si>
  <si>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</si>
  <si>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</si>
  <si>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</si>
  <si>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</si>
  <si>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</si>
  <si>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</si>
  <si>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</si>
  <si>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</si>
  <si>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</si>
  <si>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</si>
  <si>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</si>
  <si>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</si>
  <si>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</si>
  <si>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</si>
  <si>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</si>
  <si>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</si>
  <si>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</si>
  <si>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</si>
  <si>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</si>
  <si>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</si>
  <si>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</si>
  <si>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</si>
  <si>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</si>
  <si>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</si>
  <si>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</si>
  <si>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</si>
  <si>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</si>
  <si>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</si>
  <si>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</si>
  <si>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</si>
  <si>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</si>
  <si>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</si>
  <si>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</si>
  <si>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</si>
  <si>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</si>
  <si>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</si>
  <si>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</si>
  <si>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</si>
  <si>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</si>
  <si>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</si>
  <si>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</si>
  <si>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</si>
  <si>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</si>
  <si>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</si>
  <si>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</si>
  <si>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</si>
  <si>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</si>
  <si>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</si>
  <si>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</si>
  <si>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</si>
  <si>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</si>
  <si>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</si>
  <si>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</si>
  <si>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</si>
  <si>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</si>
  <si>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</si>
  <si>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</si>
  <si>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</si>
  <si>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</si>
  <si>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</si>
  <si>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</si>
  <si>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</si>
  <si>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</si>
  <si>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</si>
  <si>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</si>
  <si>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</si>
  <si>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</si>
  <si>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</si>
  <si>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</si>
  <si>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</si>
  <si>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</si>
  <si>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</si>
  <si>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</si>
  <si>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</si>
  <si>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</si>
  <si>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</si>
  <si>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</si>
  <si>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</si>
  <si>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</si>
  <si>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</si>
  <si>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</si>
  <si>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</si>
  <si>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</si>
  <si>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</si>
  <si>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</si>
  <si>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</si>
  <si>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</si>
  <si>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</si>
  <si>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</si>
  <si>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</si>
  <si>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</si>
  <si>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</si>
  <si>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</si>
  <si>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</si>
  <si>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</si>
  <si>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</si>
  <si>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</si>
  <si>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</si>
  <si>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</si>
  <si>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</si>
  <si>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</si>
  <si>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</si>
  <si>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</si>
  <si>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</si>
  <si>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</si>
  <si>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</si>
  <si>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</si>
  <si>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</si>
  <si>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</si>
  <si>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</si>
  <si>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</si>
  <si>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</si>
  <si>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</si>
  <si>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</si>
  <si>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</si>
  <si>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</si>
  <si>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</si>
  <si>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</si>
  <si>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</si>
  <si>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</si>
  <si>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</si>
  <si>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</si>
  <si>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</si>
  <si>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</si>
  <si>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</si>
  <si>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</si>
  <si>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</si>
  <si>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</si>
  <si>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</si>
  <si>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</si>
  <si>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</si>
  <si>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</si>
  <si>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</si>
  <si>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</si>
  <si>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</si>
  <si>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</si>
  <si>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</si>
  <si>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</si>
  <si>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</si>
  <si>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</si>
  <si>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</si>
  <si>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</si>
  <si>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</si>
  <si>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</si>
  <si>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</si>
  <si>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</si>
  <si>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</si>
  <si>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</si>
  <si>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</si>
  <si>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</si>
  <si>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</si>
  <si>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</si>
  <si>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</si>
  <si>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</si>
  <si>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</si>
  <si>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</si>
  <si>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</si>
  <si>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</si>
  <si>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</si>
  <si>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</si>
  <si>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</si>
  <si>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</si>
  <si>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</si>
  <si>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</si>
  <si>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</si>
  <si>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</si>
  <si>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</si>
  <si>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</si>
  <si>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</si>
  <si>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</si>
  <si>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</si>
  <si>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</si>
  <si>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</si>
  <si>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</si>
  <si>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</si>
  <si>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</si>
  <si>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</si>
  <si>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</si>
  <si>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</si>
  <si>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</si>
  <si>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</si>
  <si>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</si>
  <si>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</si>
  <si>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</si>
  <si>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</si>
  <si>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</si>
  <si>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</si>
  <si>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</si>
  <si>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</si>
  <si>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</si>
  <si>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</si>
  <si>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</si>
  <si>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</si>
  <si>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</si>
  <si>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</si>
  <si>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</si>
  <si>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</si>
  <si>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</si>
  <si>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</si>
  <si>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</si>
  <si>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</si>
  <si>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</si>
  <si>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</si>
  <si>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</si>
  <si>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</si>
  <si>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</si>
  <si>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</si>
  <si>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</si>
  <si>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</si>
  <si>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</si>
  <si>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</si>
  <si>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</si>
  <si>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</si>
  <si>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</si>
  <si>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</si>
  <si>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</si>
  <si>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</si>
  <si>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</si>
  <si>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</si>
  <si>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</si>
  <si>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</si>
  <si>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</si>
  <si>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</si>
  <si>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</si>
  <si>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</si>
  <si>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</si>
  <si>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</si>
  <si>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</si>
  <si>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</si>
  <si>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</si>
  <si>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</si>
  <si>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</si>
  <si>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</si>
  <si>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</si>
  <si>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</si>
  <si>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</si>
  <si>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</si>
  <si>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</si>
  <si>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</si>
  <si>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</si>
  <si>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</si>
  <si>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</si>
  <si>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</si>
  <si>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</si>
  <si>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</si>
  <si>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</si>
  <si>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</si>
  <si>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</si>
  <si>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</si>
  <si>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</si>
  <si>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</si>
  <si>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</si>
  <si>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</si>
  <si>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</si>
  <si>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</si>
  <si>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</si>
  <si>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</si>
  <si>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</si>
  <si>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</si>
  <si>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</si>
  <si>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</si>
  <si>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</si>
  <si>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</si>
  <si>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</si>
  <si>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</si>
  <si>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</si>
  <si>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</si>
  <si>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</si>
  <si>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</si>
  <si>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</si>
  <si>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</si>
  <si>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</si>
  <si>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</si>
  <si>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</si>
  <si>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</si>
  <si>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</si>
  <si>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</si>
  <si>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</si>
  <si>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</si>
  <si>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</si>
  <si>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</si>
  <si>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</si>
  <si>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</si>
  <si>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</si>
  <si>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</si>
  <si>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</si>
  <si>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</si>
  <si>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</si>
  <si>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</si>
  <si>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</si>
  <si>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</si>
  <si>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</si>
  <si>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</si>
  <si>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</si>
  <si>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</si>
  <si>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</si>
  <si>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</si>
  <si>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</si>
  <si>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</si>
  <si>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</si>
  <si>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</si>
  <si>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</si>
  <si>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</si>
  <si>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</si>
  <si>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</si>
  <si>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</si>
  <si>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</si>
  <si>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</si>
  <si>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</si>
  <si>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</si>
  <si>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</si>
  <si>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</si>
  <si>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</si>
  <si>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</si>
  <si>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</si>
  <si>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</si>
  <si>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</si>
  <si>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</si>
  <si>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</si>
  <si>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</si>
  <si>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</si>
  <si>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</si>
  <si>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</si>
  <si>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</si>
  <si>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</si>
  <si>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</si>
  <si>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</si>
  <si>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</si>
  <si>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</si>
  <si>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</si>
  <si>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</si>
  <si>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</si>
  <si>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</si>
  <si>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</si>
  <si>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</si>
  <si>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</si>
  <si>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</si>
  <si>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</si>
  <si>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</si>
  <si>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</si>
  <si>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</si>
  <si>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</si>
  <si>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</si>
  <si>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</si>
  <si>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</si>
  <si>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</si>
  <si>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</si>
  <si>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</si>
  <si>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</si>
  <si>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</si>
  <si>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</si>
  <si>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</si>
  <si>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</si>
  <si>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</si>
  <si>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</si>
  <si>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</si>
  <si>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</si>
  <si>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</si>
  <si>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</si>
  <si>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</si>
  <si>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</si>
  <si>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</si>
  <si>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</si>
  <si>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</si>
  <si>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</si>
  <si>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</si>
  <si>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</si>
  <si>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</si>
  <si>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</si>
  <si>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</si>
  <si>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</si>
  <si>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</si>
  <si>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</si>
  <si>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</si>
  <si>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</si>
  <si>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</si>
  <si>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</si>
  <si>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</si>
  <si>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</si>
  <si>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</si>
  <si>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</si>
  <si>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</si>
  <si>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</si>
  <si>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</si>
  <si>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</si>
  <si>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</si>
  <si>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</si>
  <si>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</si>
  <si>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</si>
  <si>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</si>
  <si>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</si>
  <si>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</si>
  <si>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</si>
  <si>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</si>
  <si>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</si>
  <si>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</si>
  <si>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</si>
  <si>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</si>
  <si>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</si>
  <si>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</si>
  <si>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</si>
  <si>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</si>
  <si>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</si>
  <si>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</si>
  <si>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</si>
  <si>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</si>
  <si>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</si>
  <si>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</si>
  <si>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</si>
  <si>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</si>
  <si>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</si>
  <si>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</si>
  <si>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</si>
  <si>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</si>
  <si>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</si>
  <si>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</si>
  <si>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</si>
  <si>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</si>
  <si>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</si>
  <si>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</si>
  <si>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</si>
  <si>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</si>
  <si>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</si>
  <si>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</si>
  <si>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</si>
  <si>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</si>
  <si>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</si>
  <si>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</si>
  <si>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</si>
  <si>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</si>
  <si>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</si>
  <si>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</si>
  <si>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</si>
  <si>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</si>
  <si>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</si>
  <si>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</si>
  <si>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</si>
  <si>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</si>
  <si>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</si>
  <si>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</si>
  <si>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</si>
  <si>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</si>
  <si>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</si>
  <si>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</si>
  <si>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</si>
  <si>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</si>
  <si>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</si>
  <si>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</si>
  <si>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</si>
  <si>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</si>
  <si>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</si>
  <si>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</si>
  <si>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</si>
  <si>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</si>
  <si>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</si>
  <si>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</si>
  <si>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</si>
  <si>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</si>
  <si>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</si>
  <si>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</si>
  <si>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</si>
  <si>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</si>
  <si>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</si>
  <si>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</si>
  <si>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</si>
  <si>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</si>
  <si>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</si>
  <si>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</si>
  <si>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</si>
  <si>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</si>
  <si>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</si>
  <si>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</si>
  <si>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</si>
  <si>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</si>
  <si>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</si>
  <si>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</si>
  <si>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</si>
  <si>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</si>
  <si>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</si>
  <si>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</si>
  <si>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</si>
  <si>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</si>
  <si>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</si>
  <si>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</si>
  <si>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</si>
  <si>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</si>
  <si>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</si>
  <si>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</si>
  <si>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</si>
  <si>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</si>
  <si>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</si>
  <si>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</si>
  <si>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</si>
  <si>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</si>
  <si>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</si>
  <si>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</si>
  <si>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</si>
  <si>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</si>
  <si>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</si>
  <si>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</si>
  <si>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</si>
  <si>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</si>
  <si>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</si>
  <si>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</si>
  <si>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</si>
  <si>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</si>
  <si>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</si>
  <si>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</si>
  <si>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</si>
  <si>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</si>
  <si>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</si>
  <si>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</si>
  <si>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</si>
  <si>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</si>
  <si>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</si>
  <si>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</si>
  <si>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</si>
  <si>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</si>
  <si>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</si>
  <si>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</si>
  <si>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</si>
  <si>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</si>
  <si>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</si>
  <si>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</si>
  <si>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</si>
  <si>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</si>
  <si>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</si>
  <si>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</si>
  <si>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</si>
  <si>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</si>
  <si>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</si>
  <si>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</si>
  <si>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</si>
  <si>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</si>
  <si>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</si>
  <si>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</si>
  <si>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</si>
  <si>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</si>
  <si>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</si>
  <si>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</si>
  <si>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</si>
  <si>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</si>
  <si>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</si>
  <si>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</si>
  <si>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</si>
  <si>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</si>
  <si>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</si>
  <si>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</si>
  <si>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</si>
  <si>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</si>
  <si>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</si>
  <si>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</si>
  <si>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</si>
  <si>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</si>
  <si>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</si>
  <si>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</si>
  <si>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</si>
  <si>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</si>
  <si>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</si>
  <si>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</si>
  <si>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</si>
  <si>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</si>
  <si>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</si>
  <si>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</si>
  <si>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</si>
  <si>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</si>
  <si>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</si>
  <si>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</si>
  <si>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</si>
  <si>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</si>
  <si>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</si>
  <si>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</si>
  <si>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</si>
  <si>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</si>
  <si>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</si>
  <si>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</si>
  <si>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</si>
  <si>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</si>
  <si>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</si>
  <si>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</si>
  <si>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</si>
  <si>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</si>
  <si>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</si>
  <si>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</si>
  <si>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</si>
  <si>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</si>
  <si>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</si>
  <si>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</si>
  <si>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</si>
  <si>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</si>
  <si>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</si>
  <si>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</si>
  <si>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</si>
  <si>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</si>
  <si>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</si>
  <si>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</si>
  <si>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</si>
  <si>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</si>
  <si>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</si>
  <si>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</si>
  <si>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</si>
  <si>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</si>
  <si>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</si>
  <si>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</si>
  <si>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</si>
  <si>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</si>
  <si>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</si>
  <si>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</si>
  <si>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</si>
  <si>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</si>
  <si>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</si>
  <si>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</si>
  <si>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</si>
  <si>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</si>
  <si>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</si>
  <si>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</si>
  <si>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</si>
  <si>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</si>
  <si>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</si>
  <si>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</si>
  <si>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</si>
  <si>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</si>
  <si>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</si>
  <si>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</si>
  <si>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</si>
  <si>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</si>
  <si>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</si>
  <si>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</si>
  <si>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</si>
  <si>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</si>
  <si>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</si>
  <si>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</si>
  <si>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</si>
  <si>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</si>
  <si>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</si>
  <si>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</si>
  <si>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</si>
  <si>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</si>
  <si>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</si>
  <si>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</si>
  <si>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</si>
  <si>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</si>
  <si>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</si>
  <si>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</si>
  <si>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</si>
  <si>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</si>
  <si>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</si>
  <si>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</si>
  <si>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</si>
  <si>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</si>
  <si>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</si>
  <si>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</si>
  <si>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</si>
  <si>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</si>
  <si>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</si>
  <si>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</si>
  <si>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</si>
  <si>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</si>
  <si>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</si>
  <si>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</si>
  <si>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</si>
  <si>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</si>
  <si>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</si>
  <si>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</si>
  <si>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</si>
  <si>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</si>
  <si>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</si>
  <si>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</si>
  <si>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</si>
  <si>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</si>
  <si>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</si>
  <si>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</si>
  <si>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</si>
  <si>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</si>
  <si>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</si>
  <si>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</si>
  <si>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</si>
  <si>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</si>
  <si>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</si>
  <si>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</si>
  <si>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</si>
  <si>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</si>
  <si>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</si>
  <si>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</si>
  <si>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</si>
  <si>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</si>
  <si>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</si>
  <si>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</si>
  <si>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</si>
  <si>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</si>
  <si>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</si>
  <si>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</si>
  <si>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</si>
  <si>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</si>
  <si>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</si>
  <si>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</si>
  <si>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</si>
  <si>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</si>
  <si>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</si>
  <si>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</si>
  <si>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</si>
  <si>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</si>
  <si>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</si>
  <si>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</si>
  <si>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</si>
  <si>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</si>
  <si>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</si>
  <si>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</si>
  <si>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</si>
  <si>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</si>
  <si>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</si>
  <si>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</si>
  <si>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</si>
  <si>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</si>
  <si>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</si>
  <si>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</si>
  <si>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</si>
  <si>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</si>
  <si>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</si>
  <si>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</si>
  <si>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</si>
  <si>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</si>
  <si>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</si>
  <si>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</si>
  <si>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</si>
  <si>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</si>
  <si>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</si>
  <si>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</si>
  <si>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</si>
  <si>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</si>
  <si>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</si>
  <si>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</si>
  <si>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</si>
  <si>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</si>
  <si>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</si>
  <si>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</si>
  <si>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</si>
  <si>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</si>
  <si>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</si>
  <si>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</si>
  <si>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</si>
  <si>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</si>
  <si>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</si>
  <si>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</si>
  <si>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</si>
  <si>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</si>
  <si>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</si>
  <si>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</si>
  <si>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</si>
  <si>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</si>
  <si>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</si>
  <si>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</si>
  <si>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</si>
  <si>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</si>
  <si>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</si>
  <si>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</si>
  <si>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</si>
  <si>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</si>
  <si>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</si>
  <si>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</si>
  <si>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</si>
  <si>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</si>
  <si>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</si>
  <si>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</si>
  <si>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</si>
  <si>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</si>
  <si>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</si>
  <si>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</si>
  <si>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</si>
  <si>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</si>
  <si>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</si>
  <si>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</si>
  <si>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</si>
  <si>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</si>
  <si>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</si>
  <si>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</si>
  <si>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</si>
  <si>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</si>
  <si>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</si>
  <si>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</si>
  <si>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</si>
  <si>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</si>
  <si>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</si>
  <si>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</si>
  <si>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</si>
  <si>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</si>
  <si>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</si>
  <si>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</si>
  <si>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</si>
  <si>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</si>
  <si>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</si>
  <si>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</si>
  <si>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</si>
  <si>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</si>
  <si>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</si>
  <si>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</si>
  <si>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</si>
  <si>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</si>
  <si>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</si>
  <si>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</si>
  <si>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</si>
  <si>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</si>
  <si>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</si>
  <si>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</si>
  <si>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</si>
  <si>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</si>
  <si>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</si>
  <si>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</si>
  <si>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</si>
  <si>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</si>
  <si>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</si>
  <si>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</si>
  <si>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</si>
  <si>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</si>
  <si>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</si>
  <si>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</si>
  <si>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</si>
  <si>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</si>
  <si>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</si>
  <si>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</si>
  <si>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</si>
  <si>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</si>
  <si>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</si>
  <si>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</si>
  <si>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</si>
  <si>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</si>
  <si>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</si>
  <si>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</si>
  <si>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</si>
  <si>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</si>
  <si>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</si>
  <si>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</si>
  <si>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</si>
  <si>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</si>
  <si>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</si>
  <si>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</si>
  <si>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</si>
  <si>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</si>
  <si>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</si>
  <si>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</si>
  <si>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</si>
  <si>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</si>
  <si>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</si>
  <si>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</si>
  <si>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</si>
  <si>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</si>
  <si>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</si>
  <si>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</si>
  <si>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</si>
  <si>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</si>
  <si>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</si>
  <si>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</si>
  <si>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</si>
  <si>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</si>
  <si>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</si>
  <si>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</si>
  <si>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</si>
  <si>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</si>
  <si>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</si>
  <si>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</si>
  <si>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</si>
  <si>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</si>
  <si>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</si>
  <si>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</si>
  <si>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</si>
  <si>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</si>
  <si>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</si>
  <si>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</si>
  <si>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</si>
  <si>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</si>
  <si>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</si>
  <si>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</si>
  <si>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</si>
  <si>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</si>
  <si>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</si>
  <si>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</si>
  <si>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</si>
  <si>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</si>
  <si>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</si>
  <si>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</si>
  <si>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</si>
  <si>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</si>
  <si>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</si>
  <si>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</si>
  <si>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</si>
  <si>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</si>
  <si>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</si>
  <si>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</si>
  <si>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</si>
  <si>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</si>
  <si>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</si>
  <si>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</si>
  <si>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</si>
  <si>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</si>
  <si>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</si>
  <si>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</si>
  <si>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</si>
  <si>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</si>
  <si>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</si>
  <si>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</si>
  <si>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</si>
  <si>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</si>
  <si>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</si>
  <si>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</si>
  <si>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</si>
  <si>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</si>
  <si>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</si>
  <si>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</si>
  <si>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</si>
  <si>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</si>
  <si>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</si>
  <si>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</si>
  <si>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</si>
  <si>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</si>
  <si>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</si>
  <si>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</si>
  <si>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</si>
  <si>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</si>
  <si>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</si>
  <si>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</si>
  <si>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</si>
  <si>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</si>
  <si>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</si>
  <si>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</si>
  <si>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</si>
  <si>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</si>
  <si>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</si>
  <si>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</si>
  <si>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</si>
  <si>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</si>
  <si>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</si>
  <si>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</si>
  <si>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</si>
  <si>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</si>
  <si>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</si>
  <si>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</si>
  <si>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</si>
  <si>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</si>
  <si>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</si>
  <si>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</si>
  <si>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</si>
  <si>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</si>
  <si>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</si>
  <si>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</si>
  <si>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</si>
  <si>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</si>
  <si>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</si>
  <si>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</si>
  <si>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</si>
  <si>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</si>
  <si>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</si>
  <si>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</si>
  <si>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</si>
  <si>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</si>
  <si>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</si>
  <si>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</si>
  <si>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</si>
  <si>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</si>
  <si>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</si>
  <si>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</si>
  <si>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</si>
  <si>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</si>
  <si>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</si>
  <si>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</si>
  <si>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</si>
  <si>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</si>
  <si>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</si>
  <si>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</si>
  <si>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</si>
  <si>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</si>
  <si>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</si>
  <si>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</si>
  <si>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</si>
  <si>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</si>
  <si>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</si>
  <si>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</si>
  <si>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</si>
  <si>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</si>
  <si>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</si>
  <si>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</si>
  <si>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</si>
  <si>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</si>
  <si>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</si>
  <si>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</si>
  <si>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</si>
  <si>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</si>
  <si>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</si>
  <si>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</si>
  <si>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</si>
  <si>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</si>
  <si>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</si>
  <si>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</si>
  <si>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</si>
  <si>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</si>
  <si>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</si>
  <si>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</si>
  <si>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</si>
  <si>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</si>
  <si>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</si>
  <si>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</si>
  <si>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</si>
  <si>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</si>
  <si>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</si>
  <si>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</si>
  <si>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</si>
  <si>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</si>
  <si>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</si>
  <si>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</si>
  <si>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</si>
  <si>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</si>
  <si>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</si>
  <si>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</si>
  <si>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</si>
  <si>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</si>
  <si>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</si>
  <si>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</si>
  <si>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</si>
  <si>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</si>
  <si>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</si>
  <si>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</si>
  <si>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</si>
  <si>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</si>
  <si>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</si>
  <si>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</si>
  <si>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</si>
  <si>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</si>
  <si>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</si>
  <si>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</si>
  <si>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</si>
  <si>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</si>
  <si>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</si>
  <si>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</si>
  <si>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</si>
  <si>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</si>
  <si>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</si>
  <si>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</si>
  <si>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</si>
  <si>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</si>
  <si>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</si>
  <si>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</si>
  <si>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</si>
  <si>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</si>
  <si>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</si>
  <si>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</si>
  <si>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</si>
  <si>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</si>
  <si>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</si>
  <si>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</si>
  <si>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</si>
  <si>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</si>
  <si>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</si>
  <si>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</si>
  <si>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</si>
  <si>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</si>
  <si>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</si>
  <si>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</si>
  <si>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</si>
  <si>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</si>
  <si>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</si>
  <si>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</si>
  <si>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</si>
  <si>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</si>
  <si>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</si>
  <si>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</si>
  <si>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</si>
  <si>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</si>
  <si>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</si>
  <si>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</si>
  <si>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</si>
  <si>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</si>
  <si>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</si>
  <si>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</si>
  <si>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</si>
  <si>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</si>
  <si>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</si>
  <si>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</si>
  <si>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</si>
  <si>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</si>
  <si>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</si>
  <si>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</si>
  <si>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</si>
  <si>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</si>
  <si>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</si>
  <si>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</si>
  <si>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</si>
  <si>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</si>
  <si>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</si>
  <si>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</si>
  <si>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</si>
  <si>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</si>
  <si>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</si>
  <si>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</si>
  <si>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</si>
  <si>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</si>
  <si>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</si>
  <si>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</si>
  <si>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</si>
  <si>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</si>
  <si>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</si>
  <si>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</si>
  <si>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</si>
  <si>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</si>
  <si>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</si>
  <si>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</si>
  <si>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</si>
  <si>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</si>
  <si>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</si>
  <si>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</si>
  <si>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</si>
  <si>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</si>
  <si>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</si>
  <si>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</si>
  <si>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</si>
  <si>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</si>
  <si>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</si>
  <si>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</si>
  <si>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</si>
  <si>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</si>
  <si>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</si>
  <si>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</si>
  <si>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</si>
  <si>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</si>
  <si>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</si>
  <si>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</si>
  <si>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</si>
  <si>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</si>
  <si>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</si>
  <si>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</si>
  <si>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</si>
  <si>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</si>
  <si>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</si>
  <si>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</si>
  <si>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</si>
  <si>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</si>
  <si>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</si>
  <si>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</si>
  <si>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</si>
  <si>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</si>
  <si>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</si>
  <si>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</si>
  <si>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</si>
  <si>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</si>
  <si>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</si>
  <si>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</si>
  <si>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</si>
  <si>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</si>
  <si>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</si>
  <si>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</si>
  <si>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</si>
  <si>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</si>
  <si>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</si>
  <si>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</si>
  <si>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</si>
  <si>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</si>
  <si>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</si>
  <si>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</si>
  <si>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</si>
  <si>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</si>
  <si>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</si>
  <si>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</si>
  <si>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</si>
  <si>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</si>
  <si>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</si>
  <si>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</si>
  <si>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</si>
  <si>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</si>
  <si>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</si>
  <si>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</si>
  <si>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</si>
  <si>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</si>
  <si>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</si>
  <si>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</si>
  <si>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</si>
  <si>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</si>
  <si>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</si>
  <si>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</si>
  <si>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</si>
  <si>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</si>
  <si>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</si>
  <si>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</si>
  <si>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</si>
  <si>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</si>
  <si>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</si>
  <si>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</si>
  <si>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</si>
  <si>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</si>
  <si>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</si>
  <si>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</si>
  <si>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</si>
  <si>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</si>
  <si>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</si>
  <si>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</si>
  <si>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</si>
  <si>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</si>
  <si>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</si>
  <si>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</si>
  <si>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</si>
  <si>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</si>
  <si>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</si>
  <si>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</si>
  <si>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</si>
  <si>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</si>
  <si>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</si>
  <si>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</si>
  <si>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</si>
  <si>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</si>
  <si>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</si>
  <si>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</si>
  <si>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</si>
  <si>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</si>
  <si>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</si>
  <si>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</si>
  <si>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</si>
  <si>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</si>
  <si>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</si>
  <si>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</si>
  <si>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</si>
  <si>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</si>
  <si>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</si>
  <si>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</si>
  <si>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</si>
  <si>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</si>
  <si>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</si>
  <si>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</si>
  <si>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</si>
  <si>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</si>
  <si>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</si>
  <si>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</si>
  <si>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</si>
  <si>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</si>
  <si>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</si>
  <si>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</si>
  <si>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</si>
  <si>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</si>
  <si>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</si>
  <si>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</si>
  <si>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</si>
  <si>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</si>
  <si>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</si>
  <si>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</si>
  <si>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</si>
  <si>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</si>
  <si>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</si>
  <si>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</si>
  <si>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</si>
  <si>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</si>
  <si>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</si>
  <si>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</si>
  <si>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</si>
  <si>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</si>
  <si>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</si>
  <si>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</si>
  <si>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</si>
  <si>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</si>
  <si>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</si>
  <si>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</si>
  <si>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</si>
  <si>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</si>
  <si>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</si>
  <si>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</si>
  <si>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</si>
  <si>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</si>
  <si>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</si>
  <si>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</si>
  <si>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</si>
  <si>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</si>
  <si>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</si>
  <si>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</si>
  <si>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</si>
  <si>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</si>
  <si>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</si>
  <si>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</si>
  <si>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</si>
  <si>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</si>
  <si>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</si>
  <si>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</si>
  <si>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</si>
  <si>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</si>
  <si>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</si>
  <si>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</si>
  <si>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</si>
  <si>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</si>
  <si>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</si>
  <si>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</si>
  <si>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</si>
  <si>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</si>
  <si>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</si>
  <si>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</si>
  <si>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</si>
  <si>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</si>
  <si>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</si>
  <si>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</si>
  <si>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</si>
  <si>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</si>
  <si>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</si>
  <si>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</si>
  <si>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</si>
  <si>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</si>
  <si>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</si>
  <si>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</si>
  <si>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</si>
  <si>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</si>
  <si>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</si>
  <si>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</si>
  <si>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</si>
  <si>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</si>
  <si>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</si>
  <si>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</si>
  <si>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</si>
  <si>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</si>
  <si>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</si>
  <si>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</si>
  <si>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</si>
  <si>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</si>
  <si>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</si>
  <si>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</si>
  <si>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</si>
  <si>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</si>
  <si>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</si>
  <si>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</si>
  <si>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</si>
  <si>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</si>
  <si>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</si>
  <si>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</si>
  <si>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</si>
  <si>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</si>
  <si>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</si>
  <si>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</si>
  <si>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</si>
  <si>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</si>
  <si>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</si>
  <si>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</si>
  <si>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</si>
  <si>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</si>
  <si>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</si>
  <si>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</si>
  <si>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</si>
  <si>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</si>
  <si>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</si>
  <si>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</si>
  <si>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</si>
  <si>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</si>
  <si>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</si>
  <si>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</si>
  <si>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</si>
  <si>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</si>
  <si>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</si>
  <si>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</si>
  <si>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</si>
  <si>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</si>
  <si>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</si>
  <si>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</si>
  <si>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</si>
  <si>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</si>
  <si>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</si>
  <si>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</si>
  <si>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</si>
  <si>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</si>
  <si>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</si>
  <si>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</si>
  <si>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</si>
  <si>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</si>
  <si>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</si>
  <si>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</si>
  <si>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</si>
  <si>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</si>
  <si>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</si>
  <si>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</si>
  <si>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</si>
  <si>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</si>
  <si>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</si>
  <si>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</si>
  <si>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</si>
  <si>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</si>
  <si>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</si>
  <si>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</si>
  <si>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</si>
  <si>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</si>
  <si>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</si>
  <si>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</si>
  <si>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</si>
  <si>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</si>
  <si>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</si>
  <si>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</si>
  <si>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</si>
  <si>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</si>
  <si>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</si>
  <si>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</si>
  <si>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</si>
  <si>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</si>
  <si>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</si>
  <si>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</si>
  <si>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</si>
  <si>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</si>
  <si>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</si>
  <si>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</si>
  <si>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</si>
  <si>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</si>
  <si>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</si>
  <si>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</si>
  <si>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</si>
  <si>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</si>
  <si>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</si>
  <si>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</si>
  <si>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</si>
  <si>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</si>
  <si>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</si>
  <si>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</si>
  <si>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</si>
  <si>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</si>
  <si>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</si>
  <si>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</si>
  <si>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</si>
  <si>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</si>
  <si>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</si>
  <si>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</si>
  <si>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</si>
  <si>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</si>
  <si>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</si>
  <si>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</si>
  <si>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</si>
  <si>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</si>
  <si>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</si>
  <si>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</si>
  <si>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</si>
  <si>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</si>
  <si>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</si>
  <si>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</si>
  <si>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</si>
  <si>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</si>
  <si>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</si>
  <si>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</si>
  <si>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</si>
  <si>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</si>
  <si>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</si>
  <si>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</si>
  <si>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</si>
  <si>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</si>
  <si>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</si>
  <si>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</si>
  <si>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</si>
  <si>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</si>
  <si>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</si>
  <si>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</si>
  <si>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</si>
  <si>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</si>
  <si>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</si>
  <si>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</si>
  <si>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</si>
  <si>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</si>
  <si>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</si>
  <si>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</si>
  <si>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</si>
  <si>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</si>
  <si>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</si>
  <si>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</si>
  <si>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</si>
  <si>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</si>
  <si>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</si>
  <si>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</si>
  <si>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</si>
  <si>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</si>
  <si>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</si>
  <si>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</si>
  <si>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</si>
  <si>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</si>
  <si>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</si>
  <si>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</si>
  <si>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</si>
  <si>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</si>
  <si>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</si>
  <si>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</si>
  <si>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</si>
  <si>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</si>
  <si>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</si>
  <si>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</si>
  <si>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</si>
  <si>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</si>
  <si>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</si>
  <si>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</si>
  <si>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</si>
  <si>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</si>
  <si>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</si>
  <si>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</si>
  <si>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</si>
  <si>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</si>
  <si>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</si>
  <si>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</si>
  <si>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</si>
  <si>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</si>
  <si>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</si>
  <si>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</si>
  <si>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</si>
  <si>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</si>
  <si>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</si>
  <si>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</si>
  <si>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</si>
  <si>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</si>
  <si>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</si>
  <si>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</si>
  <si>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</si>
  <si>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</si>
  <si>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</si>
  <si>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</si>
  <si>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</si>
  <si>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</si>
  <si>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</si>
  <si>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</si>
  <si>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</si>
  <si>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</si>
  <si>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</si>
  <si>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</si>
  <si>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</si>
  <si>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</si>
  <si>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</si>
  <si>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</si>
  <si>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</si>
  <si>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</si>
  <si>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</si>
  <si>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</si>
  <si>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</si>
  <si>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</si>
  <si>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</si>
  <si>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</si>
  <si>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</si>
  <si>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</si>
  <si>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</si>
  <si>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</si>
  <si>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</si>
  <si>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</si>
  <si>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</si>
  <si>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</si>
  <si>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</si>
  <si>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</si>
  <si>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</si>
  <si>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</si>
  <si>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</si>
  <si>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</si>
  <si>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</si>
  <si>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</si>
  <si>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</si>
  <si>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</si>
  <si>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</si>
  <si>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</si>
  <si>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</si>
  <si>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</si>
  <si>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</si>
  <si>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</si>
  <si>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</si>
  <si>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</si>
  <si>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</si>
  <si>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</si>
  <si>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</si>
  <si>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</si>
  <si>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</si>
  <si>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</si>
  <si>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</si>
  <si>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</si>
  <si>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</si>
  <si>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</si>
  <si>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</si>
  <si>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</si>
  <si>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</si>
  <si>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</si>
  <si>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</si>
  <si>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</si>
  <si>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</si>
  <si>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</si>
  <si>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</si>
  <si>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</si>
  <si>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</si>
  <si>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</si>
  <si>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</si>
  <si>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</si>
  <si>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</si>
  <si>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</si>
  <si>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</si>
  <si>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</si>
  <si>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</si>
  <si>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</si>
  <si>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</si>
  <si>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</si>
  <si>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</si>
  <si>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</si>
  <si>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</si>
  <si>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</si>
  <si>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</si>
  <si>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</si>
  <si>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</si>
  <si>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</si>
  <si>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</si>
  <si>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</si>
  <si>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</si>
  <si>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</si>
  <si>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</si>
  <si>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</si>
  <si>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</si>
  <si>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</si>
  <si>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</si>
  <si>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</si>
  <si>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</si>
  <si>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</si>
  <si>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</si>
  <si>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</si>
  <si>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</si>
  <si>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</si>
  <si>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</si>
  <si>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</si>
  <si>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</si>
  <si>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</si>
  <si>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</si>
  <si>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</si>
  <si>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</si>
  <si>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</si>
  <si>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</si>
  <si>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</si>
  <si>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</si>
  <si>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</si>
  <si>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</si>
  <si>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</si>
  <si>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</si>
  <si>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</si>
  <si>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</si>
  <si>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</si>
  <si>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</si>
  <si>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</si>
  <si>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</si>
  <si>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</si>
  <si>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</si>
  <si>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</si>
  <si>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</si>
  <si>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</si>
  <si>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</si>
  <si>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</si>
  <si>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</si>
  <si>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</si>
  <si>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</si>
  <si>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</si>
  <si>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</si>
  <si>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</si>
  <si>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</si>
  <si>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</si>
  <si>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</si>
  <si>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</si>
  <si>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</si>
  <si>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</si>
  <si>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</si>
  <si>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</si>
  <si>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</si>
  <si>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</si>
  <si>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</si>
  <si>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</si>
  <si>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</si>
  <si>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</si>
  <si>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</si>
  <si>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</si>
  <si>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</si>
  <si>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</si>
  <si>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</si>
  <si>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</si>
  <si>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</si>
  <si>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</si>
  <si>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</si>
  <si>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</si>
  <si>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</si>
  <si>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</si>
  <si>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</si>
  <si>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</si>
  <si>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</si>
  <si>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</si>
  <si>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</si>
  <si>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</si>
  <si>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</si>
  <si>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</si>
  <si>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</si>
  <si>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</si>
  <si>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</si>
  <si>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</si>
  <si>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</si>
  <si>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</si>
  <si>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</si>
  <si>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</si>
  <si>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</si>
  <si>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</si>
  <si>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</si>
  <si>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</si>
  <si>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</si>
  <si>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</si>
  <si>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</si>
  <si>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</si>
  <si>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</si>
  <si>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</si>
  <si>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</si>
  <si>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</si>
  <si>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</si>
  <si>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</si>
  <si>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</si>
  <si>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</si>
  <si>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</si>
  <si>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</si>
  <si>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</si>
  <si>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</si>
  <si>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</si>
  <si>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</si>
  <si>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</si>
  <si>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</si>
  <si>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</si>
  <si>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</si>
  <si>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</si>
  <si>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</si>
  <si>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</si>
  <si>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</si>
  <si>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</si>
  <si>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</si>
  <si>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</si>
  <si>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</si>
  <si>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</si>
  <si>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</si>
  <si>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</si>
  <si>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</si>
  <si>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</si>
  <si>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</si>
  <si>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</si>
  <si>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</si>
  <si>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</si>
  <si>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</si>
  <si>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</si>
  <si>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</si>
  <si>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</si>
  <si>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</si>
  <si>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</si>
  <si>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</si>
  <si>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</si>
  <si>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</si>
  <si>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</si>
  <si>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</si>
  <si>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</si>
  <si>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</si>
  <si>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</si>
  <si>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</si>
  <si>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</si>
  <si>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</si>
  <si>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</si>
  <si>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</si>
  <si>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</si>
  <si>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</si>
  <si>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</si>
  <si>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</si>
  <si>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</si>
  <si>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</si>
  <si>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</si>
  <si>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</si>
  <si>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</si>
  <si>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</si>
  <si>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</si>
  <si>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</si>
  <si>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</si>
  <si>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</si>
  <si>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</si>
  <si>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</si>
  <si>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</si>
  <si>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</si>
  <si>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</si>
  <si>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</si>
  <si>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</si>
  <si>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</si>
  <si>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</si>
  <si>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</si>
  <si>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</si>
  <si>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</si>
  <si>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</si>
  <si>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</si>
  <si>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</si>
  <si>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</si>
  <si>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</si>
  <si>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</si>
  <si>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</si>
  <si>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</si>
  <si>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</si>
  <si>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</si>
  <si>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</si>
  <si>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</si>
  <si>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</si>
  <si>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</si>
  <si>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</si>
  <si>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</si>
  <si>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</si>
  <si>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</si>
  <si>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</si>
  <si>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</si>
  <si>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</si>
  <si>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</si>
  <si>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</si>
  <si>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</si>
  <si>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</si>
  <si>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</si>
  <si>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</si>
  <si>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</si>
  <si>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</si>
  <si>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</si>
  <si>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</si>
  <si>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</si>
  <si>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</si>
  <si>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</si>
  <si>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</si>
  <si>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</si>
  <si>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</si>
  <si>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</si>
  <si>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</si>
  <si>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</si>
  <si>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</si>
  <si>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</si>
  <si>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</si>
  <si>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</si>
  <si>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</si>
  <si>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</si>
  <si>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</si>
  <si>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</si>
  <si>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</si>
  <si>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</si>
  <si>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</si>
  <si>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</si>
  <si>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</si>
  <si>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</si>
  <si>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</si>
  <si>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</si>
  <si>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</si>
  <si>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</si>
  <si>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</si>
  <si>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</si>
  <si>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</si>
  <si>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</si>
  <si>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</si>
  <si>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</si>
  <si>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</si>
  <si>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</si>
  <si>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</si>
  <si>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</si>
  <si>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</si>
  <si>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</si>
  <si>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</si>
  <si>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</si>
  <si>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</si>
  <si>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</si>
  <si>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</si>
  <si>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</si>
  <si>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</si>
  <si>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</si>
  <si>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</si>
  <si>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</si>
  <si>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</si>
  <si>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</si>
  <si>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</si>
  <si>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</si>
  <si>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</si>
  <si>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</si>
  <si>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</si>
  <si>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</si>
  <si>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</si>
  <si>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</si>
  <si>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</si>
  <si>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</si>
  <si>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</si>
  <si>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自然人</t>
  </si>
  <si>
    <t>是</t>
  </si>
  <si>
    <t>地上</t>
  </si>
  <si>
    <t>商业</t>
    <phoneticPr fontId="7" type="noConversion"/>
  </si>
  <si>
    <t>成新度</t>
  </si>
  <si>
    <t>收益法 (元)</t>
  </si>
  <si>
    <t>正常</t>
  </si>
  <si>
    <t>单套模式</t>
  </si>
  <si>
    <t>售价</t>
  </si>
  <si>
    <t>商业</t>
    <phoneticPr fontId="30" type="noConversion"/>
  </si>
  <si>
    <t>报价</t>
  </si>
  <si>
    <t>报价</t>
    <phoneticPr fontId="30" type="noConversion"/>
  </si>
  <si>
    <t>临街</t>
  </si>
  <si>
    <t>临街</t>
    <phoneticPr fontId="30" type="noConversion"/>
  </si>
  <si>
    <t>不临街</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</si>
  <si>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</si>
  <si>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</si>
  <si>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</si>
  <si>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</si>
  <si>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</si>
  <si>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钢混</t>
  </si>
  <si>
    <t>钢混</t>
    <phoneticPr fontId="30" type="noConversion"/>
  </si>
  <si>
    <t>七通</t>
  </si>
  <si>
    <t>六通</t>
  </si>
  <si>
    <t>五通</t>
  </si>
  <si>
    <t>可餐饮</t>
    <phoneticPr fontId="30" type="noConversion"/>
  </si>
  <si>
    <t>不可餐饮</t>
    <phoneticPr fontId="30" type="noConversion"/>
  </si>
  <si>
    <t>精装</t>
    <phoneticPr fontId="30" type="noConversion"/>
  </si>
  <si>
    <t>简装</t>
  </si>
  <si>
    <t>简装</t>
    <phoneticPr fontId="30" type="noConversion"/>
  </si>
  <si>
    <t>毛坯</t>
    <phoneticPr fontId="30" type="noConversion"/>
  </si>
  <si>
    <t>较好</t>
  </si>
  <si>
    <t>押一</t>
  </si>
  <si>
    <t>非生产用房</t>
  </si>
  <si>
    <t>否</t>
  </si>
  <si>
    <t>1层</t>
  </si>
  <si>
    <t>一般</t>
  </si>
  <si>
    <t>不可餐饮</t>
  </si>
  <si>
    <r>
      <t>1-2</t>
    </r>
    <r>
      <rPr>
        <sz val="11"/>
        <color indexed="8"/>
        <rFont val="宋体"/>
        <family val="3"/>
        <charset val="134"/>
      </rPr>
      <t>层</t>
    </r>
    <phoneticPr fontId="30" type="noConversion"/>
  </si>
  <si>
    <r>
      <t>1</t>
    </r>
    <r>
      <rPr>
        <sz val="11"/>
        <color indexed="8"/>
        <rFont val="宋体"/>
        <family val="3"/>
        <charset val="134"/>
      </rPr>
      <t>层</t>
    </r>
    <phoneticPr fontId="30" type="noConversion"/>
  </si>
  <si>
    <t>比较法-商业</t>
  </si>
  <si>
    <t>楼面单价</t>
  </si>
  <si>
    <t>收益比率</t>
  </si>
  <si>
    <r>
      <t>1</t>
    </r>
    <r>
      <rPr>
        <sz val="11"/>
        <color indexed="53"/>
        <rFont val="宋体"/>
        <family val="3"/>
        <charset val="134"/>
      </rPr>
      <t>层</t>
    </r>
    <phoneticPr fontId="30" type="noConversion"/>
  </si>
  <si>
    <r>
      <t>2</t>
    </r>
    <r>
      <rPr>
        <sz val="11"/>
        <rFont val="宋体"/>
        <family val="3"/>
        <charset val="134"/>
      </rPr>
      <t>层</t>
    </r>
    <phoneticPr fontId="30" type="noConversion"/>
  </si>
  <si>
    <r>
      <t>3</t>
    </r>
    <r>
      <rPr>
        <sz val="11"/>
        <color indexed="53"/>
        <rFont val="宋体"/>
        <family val="3"/>
        <charset val="134"/>
      </rPr>
      <t>层</t>
    </r>
    <phoneticPr fontId="30" type="noConversion"/>
  </si>
  <si>
    <r>
      <t>1-3</t>
    </r>
    <r>
      <rPr>
        <sz val="11"/>
        <rFont val="宋体"/>
        <family val="3"/>
        <charset val="134"/>
      </rPr>
      <t>层</t>
    </r>
    <phoneticPr fontId="30" type="noConversion"/>
  </si>
  <si>
    <r>
      <t>1-2</t>
    </r>
    <r>
      <rPr>
        <sz val="11"/>
        <color indexed="53"/>
        <rFont val="宋体"/>
        <family val="3"/>
        <charset val="134"/>
      </rPr>
      <t>层</t>
    </r>
    <phoneticPr fontId="30" type="noConversion"/>
  </si>
  <si>
    <t>配套商业</t>
  </si>
  <si>
    <t>配套商业</t>
    <phoneticPr fontId="30" type="noConversion"/>
  </si>
  <si>
    <t>1-2层</t>
  </si>
  <si>
    <t>毛坯</t>
  </si>
  <si>
    <t>可餐饮</t>
  </si>
  <si>
    <t>长安新城</t>
    <phoneticPr fontId="30" type="noConversion"/>
  </si>
  <si>
    <t>贷款额度</t>
    <phoneticPr fontId="8" type="noConversion"/>
  </si>
  <si>
    <t>万元</t>
    <phoneticPr fontId="8" type="noConversion"/>
  </si>
  <si>
    <t>抵押率</t>
    <phoneticPr fontId="8" type="noConversion"/>
  </si>
  <si>
    <t>需求估值</t>
    <phoneticPr fontId="8" type="noConversion"/>
  </si>
  <si>
    <r>
      <rPr>
        <sz val="11"/>
        <color indexed="53"/>
        <rFont val="宋体"/>
        <family val="3"/>
        <charset val="134"/>
      </rPr>
      <t>估价对象</t>
    </r>
    <r>
      <rPr>
        <sz val="11"/>
        <color indexed="53"/>
        <rFont val="Arial"/>
        <family val="2"/>
      </rPr>
      <t>2</t>
    </r>
    <r>
      <rPr>
        <sz val="11"/>
        <color indexed="53"/>
        <rFont val="宋体"/>
        <family val="3"/>
        <charset val="134"/>
      </rPr>
      <t>层面积大</t>
    </r>
    <phoneticPr fontId="30" type="noConversion"/>
  </si>
  <si>
    <t>长安新城</t>
    <phoneticPr fontId="30" type="noConversion"/>
  </si>
  <si>
    <t>橡树澜湾</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</si>
</sst>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2"/>
      <color theme="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71" fillId="0" borderId="0">
      <alignment vertical="center"/>
    </xf>
    <xf numFmtId="0" fontId="271" fillId="0" borderId="0">
      <alignment vertical="center"/>
    </xf>
    <xf numFmtId="0" fontId="271" fillId="0" borderId="0">
      <alignment vertical="center"/>
    </xf>
    <xf numFmtId="0" fontId="271" fillId="0" borderId="0">
      <alignment vertical="center"/>
    </xf>
    <xf numFmtId="0" fontId="95" fillId="0" borderId="0"/>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3" fillId="12" borderId="0" xfId="0" applyFont="1" applyFill="1" applyAlignment="1" applyProtection="1">
      <alignment horizontal="center" vertical="center"/>
      <protection locked="0"/>
    </xf>
    <xf numFmtId="176" fontId="47" fillId="12" borderId="0" xfId="0" applyNumberFormat="1" applyFont="1" applyFill="1" applyAlignment="1" applyProtection="1">
      <alignment vertical="center"/>
      <protection locked="0"/>
    </xf>
    <xf numFmtId="0" fontId="77" fillId="6" borderId="0" xfId="0" applyFont="1" applyFill="1" applyProtection="1">
      <alignment vertical="center"/>
      <protection locked="0"/>
    </xf>
    <xf numFmtId="9" fontId="47" fillId="6" borderId="0" xfId="0" applyNumberFormat="1" applyFont="1" applyFill="1" applyProtection="1">
      <alignment vertical="center"/>
      <protection locked="0"/>
    </xf>
    <xf numFmtId="197" fontId="47" fillId="6" borderId="0" xfId="0" applyNumberFormat="1" applyFont="1" applyFill="1" applyProtection="1">
      <alignment vertical="center"/>
      <protection locked="0"/>
    </xf>
    <xf numFmtId="1" fontId="47" fillId="6" borderId="0" xfId="0" applyNumberFormat="1"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179" fontId="44" fillId="16" borderId="23" xfId="0" applyNumberFormat="1" applyFont="1" applyFill="1" applyBorder="1" applyAlignment="1" applyProtection="1">
      <alignment horizontal="center" vertical="center"/>
      <protection locked="0"/>
    </xf>
  </cellXfs>
  <cellStyles count="25">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2 2" xfId="22"/>
    <cellStyle name="常规 6 2 3" xfId="13"/>
    <cellStyle name="常规 6 2 3 2" xfId="21"/>
    <cellStyle name="常规 6 2 4" xfId="20"/>
    <cellStyle name="常规 7" xfId="7"/>
    <cellStyle name="常规 8" xfId="11"/>
    <cellStyle name="常规 8 2" xfId="23"/>
    <cellStyle name="常规 9" xfId="12"/>
    <cellStyle name="常规 9 2" xfId="24"/>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83</xdr:row>
      <xdr:rowOff>0</xdr:rowOff>
    </xdr:from>
    <xdr:to>
      <xdr:col>14</xdr:col>
      <xdr:colOff>313086</xdr:colOff>
      <xdr:row>91</xdr:row>
      <xdr:rowOff>171257</xdr:rowOff>
    </xdr:to>
    <xdr:pic>
      <xdr:nvPicPr>
        <xdr:cNvPr id="7" name="图片 6"/>
        <xdr:cNvPicPr>
          <a:picLocks noChangeAspect="1"/>
        </xdr:cNvPicPr>
      </xdr:nvPicPr>
      <xdr:blipFill>
        <a:blip xmlns:r="http://schemas.openxmlformats.org/officeDocument/2006/relationships" r:embed="rId1"/>
        <a:stretch>
          <a:fillRect/>
        </a:stretch>
      </xdr:blipFill>
      <xdr:spPr>
        <a:xfrm>
          <a:off x="0" y="14230350"/>
          <a:ext cx="9914286" cy="1542857"/>
        </a:xfrm>
        <a:prstGeom prst="rect">
          <a:avLst/>
        </a:prstGeom>
      </xdr:spPr>
    </xdr:pic>
    <xdr:clientData/>
  </xdr:twoCellAnchor>
  <xdr:twoCellAnchor editAs="oneCell">
    <xdr:from>
      <xdr:col>0</xdr:col>
      <xdr:colOff>0</xdr:colOff>
      <xdr:row>91</xdr:row>
      <xdr:rowOff>133350</xdr:rowOff>
    </xdr:from>
    <xdr:to>
      <xdr:col>13</xdr:col>
      <xdr:colOff>646505</xdr:colOff>
      <xdr:row>101</xdr:row>
      <xdr:rowOff>75993</xdr:rowOff>
    </xdr:to>
    <xdr:pic>
      <xdr:nvPicPr>
        <xdr:cNvPr id="8" name="图片 7"/>
        <xdr:cNvPicPr>
          <a:picLocks noChangeAspect="1"/>
        </xdr:cNvPicPr>
      </xdr:nvPicPr>
      <xdr:blipFill>
        <a:blip xmlns:r="http://schemas.openxmlformats.org/officeDocument/2006/relationships" r:embed="rId2"/>
        <a:stretch>
          <a:fillRect/>
        </a:stretch>
      </xdr:blipFill>
      <xdr:spPr>
        <a:xfrm>
          <a:off x="0" y="15735300"/>
          <a:ext cx="9561905" cy="1657143"/>
        </a:xfrm>
        <a:prstGeom prst="rect">
          <a:avLst/>
        </a:prstGeom>
      </xdr:spPr>
    </xdr:pic>
    <xdr:clientData/>
  </xdr:twoCellAnchor>
  <xdr:twoCellAnchor editAs="oneCell">
    <xdr:from>
      <xdr:col>0</xdr:col>
      <xdr:colOff>0</xdr:colOff>
      <xdr:row>0</xdr:row>
      <xdr:rowOff>0</xdr:rowOff>
    </xdr:from>
    <xdr:to>
      <xdr:col>5</xdr:col>
      <xdr:colOff>142429</xdr:colOff>
      <xdr:row>6</xdr:row>
      <xdr:rowOff>85586</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0"/>
          <a:ext cx="3571429" cy="1114286"/>
        </a:xfrm>
        <a:prstGeom prst="rect">
          <a:avLst/>
        </a:prstGeom>
      </xdr:spPr>
    </xdr:pic>
    <xdr:clientData/>
  </xdr:twoCellAnchor>
  <xdr:twoCellAnchor editAs="oneCell">
    <xdr:from>
      <xdr:col>0</xdr:col>
      <xdr:colOff>0</xdr:colOff>
      <xdr:row>7</xdr:row>
      <xdr:rowOff>0</xdr:rowOff>
    </xdr:from>
    <xdr:to>
      <xdr:col>5</xdr:col>
      <xdr:colOff>304333</xdr:colOff>
      <xdr:row>14</xdr:row>
      <xdr:rowOff>18898</xdr:rowOff>
    </xdr:to>
    <xdr:pic>
      <xdr:nvPicPr>
        <xdr:cNvPr id="11" name="图片 10"/>
        <xdr:cNvPicPr>
          <a:picLocks noChangeAspect="1"/>
        </xdr:cNvPicPr>
      </xdr:nvPicPr>
      <xdr:blipFill>
        <a:blip xmlns:r="http://schemas.openxmlformats.org/officeDocument/2006/relationships" r:embed="rId4"/>
        <a:stretch>
          <a:fillRect/>
        </a:stretch>
      </xdr:blipFill>
      <xdr:spPr>
        <a:xfrm>
          <a:off x="0" y="1200150"/>
          <a:ext cx="3733333" cy="1219048"/>
        </a:xfrm>
        <a:prstGeom prst="rect">
          <a:avLst/>
        </a:prstGeom>
      </xdr:spPr>
    </xdr:pic>
    <xdr:clientData/>
  </xdr:twoCellAnchor>
  <xdr:twoCellAnchor editAs="oneCell">
    <xdr:from>
      <xdr:col>0</xdr:col>
      <xdr:colOff>0</xdr:colOff>
      <xdr:row>15</xdr:row>
      <xdr:rowOff>0</xdr:rowOff>
    </xdr:from>
    <xdr:to>
      <xdr:col>5</xdr:col>
      <xdr:colOff>428143</xdr:colOff>
      <xdr:row>49</xdr:row>
      <xdr:rowOff>8795</xdr:rowOff>
    </xdr:to>
    <xdr:pic>
      <xdr:nvPicPr>
        <xdr:cNvPr id="12" name="图片 11"/>
        <xdr:cNvPicPr>
          <a:picLocks noChangeAspect="1"/>
        </xdr:cNvPicPr>
      </xdr:nvPicPr>
      <xdr:blipFill>
        <a:blip xmlns:r="http://schemas.openxmlformats.org/officeDocument/2006/relationships" r:embed="rId5"/>
        <a:stretch>
          <a:fillRect/>
        </a:stretch>
      </xdr:blipFill>
      <xdr:spPr>
        <a:xfrm>
          <a:off x="0" y="2571750"/>
          <a:ext cx="3857143" cy="5838095"/>
        </a:xfrm>
        <a:prstGeom prst="rect">
          <a:avLst/>
        </a:prstGeom>
      </xdr:spPr>
    </xdr:pic>
    <xdr:clientData/>
  </xdr:twoCellAnchor>
  <xdr:twoCellAnchor editAs="oneCell">
    <xdr:from>
      <xdr:col>0</xdr:col>
      <xdr:colOff>0</xdr:colOff>
      <xdr:row>49</xdr:row>
      <xdr:rowOff>0</xdr:rowOff>
    </xdr:from>
    <xdr:to>
      <xdr:col>5</xdr:col>
      <xdr:colOff>332905</xdr:colOff>
      <xdr:row>55</xdr:row>
      <xdr:rowOff>18919</xdr:rowOff>
    </xdr:to>
    <xdr:pic>
      <xdr:nvPicPr>
        <xdr:cNvPr id="13" name="图片 12"/>
        <xdr:cNvPicPr>
          <a:picLocks noChangeAspect="1"/>
        </xdr:cNvPicPr>
      </xdr:nvPicPr>
      <xdr:blipFill>
        <a:blip xmlns:r="http://schemas.openxmlformats.org/officeDocument/2006/relationships" r:embed="rId6"/>
        <a:stretch>
          <a:fillRect/>
        </a:stretch>
      </xdr:blipFill>
      <xdr:spPr>
        <a:xfrm>
          <a:off x="0" y="8401050"/>
          <a:ext cx="3761905" cy="1047619"/>
        </a:xfrm>
        <a:prstGeom prst="rect">
          <a:avLst/>
        </a:prstGeom>
      </xdr:spPr>
    </xdr:pic>
    <xdr:clientData/>
  </xdr:twoCellAnchor>
  <xdr:twoCellAnchor editAs="oneCell">
    <xdr:from>
      <xdr:col>5</xdr:col>
      <xdr:colOff>0</xdr:colOff>
      <xdr:row>0</xdr:row>
      <xdr:rowOff>0</xdr:rowOff>
    </xdr:from>
    <xdr:to>
      <xdr:col>10</xdr:col>
      <xdr:colOff>456714</xdr:colOff>
      <xdr:row>6</xdr:row>
      <xdr:rowOff>66538</xdr:rowOff>
    </xdr:to>
    <xdr:pic>
      <xdr:nvPicPr>
        <xdr:cNvPr id="14" name="图片 13"/>
        <xdr:cNvPicPr>
          <a:picLocks noChangeAspect="1"/>
        </xdr:cNvPicPr>
      </xdr:nvPicPr>
      <xdr:blipFill>
        <a:blip xmlns:r="http://schemas.openxmlformats.org/officeDocument/2006/relationships" r:embed="rId7"/>
        <a:stretch>
          <a:fillRect/>
        </a:stretch>
      </xdr:blipFill>
      <xdr:spPr>
        <a:xfrm>
          <a:off x="3429000" y="0"/>
          <a:ext cx="3885714" cy="1095238"/>
        </a:xfrm>
        <a:prstGeom prst="rect">
          <a:avLst/>
        </a:prstGeom>
      </xdr:spPr>
    </xdr:pic>
    <xdr:clientData/>
  </xdr:twoCellAnchor>
  <xdr:twoCellAnchor editAs="oneCell">
    <xdr:from>
      <xdr:col>5</xdr:col>
      <xdr:colOff>0</xdr:colOff>
      <xdr:row>7</xdr:row>
      <xdr:rowOff>0</xdr:rowOff>
    </xdr:from>
    <xdr:to>
      <xdr:col>10</xdr:col>
      <xdr:colOff>551952</xdr:colOff>
      <xdr:row>14</xdr:row>
      <xdr:rowOff>47469</xdr:rowOff>
    </xdr:to>
    <xdr:pic>
      <xdr:nvPicPr>
        <xdr:cNvPr id="15" name="图片 14"/>
        <xdr:cNvPicPr>
          <a:picLocks noChangeAspect="1"/>
        </xdr:cNvPicPr>
      </xdr:nvPicPr>
      <xdr:blipFill>
        <a:blip xmlns:r="http://schemas.openxmlformats.org/officeDocument/2006/relationships" r:embed="rId8"/>
        <a:stretch>
          <a:fillRect/>
        </a:stretch>
      </xdr:blipFill>
      <xdr:spPr>
        <a:xfrm>
          <a:off x="3429000" y="1200150"/>
          <a:ext cx="3980952" cy="1247619"/>
        </a:xfrm>
        <a:prstGeom prst="rect">
          <a:avLst/>
        </a:prstGeom>
      </xdr:spPr>
    </xdr:pic>
    <xdr:clientData/>
  </xdr:twoCellAnchor>
  <xdr:twoCellAnchor editAs="oneCell">
    <xdr:from>
      <xdr:col>6</xdr:col>
      <xdr:colOff>0</xdr:colOff>
      <xdr:row>15</xdr:row>
      <xdr:rowOff>0</xdr:rowOff>
    </xdr:from>
    <xdr:to>
      <xdr:col>11</xdr:col>
      <xdr:colOff>304333</xdr:colOff>
      <xdr:row>27</xdr:row>
      <xdr:rowOff>171171</xdr:rowOff>
    </xdr:to>
    <xdr:pic>
      <xdr:nvPicPr>
        <xdr:cNvPr id="16" name="图片 15"/>
        <xdr:cNvPicPr>
          <a:picLocks noChangeAspect="1"/>
        </xdr:cNvPicPr>
      </xdr:nvPicPr>
      <xdr:blipFill>
        <a:blip xmlns:r="http://schemas.openxmlformats.org/officeDocument/2006/relationships" r:embed="rId9"/>
        <a:stretch>
          <a:fillRect/>
        </a:stretch>
      </xdr:blipFill>
      <xdr:spPr>
        <a:xfrm>
          <a:off x="4114800" y="2571750"/>
          <a:ext cx="3733333" cy="2228571"/>
        </a:xfrm>
        <a:prstGeom prst="rect">
          <a:avLst/>
        </a:prstGeom>
      </xdr:spPr>
    </xdr:pic>
    <xdr:clientData/>
  </xdr:twoCellAnchor>
  <xdr:twoCellAnchor editAs="oneCell">
    <xdr:from>
      <xdr:col>6</xdr:col>
      <xdr:colOff>0</xdr:colOff>
      <xdr:row>29</xdr:row>
      <xdr:rowOff>0</xdr:rowOff>
    </xdr:from>
    <xdr:to>
      <xdr:col>11</xdr:col>
      <xdr:colOff>599571</xdr:colOff>
      <xdr:row>42</xdr:row>
      <xdr:rowOff>47340</xdr:rowOff>
    </xdr:to>
    <xdr:pic>
      <xdr:nvPicPr>
        <xdr:cNvPr id="17" name="图片 16"/>
        <xdr:cNvPicPr>
          <a:picLocks noChangeAspect="1"/>
        </xdr:cNvPicPr>
      </xdr:nvPicPr>
      <xdr:blipFill>
        <a:blip xmlns:r="http://schemas.openxmlformats.org/officeDocument/2006/relationships" r:embed="rId10"/>
        <a:stretch>
          <a:fillRect/>
        </a:stretch>
      </xdr:blipFill>
      <xdr:spPr>
        <a:xfrm>
          <a:off x="4114800" y="4972050"/>
          <a:ext cx="4028571" cy="2276190"/>
        </a:xfrm>
        <a:prstGeom prst="rect">
          <a:avLst/>
        </a:prstGeom>
      </xdr:spPr>
    </xdr:pic>
    <xdr:clientData/>
  </xdr:twoCellAnchor>
  <xdr:twoCellAnchor editAs="oneCell">
    <xdr:from>
      <xdr:col>11</xdr:col>
      <xdr:colOff>0</xdr:colOff>
      <xdr:row>1</xdr:row>
      <xdr:rowOff>0</xdr:rowOff>
    </xdr:from>
    <xdr:to>
      <xdr:col>16</xdr:col>
      <xdr:colOff>294809</xdr:colOff>
      <xdr:row>8</xdr:row>
      <xdr:rowOff>18898</xdr:rowOff>
    </xdr:to>
    <xdr:pic>
      <xdr:nvPicPr>
        <xdr:cNvPr id="18" name="图片 17"/>
        <xdr:cNvPicPr>
          <a:picLocks noChangeAspect="1"/>
        </xdr:cNvPicPr>
      </xdr:nvPicPr>
      <xdr:blipFill>
        <a:blip xmlns:r="http://schemas.openxmlformats.org/officeDocument/2006/relationships" r:embed="rId11"/>
        <a:stretch>
          <a:fillRect/>
        </a:stretch>
      </xdr:blipFill>
      <xdr:spPr>
        <a:xfrm>
          <a:off x="7543800" y="171450"/>
          <a:ext cx="3723809" cy="1219048"/>
        </a:xfrm>
        <a:prstGeom prst="rect">
          <a:avLst/>
        </a:prstGeom>
      </xdr:spPr>
    </xdr:pic>
    <xdr:clientData/>
  </xdr:twoCellAnchor>
  <xdr:twoCellAnchor editAs="oneCell">
    <xdr:from>
      <xdr:col>11</xdr:col>
      <xdr:colOff>0</xdr:colOff>
      <xdr:row>9</xdr:row>
      <xdr:rowOff>0</xdr:rowOff>
    </xdr:from>
    <xdr:to>
      <xdr:col>16</xdr:col>
      <xdr:colOff>542429</xdr:colOff>
      <xdr:row>22</xdr:row>
      <xdr:rowOff>142579</xdr:rowOff>
    </xdr:to>
    <xdr:pic>
      <xdr:nvPicPr>
        <xdr:cNvPr id="19" name="图片 18"/>
        <xdr:cNvPicPr>
          <a:picLocks noChangeAspect="1"/>
        </xdr:cNvPicPr>
      </xdr:nvPicPr>
      <xdr:blipFill>
        <a:blip xmlns:r="http://schemas.openxmlformats.org/officeDocument/2006/relationships" r:embed="rId12"/>
        <a:stretch>
          <a:fillRect/>
        </a:stretch>
      </xdr:blipFill>
      <xdr:spPr>
        <a:xfrm>
          <a:off x="7543800" y="1543050"/>
          <a:ext cx="3971429" cy="2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估价对象为北京市房地产，为所有。根据《国有土地使用证》[]，估价对象（分摊）出让国有建设用地使用权面积为0平方米，建筑面积为617平方米。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估价对象为北京市房地产,属开发建设的，该项目尚在开发建设中。根据《国有土地使用证》[]，估价对象（分摊）出让国有建设用地使用权面积为0平方米，规划建筑面积为617平方米。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2025年4月18日（评估专业人员实地查勘之日）</v>
      </c>
    </row>
    <row r="13" spans="1:2" s="1202" customFormat="1">
      <c r="A13" s="1200" t="s">
        <v>529</v>
      </c>
      <c r="B13" s="1201" t="str">
        <f>'预评函-1'!A18</f>
        <v>本次估价的“房地产价值”是指在正常市场情况下，在价值时点2025年4月18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1069</v>
      </c>
    </row>
    <row r="21" spans="1:2" s="1202" customFormat="1">
      <c r="A21" s="1200" t="s">
        <v>537</v>
      </c>
      <c r="B21" s="1201">
        <f ca="1">'预评函-2'!D7</f>
        <v>17318</v>
      </c>
    </row>
    <row r="22" spans="1:2" s="1202" customFormat="1">
      <c r="A22" s="1200" t="s">
        <v>538</v>
      </c>
      <c r="B22" s="1201" t="str">
        <f ca="1">'预评函-2'!D6</f>
        <v>壹仟零陆拾玖万元整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1069</v>
      </c>
    </row>
    <row r="31" spans="1:2" s="1202" customFormat="1">
      <c r="A31" s="1200" t="s">
        <v>576</v>
      </c>
      <c r="B31" s="1201">
        <f ca="1">'预评函-2'!D15</f>
        <v>17318</v>
      </c>
    </row>
    <row r="32" spans="1:2" s="1202" customFormat="1">
      <c r="A32" s="1200" t="s">
        <v>543</v>
      </c>
      <c r="B32" s="1201" t="str">
        <f ca="1">'预评函-2'!D14</f>
        <v>壹仟零陆拾玖万元整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617</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773</v>
      </c>
    </row>
    <row r="48" spans="1:2" s="1202" customFormat="1">
      <c r="A48" s="1200" t="s">
        <v>549</v>
      </c>
      <c r="B48" s="1201">
        <f ca="1">'预评函-3'!E4</f>
        <v>12521</v>
      </c>
    </row>
    <row r="49" spans="1:2" s="1202" customFormat="1">
      <c r="A49" s="1200" t="s">
        <v>550</v>
      </c>
      <c r="B49" s="1201" t="str">
        <f ca="1">'预评函-3'!D5</f>
        <v>柒佰柒拾叁万元整</v>
      </c>
    </row>
    <row r="50" spans="1:2" s="1202" customFormat="1">
      <c r="A50" s="1200" t="s">
        <v>574</v>
      </c>
      <c r="B50" s="1201" t="str">
        <f>'预评函-3'!F2</f>
        <v>在建建筑物价值</v>
      </c>
    </row>
    <row r="51" spans="1:2" s="1202" customFormat="1">
      <c r="A51" s="1200" t="s">
        <v>551</v>
      </c>
      <c r="B51" s="1201">
        <f ca="1">'预评函-3'!F4</f>
        <v>296</v>
      </c>
    </row>
    <row r="52" spans="1:2" s="1202" customFormat="1">
      <c r="A52" s="1200" t="s">
        <v>552</v>
      </c>
      <c r="B52" s="1201">
        <f ca="1">'预评函-3'!G4</f>
        <v>4797</v>
      </c>
    </row>
    <row r="53" spans="1:2" s="1202" customFormat="1">
      <c r="A53" s="1200" t="s">
        <v>580</v>
      </c>
      <c r="B53" s="1201" t="str">
        <f ca="1">'预评函-3'!F5</f>
        <v>贰佰玖拾陆万元整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3338</v>
      </c>
    </row>
    <row r="8" spans="1:23">
      <c r="A8" s="1545" t="s">
        <v>1026</v>
      </c>
      <c r="B8" s="1545" t="s">
        <v>1027</v>
      </c>
      <c r="C8" s="1546" t="s">
        <v>319</v>
      </c>
      <c r="F8" s="1547" t="s">
        <v>1028</v>
      </c>
      <c r="H8" s="1547" t="s">
        <v>2573</v>
      </c>
      <c r="I8" s="1547" t="s">
        <v>3339</v>
      </c>
    </row>
    <row r="9" spans="1:23">
      <c r="A9" s="1545" t="s">
        <v>1029</v>
      </c>
      <c r="B9" s="1545" t="s">
        <v>1030</v>
      </c>
      <c r="C9" s="1546" t="s">
        <v>320</v>
      </c>
      <c r="F9" s="1547" t="s">
        <v>1031</v>
      </c>
      <c r="H9" s="1547"/>
      <c r="I9" s="1550" t="s">
        <v>3340</v>
      </c>
    </row>
    <row r="10" spans="1:23">
      <c r="A10" s="1545" t="s">
        <v>1032</v>
      </c>
      <c r="B10" s="1545" t="s">
        <v>1033</v>
      </c>
      <c r="C10" s="1546" t="s">
        <v>321</v>
      </c>
      <c r="F10" s="1547" t="s">
        <v>2574</v>
      </c>
      <c r="I10" s="1550" t="s">
        <v>3341</v>
      </c>
    </row>
    <row r="11" spans="1:23">
      <c r="A11" s="1545" t="s">
        <v>1034</v>
      </c>
      <c r="B11" s="1545" t="s">
        <v>1035</v>
      </c>
      <c r="C11" s="1546" t="s">
        <v>322</v>
      </c>
      <c r="F11" s="1547" t="s">
        <v>13</v>
      </c>
      <c r="I11" s="1550" t="s">
        <v>3342</v>
      </c>
    </row>
    <row r="12" spans="1:23">
      <c r="A12" s="1545" t="s">
        <v>1036</v>
      </c>
      <c r="B12" s="1545" t="s">
        <v>1037</v>
      </c>
      <c r="C12" s="1546" t="s">
        <v>323</v>
      </c>
      <c r="I12" s="1550" t="s">
        <v>3343</v>
      </c>
    </row>
    <row r="13" spans="1:23">
      <c r="A13" s="1545" t="s">
        <v>1038</v>
      </c>
      <c r="B13" s="1545" t="s">
        <v>1039</v>
      </c>
      <c r="C13" s="1546" t="s">
        <v>324</v>
      </c>
      <c r="I13" s="1550" t="s">
        <v>3344</v>
      </c>
    </row>
    <row r="14" spans="1:23">
      <c r="A14" s="1545" t="s">
        <v>1040</v>
      </c>
      <c r="B14" s="1545" t="s">
        <v>1041</v>
      </c>
      <c r="C14" s="1547" t="s">
        <v>13</v>
      </c>
      <c r="I14" s="1550" t="s">
        <v>3345</v>
      </c>
    </row>
    <row r="15" spans="1:23">
      <c r="A15" s="1545" t="s">
        <v>1042</v>
      </c>
      <c r="B15" s="1545" t="s">
        <v>1043</v>
      </c>
      <c r="C15" s="1546"/>
      <c r="I15" s="1550" t="s">
        <v>3346</v>
      </c>
    </row>
    <row r="16" spans="1:23">
      <c r="A16" s="1545" t="s">
        <v>1044</v>
      </c>
      <c r="B16" s="1545" t="s">
        <v>312</v>
      </c>
      <c r="C16" s="1546"/>
    </row>
    <row r="17" spans="1:3">
      <c r="A17" s="1545" t="s">
        <v>1045</v>
      </c>
      <c r="B17" s="1545" t="s">
        <v>2289</v>
      </c>
      <c r="C17" s="1546"/>
    </row>
    <row r="18" spans="1:3">
      <c r="A18" s="1545" t="s">
        <v>1046</v>
      </c>
      <c r="B18" s="1545" t="s">
        <v>2429</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1553" t="s">
        <v>385</v>
      </c>
      <c r="C54" s="1550" t="s">
        <v>583</v>
      </c>
    </row>
    <row r="55" spans="1:4">
      <c r="A55" s="3516"/>
      <c r="B55" s="1553" t="s">
        <v>386</v>
      </c>
      <c r="C55" s="1550" t="s">
        <v>584</v>
      </c>
    </row>
    <row r="56" spans="1:4">
      <c r="A56" s="3516"/>
      <c r="B56" s="1553" t="s">
        <v>387</v>
      </c>
      <c r="C56" s="1550" t="s">
        <v>588</v>
      </c>
    </row>
    <row r="57" spans="1:4">
      <c r="A57" s="351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2496</v>
      </c>
      <c r="B1" s="3013"/>
      <c r="C1" s="3013"/>
      <c r="D1" s="3013"/>
      <c r="E1" s="3013"/>
      <c r="F1" s="3014"/>
      <c r="I1" s="3436" t="s">
        <v>2589</v>
      </c>
      <c r="J1" s="3225"/>
      <c r="K1" s="3225"/>
      <c r="L1" s="3225"/>
      <c r="M1" s="3225"/>
      <c r="N1" s="3437"/>
      <c r="O1" s="3437"/>
      <c r="P1" s="3437"/>
      <c r="Q1" s="3437"/>
      <c r="R1" s="3437"/>
    </row>
    <row r="2" spans="1:18">
      <c r="A2" s="3016"/>
      <c r="B2" s="3017"/>
      <c r="C2" s="3017"/>
      <c r="D2" s="3017"/>
      <c r="E2" s="3017"/>
      <c r="F2" s="3018"/>
      <c r="I2" s="3517" t="s">
        <v>2576</v>
      </c>
      <c r="J2" s="3517"/>
      <c r="K2" s="3517"/>
      <c r="L2" s="3517"/>
      <c r="M2" s="3517"/>
      <c r="N2" s="3517"/>
      <c r="O2" s="3517"/>
      <c r="P2" s="3517"/>
      <c r="Q2" s="3517"/>
      <c r="R2" s="3517"/>
    </row>
    <row r="3" spans="1:18">
      <c r="A3" s="3019" t="s">
        <v>2497</v>
      </c>
      <c r="B3" s="3020">
        <f>项目基本情况!D3</f>
        <v>45765</v>
      </c>
      <c r="C3" s="3022"/>
      <c r="D3" s="3022"/>
      <c r="E3" s="3022"/>
      <c r="F3" s="3018"/>
      <c r="I3" s="3438"/>
      <c r="J3" s="3438" t="s">
        <v>2580</v>
      </c>
      <c r="K3" s="3438" t="s">
        <v>2581</v>
      </c>
      <c r="L3" s="3438" t="s">
        <v>2582</v>
      </c>
      <c r="M3" s="3438" t="s">
        <v>2583</v>
      </c>
      <c r="N3" s="3439" t="s">
        <v>2584</v>
      </c>
      <c r="O3" s="3439" t="s">
        <v>2585</v>
      </c>
      <c r="P3" s="3439" t="s">
        <v>2586</v>
      </c>
      <c r="Q3" s="3439" t="s">
        <v>2587</v>
      </c>
      <c r="R3" s="3439" t="s">
        <v>2588</v>
      </c>
    </row>
    <row r="4" spans="1:18">
      <c r="A4" s="3019" t="s">
        <v>2498</v>
      </c>
      <c r="B4" s="3022" t="s">
        <v>2499</v>
      </c>
      <c r="C4" s="3022" t="s">
        <v>2500</v>
      </c>
      <c r="D4" s="3022" t="s">
        <v>2501</v>
      </c>
      <c r="E4" s="3022" t="s">
        <v>2502</v>
      </c>
      <c r="F4" s="3018"/>
      <c r="I4" s="3438" t="s">
        <v>2577</v>
      </c>
      <c r="J4" s="3438">
        <v>80</v>
      </c>
      <c r="K4" s="3438">
        <v>70</v>
      </c>
      <c r="L4" s="3438">
        <v>20</v>
      </c>
      <c r="M4" s="3438">
        <v>30</v>
      </c>
      <c r="N4" s="3022">
        <v>45</v>
      </c>
      <c r="O4" s="3022">
        <v>60</v>
      </c>
      <c r="P4" s="3022">
        <v>50</v>
      </c>
      <c r="Q4" s="3022">
        <v>20</v>
      </c>
      <c r="R4" s="3022">
        <v>375</v>
      </c>
    </row>
    <row r="5" spans="1:18">
      <c r="A5" s="3023">
        <v>40</v>
      </c>
      <c r="B5" s="3020">
        <v>46375</v>
      </c>
      <c r="C5" s="3022">
        <f>ROUNDDOWN(MIN((B5-B3)/365,A5),2)</f>
        <v>1.67</v>
      </c>
      <c r="D5" s="3024">
        <f>IF(ISERROR(ROUND(POWER(1+E5,A5-C5)*(POWER(1+E5,C5)-1)/(POWER(1+E5,A5)-1),3)),0,ROUND(POWER(1+E5,A5-C5)*(POWER(1+E5,C5)-1)/(POWER(1+E5,A5)-1),4))</f>
        <v>8.0100000000000005E-2</v>
      </c>
      <c r="E5" s="3025">
        <v>0.04</v>
      </c>
      <c r="F5" s="3018"/>
      <c r="I5" s="3438" t="s">
        <v>2578</v>
      </c>
      <c r="J5" s="3438">
        <v>70</v>
      </c>
      <c r="K5" s="3438">
        <v>60</v>
      </c>
      <c r="L5" s="3438">
        <v>15</v>
      </c>
      <c r="M5" s="3438">
        <v>25</v>
      </c>
      <c r="N5" s="3022">
        <v>40</v>
      </c>
      <c r="O5" s="3022">
        <v>50</v>
      </c>
      <c r="P5" s="3022">
        <v>40</v>
      </c>
      <c r="Q5" s="3022">
        <v>15</v>
      </c>
      <c r="R5" s="3022">
        <v>315</v>
      </c>
    </row>
    <row r="6" spans="1:18">
      <c r="A6" s="3023">
        <v>50</v>
      </c>
      <c r="B6" s="3020">
        <v>50028</v>
      </c>
      <c r="C6" s="3022">
        <f>ROUNDDOWN(MIN((B6-B3)/365,A6),2)</f>
        <v>11.67</v>
      </c>
      <c r="D6" s="3024">
        <f>IF(ISERROR(ROUND(POWER(1+E6,A6-C6)*(POWER(1+E6,C6)-1)/(POWER(1+E6,A6)-1),3)),0,ROUND(POWER(1+E6,A6-C6)*(POWER(1+E6,C6)-1)/(POWER(1+E6,A6)-1),4))</f>
        <v>0.4274</v>
      </c>
      <c r="E6" s="3025">
        <v>0.04</v>
      </c>
      <c r="F6" s="3018"/>
      <c r="I6" s="3438" t="s">
        <v>2579</v>
      </c>
      <c r="J6" s="3438">
        <v>60</v>
      </c>
      <c r="K6" s="3438">
        <v>50</v>
      </c>
      <c r="L6" s="3438">
        <v>10</v>
      </c>
      <c r="M6" s="3438">
        <v>20</v>
      </c>
      <c r="N6" s="3022">
        <v>35</v>
      </c>
      <c r="O6" s="3022">
        <v>40</v>
      </c>
      <c r="P6" s="3022">
        <v>30</v>
      </c>
      <c r="Q6" s="3022">
        <v>10</v>
      </c>
      <c r="R6" s="3022">
        <v>255</v>
      </c>
    </row>
    <row r="7" spans="1:18">
      <c r="A7" s="3023">
        <v>70</v>
      </c>
      <c r="B7" s="3020">
        <v>57333</v>
      </c>
      <c r="C7" s="3022">
        <f>ROUNDDOWN(MIN((B7-B3)/365,A7),2)</f>
        <v>31.69</v>
      </c>
      <c r="D7" s="3024">
        <f>IF(ISERROR(ROUND(POWER(1+E7,A7-C7)*(POWER(1+E7,C7)-1)/(POWER(1+E7,A7)-1),3)),0,ROUND(POWER(1+E7,A7-C7)*(POWER(1+E7,C7)-1)/(POWER(1+E7,A7)-1),4))</f>
        <v>0.76029999999999998</v>
      </c>
      <c r="E7" s="3025">
        <v>0.04</v>
      </c>
      <c r="F7" s="3018"/>
    </row>
    <row r="8" spans="1:18">
      <c r="A8" s="3016"/>
      <c r="B8" s="3017"/>
      <c r="C8" s="3017"/>
      <c r="D8" s="3017"/>
      <c r="E8" s="3017"/>
      <c r="F8" s="3018"/>
    </row>
    <row r="9" spans="1:18">
      <c r="A9" s="3019" t="s">
        <v>2503</v>
      </c>
      <c r="B9" s="3022"/>
      <c r="C9" s="3022"/>
      <c r="D9" s="3022"/>
      <c r="E9" s="3022"/>
      <c r="F9" s="3026"/>
    </row>
    <row r="10" spans="1:18">
      <c r="A10" s="3019" t="s">
        <v>2504</v>
      </c>
      <c r="B10" s="3022"/>
      <c r="C10" s="3022"/>
      <c r="D10" s="3022" t="s">
        <v>2502</v>
      </c>
      <c r="E10" s="3022"/>
      <c r="F10" s="3026" t="s">
        <v>2501</v>
      </c>
    </row>
    <row r="11" spans="1:18">
      <c r="A11" s="3019" t="s">
        <v>2505</v>
      </c>
      <c r="B11" s="3027">
        <v>70</v>
      </c>
      <c r="C11" s="3022" t="s">
        <v>2506</v>
      </c>
      <c r="D11" s="3028">
        <v>4.4999999999999998E-2</v>
      </c>
      <c r="E11" s="3022" t="s">
        <v>2507</v>
      </c>
      <c r="F11" s="3029">
        <f>ROUND(1-(1/(POWER(1+D11,B11))),4)</f>
        <v>0.95409999999999995</v>
      </c>
    </row>
    <row r="12" spans="1:18">
      <c r="A12" s="3019" t="s">
        <v>2508</v>
      </c>
      <c r="B12" s="3027">
        <v>40</v>
      </c>
      <c r="C12" s="3022" t="s">
        <v>2509</v>
      </c>
      <c r="D12" s="3028">
        <v>4.4999999999999998E-2</v>
      </c>
      <c r="E12" s="3022" t="s">
        <v>2510</v>
      </c>
      <c r="F12" s="3029">
        <f>ROUND(1-(1/(POWER(1+D12,B12))),4)</f>
        <v>0.82809999999999995</v>
      </c>
    </row>
    <row r="13" spans="1:18">
      <c r="A13" s="3019" t="s">
        <v>2511</v>
      </c>
      <c r="B13" s="3022"/>
      <c r="C13" s="3022"/>
      <c r="D13" s="3017"/>
      <c r="E13" s="3017"/>
      <c r="F13" s="3018"/>
    </row>
    <row r="14" spans="1:18">
      <c r="A14" s="3019" t="s">
        <v>2512</v>
      </c>
      <c r="B14" s="3027">
        <v>5000</v>
      </c>
      <c r="C14" s="3021"/>
      <c r="D14" s="3017"/>
      <c r="E14" s="3017"/>
      <c r="F14" s="3018"/>
    </row>
    <row r="15" spans="1:18">
      <c r="A15" s="3019" t="s">
        <v>2513</v>
      </c>
      <c r="B15" s="3022">
        <f>ROUND(B14*F12/F11,2)</f>
        <v>4339.6899999999996</v>
      </c>
      <c r="C15" s="3022">
        <f>ROUND(F12/F11,4)</f>
        <v>0.8679</v>
      </c>
      <c r="D15" s="3017"/>
      <c r="E15" s="3017"/>
      <c r="F15" s="3018"/>
    </row>
    <row r="16" spans="1:18">
      <c r="A16" s="3019" t="s">
        <v>2514</v>
      </c>
      <c r="B16" s="3022"/>
      <c r="C16" s="3022"/>
      <c r="D16" s="3017"/>
      <c r="E16" s="3017"/>
      <c r="F16" s="3018"/>
    </row>
    <row r="17" spans="1:14">
      <c r="A17" s="3019" t="s">
        <v>2513</v>
      </c>
      <c r="B17" s="3028">
        <v>4810</v>
      </c>
      <c r="C17" s="3021"/>
      <c r="D17" s="3017"/>
      <c r="E17" s="3017"/>
      <c r="F17" s="3018"/>
    </row>
    <row r="18" spans="1:14" ht="14.25" thickBot="1">
      <c r="A18" s="3030" t="s">
        <v>2512</v>
      </c>
      <c r="B18" s="3031">
        <f>ROUND(B17*F11/F12,2)</f>
        <v>5541.87</v>
      </c>
      <c r="C18" s="3031">
        <f>ROUND(F11/F12,4)</f>
        <v>1.1521999999999999</v>
      </c>
      <c r="D18" s="3032"/>
      <c r="E18" s="3032"/>
      <c r="F18" s="3033"/>
    </row>
    <row r="19" spans="1:14" ht="14.25" thickBot="1"/>
    <row r="20" spans="1:14" s="3068" customFormat="1" ht="14.25" thickTop="1">
      <c r="A20" s="3065" t="s">
        <v>2515</v>
      </c>
      <c r="B20" s="3066"/>
      <c r="C20" s="3066"/>
      <c r="D20" s="3066"/>
      <c r="E20" s="3066"/>
      <c r="F20" s="3066"/>
      <c r="G20" s="3067"/>
      <c r="I20" s="3069" t="s">
        <v>2560</v>
      </c>
      <c r="J20" s="3069" t="s">
        <v>2565</v>
      </c>
      <c r="K20" s="3069"/>
      <c r="L20" s="3069"/>
      <c r="M20" s="3069"/>
    </row>
    <row r="21" spans="1:14">
      <c r="A21" s="3034"/>
      <c r="B21" s="3035" t="s">
        <v>2516</v>
      </c>
      <c r="C21" s="3035" t="s">
        <v>2517</v>
      </c>
      <c r="D21" s="3035" t="s">
        <v>2518</v>
      </c>
      <c r="E21" s="3035" t="s">
        <v>2519</v>
      </c>
      <c r="F21" s="3035" t="s">
        <v>2520</v>
      </c>
      <c r="G21" s="3036" t="s">
        <v>2521</v>
      </c>
      <c r="I21" s="3057">
        <v>5</v>
      </c>
      <c r="J21" s="3057">
        <v>54.2</v>
      </c>
    </row>
    <row r="22" spans="1:14">
      <c r="A22" s="3034" t="s">
        <v>2522</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2523</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2563</v>
      </c>
      <c r="N23" s="3456" t="s">
        <v>2564</v>
      </c>
    </row>
    <row r="24" spans="1:14">
      <c r="A24" s="3034" t="s">
        <v>2524</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2562</v>
      </c>
      <c r="N24" s="3456">
        <v>10</v>
      </c>
    </row>
    <row r="25" spans="1:14">
      <c r="A25" s="3034" t="s">
        <v>2525</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2566</v>
      </c>
      <c r="N25" s="3456">
        <v>8</v>
      </c>
    </row>
    <row r="26" spans="1:14">
      <c r="A26" s="3039"/>
      <c r="B26" s="3040"/>
      <c r="C26" s="3040"/>
      <c r="D26" s="3040"/>
      <c r="E26" s="3040"/>
      <c r="F26" s="3040"/>
      <c r="G26" s="3041"/>
      <c r="I26" s="3057">
        <v>30</v>
      </c>
      <c r="J26" s="3057">
        <v>90.5</v>
      </c>
      <c r="K26" s="3057">
        <f t="shared" si="2"/>
        <v>4.2000000000000028</v>
      </c>
      <c r="L26" s="3057" t="s">
        <v>2567</v>
      </c>
      <c r="N26" s="3456">
        <v>5</v>
      </c>
    </row>
    <row r="27" spans="1:14">
      <c r="A27" s="3039" t="s">
        <v>2526</v>
      </c>
      <c r="B27" s="3040"/>
      <c r="C27" s="3040"/>
      <c r="D27" s="3040"/>
      <c r="E27" s="3040"/>
      <c r="F27" s="3040"/>
      <c r="G27" s="3041"/>
      <c r="I27" s="3057">
        <v>35</v>
      </c>
      <c r="J27" s="3057">
        <v>93.8</v>
      </c>
      <c r="K27" s="3057">
        <f t="shared" si="2"/>
        <v>3.2999999999999972</v>
      </c>
      <c r="L27" s="3057" t="s">
        <v>2568</v>
      </c>
      <c r="N27" s="3456">
        <v>3</v>
      </c>
    </row>
    <row r="28" spans="1:14">
      <c r="A28" s="3039" t="s">
        <v>2527</v>
      </c>
      <c r="B28" s="3040"/>
      <c r="C28" s="3040"/>
      <c r="D28" s="3040"/>
      <c r="E28" s="3040"/>
      <c r="F28" s="3040"/>
      <c r="G28" s="3041"/>
      <c r="I28" s="3057">
        <v>40</v>
      </c>
      <c r="J28" s="3057">
        <v>96.4</v>
      </c>
      <c r="K28" s="3057">
        <f t="shared" si="2"/>
        <v>2.6000000000000085</v>
      </c>
      <c r="L28" s="3057" t="s">
        <v>2569</v>
      </c>
      <c r="N28" s="3456">
        <v>2</v>
      </c>
    </row>
    <row r="29" spans="1:14">
      <c r="A29" s="3039" t="s">
        <v>2528</v>
      </c>
      <c r="B29" s="3040"/>
      <c r="C29" s="3040"/>
      <c r="D29" s="3040"/>
      <c r="E29" s="3040"/>
      <c r="F29" s="3040"/>
      <c r="G29" s="3041"/>
      <c r="I29" s="3057">
        <v>45</v>
      </c>
      <c r="J29" s="3057">
        <v>98.4</v>
      </c>
      <c r="K29" s="3057">
        <f t="shared" si="2"/>
        <v>2</v>
      </c>
    </row>
    <row r="30" spans="1:14">
      <c r="A30" s="3039" t="s">
        <v>2529</v>
      </c>
      <c r="B30" s="3040"/>
      <c r="C30" s="3040"/>
      <c r="D30" s="3040"/>
      <c r="E30" s="3040"/>
      <c r="F30" s="3040"/>
      <c r="G30" s="3041"/>
      <c r="I30" s="3057">
        <v>50</v>
      </c>
      <c r="J30" s="3057">
        <v>100</v>
      </c>
      <c r="K30" s="3057">
        <f t="shared" si="2"/>
        <v>1.5999999999999943</v>
      </c>
    </row>
    <row r="31" spans="1:14">
      <c r="A31" s="3039" t="s">
        <v>2530</v>
      </c>
      <c r="B31" s="3040"/>
      <c r="C31" s="3040"/>
      <c r="D31" s="3040"/>
      <c r="E31" s="3040"/>
      <c r="F31" s="3040"/>
      <c r="G31" s="3041"/>
      <c r="I31" s="3057" t="s">
        <v>2561</v>
      </c>
    </row>
    <row r="32" spans="1:14">
      <c r="A32" s="3039" t="s">
        <v>2531</v>
      </c>
      <c r="B32" s="3040"/>
      <c r="C32" s="3040"/>
      <c r="D32" s="3040"/>
      <c r="E32" s="3040"/>
      <c r="F32" s="3040"/>
      <c r="G32" s="3041"/>
    </row>
    <row r="33" spans="1:14">
      <c r="A33" s="3039" t="s">
        <v>2532</v>
      </c>
      <c r="B33" s="3040"/>
      <c r="C33" s="3040"/>
      <c r="D33" s="3040"/>
      <c r="E33" s="3040"/>
      <c r="F33" s="3040"/>
      <c r="G33" s="3041"/>
      <c r="I33" s="3057" t="s">
        <v>2560</v>
      </c>
      <c r="J33" s="3057" t="s">
        <v>2570</v>
      </c>
    </row>
    <row r="34" spans="1:14">
      <c r="A34" s="3039" t="s">
        <v>2533</v>
      </c>
      <c r="B34" s="3040"/>
      <c r="C34" s="3040"/>
      <c r="D34" s="3040"/>
      <c r="E34" s="3040"/>
      <c r="F34" s="3040"/>
      <c r="G34" s="3041"/>
      <c r="I34" s="3057">
        <v>5</v>
      </c>
      <c r="J34" s="3057">
        <v>55.1</v>
      </c>
    </row>
    <row r="35" spans="1:14">
      <c r="A35" s="3039" t="s">
        <v>2534</v>
      </c>
      <c r="B35" s="3040"/>
      <c r="C35" s="3040"/>
      <c r="D35" s="3040"/>
      <c r="E35" s="3040"/>
      <c r="F35" s="3040"/>
      <c r="G35" s="3041"/>
      <c r="I35" s="3057">
        <v>10</v>
      </c>
      <c r="J35" s="3057">
        <v>67</v>
      </c>
      <c r="K35" s="3057">
        <f>J35-J34</f>
        <v>11.899999999999999</v>
      </c>
    </row>
    <row r="36" spans="1:14">
      <c r="A36" s="3039" t="s">
        <v>2535</v>
      </c>
      <c r="B36" s="3040"/>
      <c r="C36" s="3040"/>
      <c r="D36" s="3040"/>
      <c r="E36" s="3040"/>
      <c r="F36" s="3040"/>
      <c r="G36" s="3041"/>
      <c r="I36" s="3057">
        <v>15</v>
      </c>
      <c r="J36" s="3057">
        <v>76.3</v>
      </c>
      <c r="K36" s="3057">
        <f t="shared" ref="K36:K41" si="3">J36-J35</f>
        <v>9.2999999999999972</v>
      </c>
      <c r="L36" s="3057" t="s">
        <v>2563</v>
      </c>
      <c r="N36" s="3456" t="s">
        <v>2564</v>
      </c>
    </row>
    <row r="37" spans="1:14">
      <c r="A37" s="3039" t="s">
        <v>2536</v>
      </c>
      <c r="B37" s="3040"/>
      <c r="C37" s="3040"/>
      <c r="D37" s="3040"/>
      <c r="E37" s="3040"/>
      <c r="F37" s="3040"/>
      <c r="G37" s="3041"/>
      <c r="I37" s="3057">
        <v>20</v>
      </c>
      <c r="J37" s="3057">
        <v>83.6</v>
      </c>
      <c r="K37" s="3057">
        <f t="shared" si="3"/>
        <v>7.2999999999999972</v>
      </c>
      <c r="L37" s="3057" t="s">
        <v>2562</v>
      </c>
      <c r="N37" s="3456">
        <v>10</v>
      </c>
    </row>
    <row r="38" spans="1:14">
      <c r="A38" s="3039" t="s">
        <v>2537</v>
      </c>
      <c r="B38" s="3040"/>
      <c r="C38" s="3040"/>
      <c r="D38" s="3040"/>
      <c r="E38" s="3040"/>
      <c r="F38" s="3040"/>
      <c r="G38" s="3041"/>
      <c r="I38" s="3057">
        <v>25</v>
      </c>
      <c r="J38" s="3057">
        <v>89.3</v>
      </c>
      <c r="K38" s="3057">
        <f t="shared" si="3"/>
        <v>5.7000000000000028</v>
      </c>
      <c r="L38" s="3057" t="s">
        <v>2566</v>
      </c>
      <c r="N38" s="3456">
        <v>8</v>
      </c>
    </row>
    <row r="39" spans="1:14">
      <c r="A39" s="3039"/>
      <c r="B39" s="3040"/>
      <c r="C39" s="3040"/>
      <c r="D39" s="3040"/>
      <c r="E39" s="3040"/>
      <c r="F39" s="3040"/>
      <c r="G39" s="3041"/>
      <c r="I39" s="3057">
        <v>30</v>
      </c>
      <c r="J39" s="3057">
        <v>93.8</v>
      </c>
      <c r="K39" s="3057">
        <f t="shared" si="3"/>
        <v>4.5</v>
      </c>
      <c r="L39" s="3057" t="s">
        <v>2567</v>
      </c>
      <c r="N39" s="3456">
        <v>6</v>
      </c>
    </row>
    <row r="40" spans="1:14">
      <c r="A40" s="3042" t="s">
        <v>2538</v>
      </c>
      <c r="B40" s="3043"/>
      <c r="C40" s="3043"/>
      <c r="D40" s="3043"/>
      <c r="E40" s="3043"/>
      <c r="F40" s="3043"/>
      <c r="G40" s="3044"/>
      <c r="I40" s="3057">
        <v>35</v>
      </c>
      <c r="J40" s="3057">
        <v>97.2</v>
      </c>
      <c r="K40" s="3057">
        <f t="shared" si="3"/>
        <v>3.4000000000000057</v>
      </c>
      <c r="L40" s="3057" t="s">
        <v>2568</v>
      </c>
      <c r="N40" s="3456">
        <v>3</v>
      </c>
    </row>
    <row r="41" spans="1:14">
      <c r="A41" s="3045" t="s">
        <v>2539</v>
      </c>
      <c r="B41" s="3046" t="s">
        <v>2540</v>
      </c>
      <c r="C41" s="3047" t="s">
        <v>2541</v>
      </c>
      <c r="D41" s="3047" t="s">
        <v>2542</v>
      </c>
      <c r="E41" s="3048"/>
      <c r="F41" s="3049"/>
      <c r="G41" s="3050"/>
      <c r="I41" s="3057">
        <v>40</v>
      </c>
      <c r="J41" s="3057">
        <v>100</v>
      </c>
      <c r="K41" s="3057">
        <f t="shared" si="3"/>
        <v>2.7999999999999972</v>
      </c>
    </row>
    <row r="42" spans="1:14">
      <c r="A42" s="3045" t="s">
        <v>2543</v>
      </c>
      <c r="B42" s="3046" t="s">
        <v>2544</v>
      </c>
      <c r="C42" s="3047" t="s">
        <v>2545</v>
      </c>
      <c r="D42" s="3051" t="s">
        <v>2546</v>
      </c>
      <c r="E42" s="3043" t="s">
        <v>2547</v>
      </c>
      <c r="F42" s="3043"/>
      <c r="G42" s="3044"/>
    </row>
    <row r="43" spans="1:14">
      <c r="A43" s="3045" t="s">
        <v>2548</v>
      </c>
      <c r="B43" s="3046" t="s">
        <v>2549</v>
      </c>
      <c r="C43" s="3047" t="s">
        <v>2550</v>
      </c>
      <c r="D43" s="3047" t="s">
        <v>2551</v>
      </c>
      <c r="E43" s="3048" t="s">
        <v>2552</v>
      </c>
      <c r="F43" s="3049"/>
      <c r="G43" s="3050"/>
      <c r="I43" s="3057" t="s">
        <v>2560</v>
      </c>
      <c r="J43" s="3057" t="s">
        <v>2571</v>
      </c>
    </row>
    <row r="44" spans="1:14">
      <c r="A44" s="3045" t="s">
        <v>2553</v>
      </c>
      <c r="B44" s="3046" t="s">
        <v>2554</v>
      </c>
      <c r="C44" s="3047" t="s">
        <v>2555</v>
      </c>
      <c r="D44" s="3051">
        <v>0.5</v>
      </c>
      <c r="E44" s="3048" t="s">
        <v>2556</v>
      </c>
      <c r="F44" s="3049"/>
      <c r="G44" s="3050"/>
      <c r="I44" s="3057">
        <v>30</v>
      </c>
      <c r="J44" s="3057">
        <v>81.7</v>
      </c>
    </row>
    <row r="45" spans="1:14" ht="14.25" thickBot="1">
      <c r="A45" s="3052" t="s">
        <v>2557</v>
      </c>
      <c r="B45" s="3053" t="s">
        <v>2544</v>
      </c>
      <c r="C45" s="3054" t="s">
        <v>2544</v>
      </c>
      <c r="D45" s="3054" t="s">
        <v>2558</v>
      </c>
      <c r="E45" s="3055" t="s">
        <v>2559</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3383</v>
      </c>
    </row>
    <row r="50" spans="1:4">
      <c r="A50" s="3448" t="s">
        <v>3384</v>
      </c>
      <c r="B50" s="3448" t="s">
        <v>3385</v>
      </c>
      <c r="C50" s="3448" t="s">
        <v>3386</v>
      </c>
      <c r="D50" s="3448" t="s">
        <v>3387</v>
      </c>
    </row>
    <row r="51" spans="1:4">
      <c r="A51" s="3448" t="s">
        <v>3388</v>
      </c>
      <c r="B51" s="3021">
        <f>B52+B53</f>
        <v>15000</v>
      </c>
      <c r="C51" s="3449">
        <f>D51/B51</f>
        <v>2666.6666666666665</v>
      </c>
      <c r="D51" s="3021">
        <f>D52+D53</f>
        <v>40000000</v>
      </c>
    </row>
    <row r="52" spans="1:4">
      <c r="A52" s="3450" t="s">
        <v>3389</v>
      </c>
      <c r="B52" s="3451">
        <v>10000</v>
      </c>
      <c r="C52" s="3451">
        <v>1500</v>
      </c>
      <c r="D52" s="3452">
        <f>C52*B52</f>
        <v>15000000</v>
      </c>
    </row>
    <row r="53" spans="1:4">
      <c r="A53" s="3450" t="s">
        <v>3390</v>
      </c>
      <c r="B53" s="3451">
        <v>5000</v>
      </c>
      <c r="C53" s="3451">
        <v>5000</v>
      </c>
      <c r="D53" s="3452">
        <f>C53*B53</f>
        <v>25000000</v>
      </c>
    </row>
    <row r="54" spans="1:4">
      <c r="A54" s="3448" t="s">
        <v>3391</v>
      </c>
      <c r="B54" s="3021">
        <f>B51</f>
        <v>15000</v>
      </c>
      <c r="C54" s="3028">
        <v>700</v>
      </c>
      <c r="D54" s="3021">
        <f t="shared" ref="D54:D55" si="5">C54*B54</f>
        <v>10500000</v>
      </c>
    </row>
    <row r="55" spans="1:4">
      <c r="A55" s="3448" t="s">
        <v>3392</v>
      </c>
      <c r="B55" s="3021">
        <f>B51</f>
        <v>15000</v>
      </c>
      <c r="C55" s="3028">
        <v>1500</v>
      </c>
      <c r="D55" s="3021">
        <f t="shared" si="5"/>
        <v>22500000</v>
      </c>
    </row>
    <row r="56" spans="1:4">
      <c r="A56" s="3448" t="s">
        <v>3393</v>
      </c>
      <c r="B56" s="3021">
        <f>B51</f>
        <v>15000</v>
      </c>
      <c r="C56" s="3453">
        <f>C51+C54+C55</f>
        <v>4866.6666666666661</v>
      </c>
      <c r="D56" s="3021">
        <f>D51+D54+D55</f>
        <v>73000000</v>
      </c>
    </row>
    <row r="58" spans="1:4">
      <c r="A58" s="3448" t="s">
        <v>3394</v>
      </c>
      <c r="B58" s="3454">
        <v>0.05</v>
      </c>
      <c r="C58" s="3021">
        <f>C56*(1+B58)</f>
        <v>5110</v>
      </c>
      <c r="D58" s="3021">
        <f>D56*B58</f>
        <v>3650000</v>
      </c>
    </row>
    <row r="60" spans="1:4">
      <c r="A60" s="3448" t="s">
        <v>3395</v>
      </c>
      <c r="B60" s="3028">
        <v>3500</v>
      </c>
      <c r="C60" s="3028">
        <f>C53</f>
        <v>5000</v>
      </c>
      <c r="D60" s="3021">
        <f>C60*B60</f>
        <v>17500000</v>
      </c>
    </row>
    <row r="62" spans="1:4">
      <c r="A62" s="3448" t="s">
        <v>3396</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4" sqref="G2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26" t="str">
        <f>IF(B10="北京市","北京市",C10)&amp;F10&amp;IF(结果表!G1="在建","出让国有建设用地使用权及在建建筑物",IF(结果表!G1="土地","出让国有建设用地使用权",))&amp;B9&amp;"预评估"</f>
        <v>北京市房地产抵押价值预评估</v>
      </c>
      <c r="C1" s="3527"/>
      <c r="D1" s="3527"/>
      <c r="E1" s="3527"/>
      <c r="F1" s="3527"/>
      <c r="G1" s="3527"/>
      <c r="H1" s="3527"/>
      <c r="I1" s="3528"/>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45765</v>
      </c>
      <c r="C3" s="2373" t="s">
        <v>2171</v>
      </c>
      <c r="D3" s="2372">
        <f>B3</f>
        <v>45765</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3408</v>
      </c>
      <c r="C8" s="2389"/>
      <c r="D8" s="3529" t="s">
        <v>2177</v>
      </c>
      <c r="E8" s="2390" t="s">
        <v>3409</v>
      </c>
      <c r="F8" s="2391"/>
      <c r="G8" s="2662"/>
      <c r="H8" s="2662"/>
      <c r="I8" s="2662"/>
      <c r="J8" s="2438"/>
      <c r="K8" s="2613"/>
      <c r="L8" s="2612"/>
      <c r="M8" s="2612"/>
      <c r="N8" s="2438"/>
      <c r="O8" s="2449"/>
      <c r="P8" s="2438"/>
      <c r="Q8" s="2438"/>
      <c r="R8" s="2438"/>
    </row>
    <row r="9" spans="1:30" ht="13.5" thickBot="1">
      <c r="A9" s="2392" t="s">
        <v>2178</v>
      </c>
      <c r="B9" s="2393" t="s">
        <v>3409</v>
      </c>
      <c r="C9" s="2394"/>
      <c r="D9" s="3530"/>
      <c r="E9" s="2393" t="s">
        <v>43</v>
      </c>
      <c r="F9" s="2395"/>
      <c r="G9" s="2664"/>
      <c r="H9" s="2664"/>
      <c r="I9" s="2664"/>
      <c r="J9" s="2438"/>
      <c r="K9" s="2615"/>
      <c r="L9" s="2612"/>
      <c r="M9" s="2612"/>
      <c r="N9" s="2438"/>
      <c r="O9" s="2449"/>
      <c r="P9" s="2438"/>
      <c r="Q9" s="2438"/>
      <c r="R9" s="2438"/>
    </row>
    <row r="10" spans="1:30" ht="13.5" thickTop="1">
      <c r="A10" s="2396" t="s">
        <v>2179</v>
      </c>
      <c r="B10" s="2397" t="s">
        <v>3410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3411</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2572</v>
      </c>
      <c r="J12" s="3061"/>
      <c r="K12" s="2612"/>
      <c r="L12" s="2612"/>
      <c r="M12" s="2438"/>
      <c r="N12" s="2449"/>
      <c r="O12" s="2438"/>
      <c r="P12" s="2438"/>
      <c r="Q12" s="2438"/>
      <c r="AD12" s="1744"/>
    </row>
    <row r="13" spans="1:30">
      <c r="A13" s="3422" t="s">
        <v>3328</v>
      </c>
      <c r="B13" s="2406" t="s">
        <v>2190</v>
      </c>
      <c r="C13" s="855"/>
      <c r="D13" s="855">
        <v>51971</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17</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36"/>
      <c r="C16" s="3537"/>
      <c r="D16" s="3538"/>
      <c r="E16" s="2412" t="s">
        <v>2194</v>
      </c>
      <c r="F16" s="3539"/>
      <c r="G16" s="3540"/>
      <c r="H16" s="3540"/>
      <c r="I16" s="3541"/>
      <c r="J16" s="2438"/>
      <c r="K16" s="2616"/>
      <c r="L16" s="2450"/>
      <c r="M16" s="2450"/>
      <c r="N16" s="2508"/>
      <c r="O16" s="2450"/>
      <c r="P16" s="2508"/>
      <c r="Q16" s="2438"/>
      <c r="R16" s="2438"/>
    </row>
    <row r="17" spans="1:28">
      <c r="A17" s="313" t="s">
        <v>2195</v>
      </c>
      <c r="B17" s="302" t="s">
        <v>2196</v>
      </c>
      <c r="C17" s="8">
        <f>'数据-汇总表'!E3</f>
        <v>617</v>
      </c>
      <c r="D17" s="2321" t="s">
        <v>2197</v>
      </c>
      <c r="E17" s="3542" t="s">
        <v>2198</v>
      </c>
      <c r="F17" s="3543"/>
      <c r="G17" s="3543"/>
      <c r="H17" s="3543"/>
      <c r="I17" s="3544"/>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45" t="s">
        <v>2202</v>
      </c>
      <c r="F18" s="3546"/>
      <c r="G18" s="3546"/>
      <c r="H18" s="3546"/>
      <c r="I18" s="3547"/>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32" t="s">
        <v>2206</v>
      </c>
      <c r="C20" s="3533"/>
      <c r="D20" s="3534" t="s">
        <v>2207</v>
      </c>
      <c r="E20" s="3535"/>
      <c r="F20" s="2646" t="s">
        <v>1056</v>
      </c>
      <c r="G20" s="2663"/>
      <c r="H20" s="2663"/>
      <c r="I20" s="2663"/>
      <c r="J20" s="2438"/>
      <c r="K20" s="3531"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31"/>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v>2004</v>
      </c>
      <c r="H22" s="2663"/>
      <c r="I22" s="2663"/>
      <c r="J22" s="2438"/>
      <c r="K22" s="3531"/>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9"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9"/>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9"/>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0"/>
      <c r="B30" s="302" t="s">
        <v>2218</v>
      </c>
      <c r="C30" s="3521"/>
      <c r="D30" s="3522"/>
      <c r="E30" s="2663"/>
      <c r="F30" s="2663"/>
      <c r="G30" s="2663"/>
      <c r="H30" s="2663"/>
      <c r="I30" s="2663"/>
      <c r="J30" s="2438"/>
      <c r="K30" s="2615"/>
      <c r="L30" s="2612"/>
      <c r="M30" s="2612"/>
      <c r="N30" s="2438"/>
      <c r="O30" s="2449"/>
      <c r="P30" s="2438"/>
      <c r="Q30" s="2438"/>
      <c r="R30" s="2438"/>
      <c r="S30" s="2438"/>
      <c r="T30" s="2438"/>
      <c r="U30" s="2438"/>
      <c r="V30" s="2438"/>
    </row>
    <row r="31" spans="1:28">
      <c r="A31" s="3523"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4"/>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4"/>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18" t="s">
        <v>2228</v>
      </c>
      <c r="T34" s="2427" t="str">
        <f>NUMBERSTRING(7-K34,1)&amp;"通"</f>
        <v>七通</v>
      </c>
      <c r="U34" s="2438"/>
      <c r="V34" s="2438"/>
    </row>
    <row r="35" spans="1:30">
      <c r="A35" s="2428"/>
      <c r="B35" s="3525" t="s">
        <v>2229</v>
      </c>
      <c r="C35" s="3525"/>
      <c r="D35" s="3525"/>
      <c r="E35" s="3525"/>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8"/>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2575</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6" sqref="M3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617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617</v>
      </c>
      <c r="H5" s="13">
        <f t="shared" ref="H5:AT5" si="0">SUM(H13:H656)</f>
        <v>617</v>
      </c>
      <c r="I5" s="13">
        <f t="shared" si="0"/>
        <v>617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617</v>
      </c>
      <c r="BA5" s="15">
        <f t="shared" si="1"/>
        <v>617</v>
      </c>
      <c r="BB5" s="15">
        <f t="shared" si="1"/>
        <v>617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3413</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3412</v>
      </c>
      <c r="E13" s="13">
        <f>IF($C$3="是",ROUND($A$3*G13/$B$3,2),ROUND($A$3*(G13-AT13)/$B$3,2))</f>
        <v>0</v>
      </c>
      <c r="F13" s="29"/>
      <c r="G13" s="30">
        <f>H13+AC13+AT13</f>
        <v>617</v>
      </c>
      <c r="H13" s="17">
        <f>SUMIF(I$12:AB$12,"总值",I13:AB13)</f>
        <v>617</v>
      </c>
      <c r="I13" s="1625">
        <v>617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617</v>
      </c>
      <c r="BA13" s="13">
        <f>SUM(BB13:BK13)</f>
        <v>617</v>
      </c>
      <c r="BB13" s="13">
        <f>IF($D13="是",I13-J13,0)</f>
        <v>617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3" sqref="L4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7" t="s">
        <v>1131</v>
      </c>
      <c r="B2" s="3557"/>
      <c r="C2" s="3557"/>
      <c r="D2" s="795" t="s">
        <v>1107</v>
      </c>
      <c r="E2" s="1638" t="s">
        <v>1108</v>
      </c>
      <c r="F2" s="2658"/>
      <c r="G2" s="2649"/>
      <c r="H2" s="2650"/>
      <c r="I2" s="2324" t="s">
        <v>1132</v>
      </c>
      <c r="J2" s="2658"/>
      <c r="K2" s="2658"/>
      <c r="L2" s="2658"/>
      <c r="M2" s="2658"/>
      <c r="N2" s="2660"/>
      <c r="O2" s="2658"/>
      <c r="P2" s="2658"/>
    </row>
    <row r="3" spans="1:16" ht="15.75" thickBot="1">
      <c r="A3" s="3558" t="s">
        <v>1105</v>
      </c>
      <c r="B3" s="3558"/>
      <c r="C3" s="3558"/>
      <c r="D3" s="43">
        <f>'数据-基础表'!AY6</f>
        <v>0</v>
      </c>
      <c r="E3" s="43">
        <f>'数据-基础表'!AZ5</f>
        <v>617</v>
      </c>
      <c r="F3" s="2658"/>
      <c r="G3" s="1144"/>
      <c r="H3" s="1025" t="s">
        <v>1106</v>
      </c>
      <c r="I3" s="854" t="e">
        <f>ROUND('数据-基础表'!B3/'数据-基础表'!A3,2)</f>
        <v>#DIV/0!</v>
      </c>
      <c r="J3" s="2658"/>
      <c r="K3" s="2658"/>
      <c r="L3" s="2658"/>
      <c r="M3" s="2658"/>
      <c r="N3" s="2660"/>
      <c r="O3" s="2658"/>
      <c r="P3" s="2658"/>
    </row>
    <row r="4" spans="1:16" ht="15">
      <c r="A4" s="3559"/>
      <c r="B4" s="3560"/>
      <c r="C4" s="3561"/>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62" t="s">
        <v>1110</v>
      </c>
      <c r="C5" s="3562"/>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62" t="s">
        <v>1111</v>
      </c>
      <c r="C6" s="3562"/>
      <c r="D6" s="45">
        <f>ROUND($D$3*E6/$E$3,2)</f>
        <v>0</v>
      </c>
      <c r="E6" s="46">
        <f>E3-E5</f>
        <v>617</v>
      </c>
      <c r="F6" s="2658"/>
      <c r="G6" s="2652" t="s">
        <v>1112</v>
      </c>
      <c r="H6" s="1145" t="s">
        <v>1113</v>
      </c>
      <c r="I6" s="2653" t="e">
        <f>ROUND(F31/D31,2)</f>
        <v>#DIV/0!</v>
      </c>
      <c r="J6" s="2658"/>
      <c r="K6" s="2658"/>
      <c r="L6" s="2658"/>
      <c r="M6" s="2658"/>
      <c r="N6" s="2658"/>
      <c r="O6" s="2658"/>
      <c r="P6" s="2658"/>
    </row>
    <row r="7" spans="1:16" ht="15.75" thickBot="1">
      <c r="A7" s="3554"/>
      <c r="B7" s="3555"/>
      <c r="C7" s="3556"/>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617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617</v>
      </c>
      <c r="F16" s="2658"/>
      <c r="G16" s="2659"/>
      <c r="H16" s="1647" t="s">
        <v>1135</v>
      </c>
      <c r="I16" s="1648"/>
      <c r="J16" s="1138"/>
      <c r="K16" s="3551" t="s">
        <v>1135</v>
      </c>
      <c r="L16" s="3552"/>
      <c r="M16" s="3552"/>
      <c r="N16" s="3552"/>
      <c r="O16" s="3552"/>
      <c r="P16" s="3553"/>
    </row>
    <row r="17" spans="1:19" ht="15">
      <c r="A17" s="1649" t="s">
        <v>1136</v>
      </c>
      <c r="B17" s="1650" t="s">
        <v>1137</v>
      </c>
      <c r="C17" s="1651" t="s">
        <v>1138</v>
      </c>
      <c r="D17" s="1652" t="s">
        <v>1126</v>
      </c>
      <c r="E17" s="1653" t="s">
        <v>1127</v>
      </c>
      <c r="F17" s="1654"/>
      <c r="G17" s="1655"/>
      <c r="H17" s="1656" t="s">
        <v>1139</v>
      </c>
      <c r="I17" s="1657" t="s">
        <v>1124</v>
      </c>
      <c r="J17" s="1138"/>
      <c r="K17" s="3548" t="s">
        <v>1140</v>
      </c>
      <c r="L17" s="3549"/>
      <c r="M17" s="3550"/>
      <c r="N17" s="3548" t="s">
        <v>1141</v>
      </c>
      <c r="O17" s="3549"/>
      <c r="P17" s="3550"/>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3414</v>
      </c>
      <c r="D19" s="45">
        <f>ROUND($D$3*E19/$E$3,2)</f>
        <v>0</v>
      </c>
      <c r="E19" s="53">
        <f t="shared" ref="E19:E26" si="1">SUM(F19:G19)</f>
        <v>617</v>
      </c>
      <c r="F19" s="2794">
        <f>'数据-基础表'!I13</f>
        <v>617</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617</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617</v>
      </c>
      <c r="F27" s="1139">
        <f>IF(SUM(F19:F26)=E8,SUM(F19:F26),"地上面积有误")</f>
        <v>617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617</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617</v>
      </c>
      <c r="F31" s="676">
        <f>F27+F30</f>
        <v>617</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45765</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3415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51971</v>
      </c>
      <c r="F6" s="64">
        <f>SUMIF(项目基本情况!C$12:I$12,C6,项目基本情况!C$15:I$15)</f>
        <v>17</v>
      </c>
      <c r="G6" s="65">
        <f>IF(ISERROR(ROUND(POWER(1+H6,D6-F6)*(POWER(1+H6,F6)-1)/(POWER(1+H6,D6)-1),3)),0,ROUND(POWER(1+H6,D6-F6)*(POWER(1+H6,F6)-1)/(POWER(1+H6,D6)-1),3))</f>
        <v>0.65700000000000003</v>
      </c>
      <c r="H6" s="731">
        <v>0.05</v>
      </c>
      <c r="I6" s="731">
        <v>5.5E-2</v>
      </c>
      <c r="J6" s="66">
        <v>7.0000000000000007E-2</v>
      </c>
      <c r="K6" s="1029">
        <f>SUMIF('数据-汇总表'!C$19:C$33,A6,'数据-汇总表'!E$19:E$33)</f>
        <v>617</v>
      </c>
      <c r="L6" s="732">
        <v>3500</v>
      </c>
      <c r="M6" s="67">
        <f t="shared" ref="M6:M14" si="0">ROUND(K6*L6/10000,0)</f>
        <v>216</v>
      </c>
      <c r="N6" s="730">
        <f>N20</f>
        <v>0.75</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817">
        <v>3.4</v>
      </c>
      <c r="V6" s="70">
        <v>0.02</v>
      </c>
      <c r="W6" s="70">
        <v>0.1</v>
      </c>
      <c r="X6" s="1039"/>
      <c r="Y6" s="71">
        <f>N6</f>
        <v>0.75</v>
      </c>
      <c r="Z6" s="72"/>
      <c r="AA6" s="66"/>
      <c r="AB6" s="66"/>
      <c r="AC6" s="1039"/>
      <c r="AD6" s="73"/>
      <c r="AE6" s="1040">
        <f ca="1">IF(AN6="",0,SUMIF(INDIRECT("'"&amp;AN6&amp;"'"&amp;"!E:E"),$AE$5,INDIRECT("'"&amp;AN6&amp;"'"&amp;"!F:F")))</f>
        <v>17</v>
      </c>
      <c r="AF6" s="1347"/>
      <c r="AG6" s="138">
        <f>IF(AF6="",0,AE6-AF6)</f>
        <v>0</v>
      </c>
      <c r="AH6" s="74"/>
      <c r="AI6" s="76">
        <v>365</v>
      </c>
      <c r="AJ6" s="77"/>
      <c r="AK6" s="78">
        <v>3.0000000000000001E-3</v>
      </c>
      <c r="AL6" s="79">
        <v>1E-3</v>
      </c>
      <c r="AM6" s="80">
        <v>5.0000000000000001E-3</v>
      </c>
      <c r="AN6" s="1714" t="s">
        <v>3416</v>
      </c>
      <c r="AO6" s="52">
        <f ca="1">SUMIF(INDIRECT("'"&amp;AN6&amp;"'"&amp;"!A:A"),"总价",INDIRECT("'"&amp;AN6&amp;"'"&amp;"!B:B"))</f>
        <v>822.14689999999996</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0.65700000000000003</v>
      </c>
      <c r="H16" s="90">
        <f>ROUND(SUMPRODUCT(H6:H13,K6:K13)/SUMPRODUCT((H6:H13&gt;0)*(K6:K13)),3)</f>
        <v>0.05</v>
      </c>
      <c r="I16" s="91"/>
      <c r="J16" s="91"/>
      <c r="K16" s="92">
        <f>SUM(K6:K15)</f>
        <v>617</v>
      </c>
      <c r="L16" s="93">
        <f>ROUND(M16*10000/SUM(K6:K14),0)</f>
        <v>3501</v>
      </c>
      <c r="M16" s="93">
        <f>SUM(M6:M14)</f>
        <v>216</v>
      </c>
      <c r="N16" s="94">
        <f>ROUND(SUMPRODUCT(M6:M14,N6:N14)/M16,3)</f>
        <v>0.75</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2004</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ROUND(1-(2025-N17)/60,2)</f>
        <v>0.65</v>
      </c>
      <c r="O18" s="2670">
        <v>0.5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2298</v>
      </c>
      <c r="D19" s="2675"/>
      <c r="E19" s="2672"/>
      <c r="F19" s="2672"/>
      <c r="G19" s="2672"/>
      <c r="H19" s="2672"/>
      <c r="I19" s="2672"/>
      <c r="J19" s="2672"/>
      <c r="K19" s="2671"/>
      <c r="L19" s="2671"/>
      <c r="M19" s="2670"/>
      <c r="N19" s="2670">
        <v>0.85</v>
      </c>
      <c r="O19" s="2670">
        <f>1-O18</f>
        <v>0.5</v>
      </c>
      <c r="P19" s="2670"/>
      <c r="Q19" s="2670"/>
      <c r="R19" s="2670"/>
      <c r="S19" s="2670"/>
      <c r="T19" s="2670"/>
      <c r="U19" s="2670">
        <v>1</v>
      </c>
      <c r="V19" s="2670">
        <f>K6*10%</f>
        <v>61.7</v>
      </c>
      <c r="W19" s="2670"/>
      <c r="X19" s="2670">
        <v>5</v>
      </c>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2296</v>
      </c>
      <c r="D20" s="2675"/>
      <c r="E20" s="2672"/>
      <c r="F20" s="2672"/>
      <c r="G20" s="2672"/>
      <c r="H20" s="2672"/>
      <c r="I20" s="2672"/>
      <c r="J20" s="2672"/>
      <c r="K20" s="2671"/>
      <c r="L20" s="2671"/>
      <c r="M20" s="2670"/>
      <c r="N20" s="2670">
        <f>ROUND(N18*O18+N19*O19,2)</f>
        <v>0.75</v>
      </c>
      <c r="O20" s="2670"/>
      <c r="P20" s="2670"/>
      <c r="Q20" s="2670"/>
      <c r="R20" s="2670"/>
      <c r="S20" s="2670"/>
      <c r="T20" s="2670"/>
      <c r="U20" s="2670">
        <v>2</v>
      </c>
      <c r="V20" s="3471">
        <f>K16-V19</f>
        <v>555.29999999999995</v>
      </c>
      <c r="W20" s="2670">
        <v>0.6</v>
      </c>
      <c r="X20" s="2670">
        <f>W20*X19</f>
        <v>3</v>
      </c>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f>SUM(V19:V20)</f>
        <v>617</v>
      </c>
      <c r="W21" s="2670"/>
      <c r="X21" s="2670">
        <f>(X19*V19+X20*V20)/V21</f>
        <v>3.1999999999999997</v>
      </c>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2300</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2290</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3379</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2291</v>
      </c>
      <c r="D34" s="2683" t="s">
        <v>2297</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2292</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3380</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3381</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2306</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3382</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2293</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2294</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2301</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2293</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2295</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2299</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63" t="s">
        <v>2282</v>
      </c>
      <c r="B1" s="3564"/>
      <c r="C1" s="3564"/>
      <c r="D1" s="3564"/>
      <c r="E1" s="3564"/>
      <c r="F1" s="3564"/>
      <c r="G1" s="356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8"/>
      <c r="I2" s="798"/>
      <c r="J2" s="798"/>
      <c r="K2" s="798"/>
      <c r="L2" s="798"/>
      <c r="M2" s="798"/>
      <c r="N2" s="798"/>
      <c r="O2" s="798"/>
      <c r="P2" s="798"/>
      <c r="Q2" s="798"/>
      <c r="R2" s="798"/>
    </row>
    <row r="3" spans="1:29" ht="25.5">
      <c r="A3" s="2440" t="s">
        <v>2280</v>
      </c>
      <c r="B3" s="2462" t="s">
        <v>2252</v>
      </c>
      <c r="C3" s="2463"/>
      <c r="D3" s="2464"/>
      <c r="E3" s="2441" t="s">
        <v>2280</v>
      </c>
      <c r="F3" s="2465" t="s">
        <v>2253</v>
      </c>
      <c r="G3" s="2466" t="s">
        <v>2281</v>
      </c>
      <c r="H3" s="798"/>
      <c r="I3" s="798"/>
      <c r="J3" s="798"/>
      <c r="K3" s="798"/>
      <c r="L3" s="798"/>
      <c r="M3" s="798"/>
      <c r="N3" s="798"/>
      <c r="O3" s="798"/>
      <c r="P3" s="798"/>
      <c r="Q3" s="798"/>
      <c r="R3" s="798"/>
    </row>
    <row r="4" spans="1:29" ht="36">
      <c r="A4" s="2441"/>
      <c r="B4" s="323" t="s">
        <v>2254</v>
      </c>
      <c r="C4" s="2467"/>
      <c r="D4" s="2464"/>
      <c r="E4" s="2468"/>
      <c r="F4" s="1372" t="s">
        <v>2255</v>
      </c>
      <c r="G4" s="2469" t="s">
        <v>2256</v>
      </c>
      <c r="H4" s="798"/>
      <c r="I4" s="798"/>
      <c r="J4" s="798"/>
      <c r="K4" s="798"/>
      <c r="L4" s="798"/>
      <c r="M4" s="798"/>
      <c r="N4" s="798"/>
      <c r="O4" s="798"/>
      <c r="P4" s="798"/>
      <c r="Q4" s="798"/>
      <c r="R4" s="798"/>
    </row>
    <row r="5" spans="1:29" ht="24">
      <c r="A5" s="2441"/>
      <c r="B5" s="323" t="s">
        <v>2257</v>
      </c>
      <c r="C5" s="2467"/>
      <c r="D5" s="2464"/>
      <c r="E5" s="2468"/>
      <c r="F5" s="323" t="s">
        <v>2258</v>
      </c>
      <c r="G5" s="2469" t="s">
        <v>2259</v>
      </c>
      <c r="H5" s="798"/>
      <c r="I5" s="798"/>
      <c r="J5" s="798"/>
      <c r="K5" s="798"/>
      <c r="L5" s="798"/>
      <c r="M5" s="798"/>
      <c r="N5" s="798"/>
      <c r="O5" s="798"/>
      <c r="P5" s="798"/>
      <c r="Q5" s="798"/>
      <c r="R5" s="798"/>
    </row>
    <row r="6" spans="1:29">
      <c r="A6" s="2441"/>
      <c r="B6" s="323" t="s">
        <v>2260</v>
      </c>
      <c r="C6" s="2469"/>
      <c r="D6" s="2464"/>
      <c r="E6" s="2468"/>
      <c r="F6" s="323" t="s">
        <v>2261</v>
      </c>
      <c r="G6" s="2469" t="s">
        <v>2262</v>
      </c>
      <c r="H6" s="798"/>
      <c r="I6" s="798"/>
      <c r="J6" s="798"/>
      <c r="K6" s="798"/>
      <c r="L6" s="798"/>
      <c r="M6" s="798"/>
      <c r="N6" s="798"/>
      <c r="O6" s="798"/>
      <c r="P6" s="798"/>
      <c r="Q6" s="798"/>
      <c r="R6" s="798"/>
    </row>
    <row r="7" spans="1:29" ht="24.75" thickBot="1">
      <c r="A7" s="2441"/>
      <c r="B7" s="323" t="s">
        <v>2258</v>
      </c>
      <c r="C7" s="2469"/>
      <c r="D7" s="2470"/>
      <c r="E7" s="2471"/>
      <c r="F7" s="2472" t="s">
        <v>2263</v>
      </c>
      <c r="G7" s="2473" t="s">
        <v>2264</v>
      </c>
      <c r="H7" s="798"/>
      <c r="I7" s="798"/>
      <c r="J7" s="798"/>
      <c r="K7" s="798"/>
      <c r="L7" s="798"/>
      <c r="M7" s="798"/>
      <c r="N7" s="798"/>
      <c r="O7" s="798"/>
      <c r="P7" s="798"/>
      <c r="Q7" s="798"/>
      <c r="R7" s="798"/>
    </row>
    <row r="8" spans="1:29">
      <c r="A8" s="2441"/>
      <c r="B8" s="323" t="s">
        <v>2261</v>
      </c>
      <c r="C8" s="2469"/>
      <c r="D8" s="2470"/>
      <c r="E8" s="2470"/>
      <c r="F8" s="2474"/>
      <c r="G8" s="2474"/>
      <c r="H8" s="798"/>
      <c r="I8" s="798"/>
      <c r="J8" s="798"/>
      <c r="K8" s="798"/>
      <c r="L8" s="798"/>
      <c r="M8" s="798"/>
      <c r="N8" s="798"/>
      <c r="O8" s="798"/>
      <c r="P8" s="798"/>
      <c r="Q8" s="798"/>
      <c r="R8" s="798"/>
    </row>
    <row r="9" spans="1:29">
      <c r="A9" s="2441"/>
      <c r="B9" s="323" t="s">
        <v>2265</v>
      </c>
      <c r="C9" s="2467"/>
      <c r="D9" s="2464"/>
      <c r="E9" s="2470"/>
      <c r="F9" s="2474"/>
      <c r="G9" s="2474"/>
      <c r="H9" s="798"/>
      <c r="I9" s="798"/>
      <c r="J9" s="798"/>
      <c r="K9" s="798"/>
      <c r="L9" s="798"/>
      <c r="M9" s="798"/>
      <c r="N9" s="798"/>
      <c r="O9" s="798"/>
      <c r="P9" s="798"/>
      <c r="Q9" s="798"/>
      <c r="R9" s="798"/>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2283</v>
      </c>
      <c r="B13" s="2483"/>
      <c r="C13" s="2483"/>
      <c r="D13" s="2481"/>
      <c r="E13" s="2483"/>
      <c r="F13" s="2483"/>
      <c r="G13" s="2483"/>
    </row>
    <row r="14" spans="1:29" ht="15" thickBot="1">
      <c r="A14" s="2493"/>
      <c r="B14" s="2493"/>
      <c r="C14" s="2494" t="s">
        <v>2267</v>
      </c>
      <c r="D14" s="2464"/>
      <c r="E14" s="2495"/>
      <c r="F14" s="2495"/>
      <c r="G14" s="2459" t="s">
        <v>2268</v>
      </c>
    </row>
    <row r="15" spans="1:29" ht="25.5">
      <c r="A15" s="2443" t="s">
        <v>2269</v>
      </c>
      <c r="B15" s="2496" t="s">
        <v>2252</v>
      </c>
      <c r="C15" s="2497">
        <f>C3</f>
        <v>0</v>
      </c>
      <c r="D15" s="2464"/>
      <c r="E15" s="2444" t="s">
        <v>2270</v>
      </c>
      <c r="F15" s="2496" t="s">
        <v>2271</v>
      </c>
      <c r="G15" s="2498" t="str">
        <f>G3</f>
        <v>估价对象位于XX开发区，园区建设成熟度XX，产业集聚程度XX</v>
      </c>
    </row>
    <row r="16" spans="1:29" ht="38.25">
      <c r="A16" s="2445"/>
      <c r="B16" s="2499" t="s">
        <v>2254</v>
      </c>
      <c r="C16" s="2500">
        <f>C4</f>
        <v>0</v>
      </c>
      <c r="D16" s="2464"/>
      <c r="E16" s="2446"/>
      <c r="F16" s="2501" t="s">
        <v>2255</v>
      </c>
      <c r="G16" s="2502" t="str">
        <f>G4</f>
        <v>估价对象周边道路状况、公共交通通达情况、停车便捷程度，综合评价交通便捷度较好</v>
      </c>
    </row>
    <row r="17" spans="1:18">
      <c r="A17" s="2445"/>
      <c r="B17" s="2499" t="s">
        <v>2257</v>
      </c>
      <c r="C17" s="2500">
        <f>C5</f>
        <v>0</v>
      </c>
      <c r="D17" s="2470"/>
      <c r="E17" s="2446"/>
      <c r="F17" s="2501" t="s">
        <v>2272</v>
      </c>
      <c r="G17" s="2503"/>
    </row>
    <row r="18" spans="1:18" ht="25.5">
      <c r="A18" s="2445"/>
      <c r="B18" s="2501" t="s">
        <v>2260</v>
      </c>
      <c r="C18" s="2502">
        <f>C6</f>
        <v>0</v>
      </c>
      <c r="D18" s="2470"/>
      <c r="E18" s="2446"/>
      <c r="F18" s="2501" t="s">
        <v>2263</v>
      </c>
      <c r="G18" s="2502" t="str">
        <f>G7</f>
        <v>该园区内是否有污染型企业，绿化情况，卫生条件，整体环境状况判断</v>
      </c>
    </row>
    <row r="19" spans="1:18" ht="25.5">
      <c r="A19" s="2445"/>
      <c r="B19" s="2501" t="s">
        <v>2273</v>
      </c>
      <c r="C19" s="2503"/>
      <c r="D19" s="2464"/>
      <c r="E19" s="2446"/>
      <c r="F19" s="323" t="s">
        <v>2258</v>
      </c>
      <c r="G19" s="2502" t="str">
        <f>G5</f>
        <v>估价对象所在区域公共配套设施齐备情况</v>
      </c>
    </row>
    <row r="20" spans="1:18">
      <c r="A20" s="2445"/>
      <c r="B20" s="2501" t="s">
        <v>2274</v>
      </c>
      <c r="C20" s="2500">
        <f>C9</f>
        <v>0</v>
      </c>
      <c r="D20" s="2470"/>
      <c r="E20" s="2446"/>
      <c r="F20" s="323" t="s">
        <v>2261</v>
      </c>
      <c r="G20" s="2502" t="str">
        <f>G6</f>
        <v>估价对象所在区域基础设施水平</v>
      </c>
    </row>
    <row r="21" spans="1:18">
      <c r="A21" s="2445"/>
      <c r="B21" s="323" t="s">
        <v>2258</v>
      </c>
      <c r="C21" s="2502">
        <f>C7</f>
        <v>0</v>
      </c>
      <c r="D21" s="2464"/>
      <c r="E21" s="2446"/>
      <c r="F21" s="2501" t="s">
        <v>2275</v>
      </c>
      <c r="G21" s="2504"/>
    </row>
    <row r="22" spans="1:18" ht="13.5" customHeight="1">
      <c r="A22" s="2445"/>
      <c r="B22" s="323" t="s">
        <v>2261</v>
      </c>
      <c r="C22" s="2502">
        <f>C8</f>
        <v>0</v>
      </c>
      <c r="D22" s="2464"/>
      <c r="E22" s="2446"/>
      <c r="F22" s="2501" t="s">
        <v>2266</v>
      </c>
      <c r="G22" s="2503"/>
    </row>
    <row r="23" spans="1:18" s="798" customFormat="1" ht="15" thickBot="1">
      <c r="A23" s="2445"/>
      <c r="B23" s="2501" t="s">
        <v>2275</v>
      </c>
      <c r="C23" s="2504"/>
      <c r="D23" s="1740"/>
      <c r="E23" s="2447"/>
      <c r="F23" s="2505" t="s">
        <v>2276</v>
      </c>
      <c r="G23" s="2506"/>
      <c r="H23" s="2490"/>
      <c r="I23" s="2491"/>
      <c r="J23" s="2490"/>
      <c r="K23" s="2490"/>
      <c r="L23" s="2491"/>
      <c r="M23" s="2490"/>
      <c r="N23" s="2490"/>
      <c r="O23" s="2491"/>
      <c r="P23" s="2490"/>
      <c r="Q23" s="2490"/>
      <c r="R23" s="2492"/>
    </row>
    <row r="24" spans="1:18" s="798" customFormat="1" ht="15" thickBot="1">
      <c r="A24" s="2448"/>
      <c r="B24" s="2505" t="s">
        <v>2277</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617</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45765</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1069</v>
      </c>
      <c r="C5" s="2511">
        <f ca="1">IF(B5=D14,结果表!H102,ROUND(B5*10000/$B$1,0))</f>
        <v>17318</v>
      </c>
      <c r="D5" s="2511" t="e">
        <f ca="1">ROUND(B5*10000/$B$2,0)</f>
        <v>#DIV/0!</v>
      </c>
      <c r="E5" s="2685"/>
      <c r="F5" s="2686"/>
      <c r="G5" s="2686"/>
      <c r="H5" s="2687"/>
      <c r="I5" s="2687"/>
      <c r="J5" s="2687"/>
      <c r="K5" s="2687"/>
    </row>
    <row r="6" spans="1:11" ht="16.5">
      <c r="A6" s="2511" t="s">
        <v>656</v>
      </c>
      <c r="B6" s="2511">
        <f ca="1">SUM(G14:G23)</f>
        <v>1069</v>
      </c>
      <c r="C6" s="2511">
        <f ca="1">IF(B6=G14,结果表!H108,ROUND(B6*10000/$B$1,0))</f>
        <v>17318</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3352</v>
      </c>
      <c r="D10" s="2511" t="s">
        <v>3353</v>
      </c>
      <c r="E10" s="3440"/>
      <c r="F10" s="3444" t="s">
        <v>3354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617</v>
      </c>
      <c r="C14" s="2517"/>
      <c r="D14" s="2517">
        <f ca="1">结果表!H118</f>
        <v>1069</v>
      </c>
      <c r="E14" s="2517">
        <f ca="1">ROUND(D14*10000/B14,0)</f>
        <v>17326</v>
      </c>
      <c r="F14" s="2517" t="e">
        <f ca="1">ROUND(D14*10000/C14,0)</f>
        <v>#DIV/0!</v>
      </c>
      <c r="G14" s="2517">
        <f ca="1">D14</f>
        <v>1069</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4" sqref="I24"/>
    </sheetView>
  </sheetViews>
  <sheetFormatPr defaultRowHeight="21.75" customHeight="1"/>
  <cols>
    <col min="1" max="2" width="9" style="1752"/>
    <col min="3" max="4" width="12.625" style="1752" customWidth="1"/>
    <col min="5" max="9" width="12.625" style="1752"/>
    <col min="10" max="11" width="12.625" style="724" customWidth="1"/>
    <col min="12" max="12" width="12.625" style="724"/>
    <col min="13" max="13" width="14.125" style="724" bestFit="1" customWidth="1"/>
    <col min="14" max="26" width="9" style="724"/>
    <col min="27" max="35" width="9" style="1751"/>
    <col min="36" max="16384" width="9"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99" t="str">
        <f>项目基本情况!S2</f>
        <v>北京市房地产</v>
      </c>
      <c r="B2" s="3600"/>
      <c r="C2" s="3600"/>
      <c r="D2" s="3600"/>
      <c r="E2" s="3600"/>
      <c r="F2" s="3600"/>
      <c r="G2" s="3600"/>
      <c r="H2" s="3600"/>
      <c r="I2" s="3601"/>
    </row>
    <row r="3" spans="1:12" ht="12.75">
      <c r="A3" s="3603" t="s">
        <v>1264</v>
      </c>
      <c r="B3" s="3604"/>
      <c r="C3" s="3604"/>
      <c r="D3" s="3604"/>
      <c r="E3" s="3604"/>
      <c r="F3" s="3604"/>
      <c r="G3" s="3604"/>
      <c r="H3" s="3604"/>
      <c r="I3" s="3604"/>
    </row>
    <row r="4" spans="1:12" ht="14.25">
      <c r="A4" s="1753" t="s">
        <v>1265</v>
      </c>
      <c r="B4" s="1754" t="s">
        <v>1266</v>
      </c>
      <c r="C4" s="1755" t="s">
        <v>3451</v>
      </c>
      <c r="D4" s="1755" t="s">
        <v>3416</v>
      </c>
      <c r="E4" s="3605" t="s">
        <v>1267</v>
      </c>
      <c r="F4" s="3606"/>
      <c r="G4" s="3606"/>
      <c r="H4" s="3606"/>
      <c r="I4" s="360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9" t="s">
        <v>1268</v>
      </c>
      <c r="B5" s="3566">
        <v>25</v>
      </c>
      <c r="C5" s="3582"/>
      <c r="D5" s="3602"/>
      <c r="E5" s="131" t="s">
        <v>1269</v>
      </c>
      <c r="F5" s="1756"/>
      <c r="G5" s="1756"/>
      <c r="H5" s="1756"/>
      <c r="I5" s="1372"/>
    </row>
    <row r="6" spans="1:12" ht="12.75">
      <c r="A6" s="3579"/>
      <c r="B6" s="3566"/>
      <c r="C6" s="3583"/>
      <c r="D6" s="3602"/>
      <c r="E6" s="131" t="s">
        <v>1270</v>
      </c>
      <c r="F6" s="1756"/>
      <c r="G6" s="1756"/>
      <c r="H6" s="1756"/>
      <c r="I6" s="1372"/>
    </row>
    <row r="7" spans="1:12" ht="12.75">
      <c r="A7" s="3579"/>
      <c r="B7" s="3566"/>
      <c r="C7" s="3584"/>
      <c r="D7" s="3602"/>
      <c r="E7" s="131" t="s">
        <v>1271</v>
      </c>
      <c r="F7" s="1756"/>
      <c r="G7" s="1756"/>
      <c r="H7" s="1756"/>
      <c r="I7" s="1372"/>
    </row>
    <row r="8" spans="1:12" ht="12.75">
      <c r="A8" s="3579" t="s">
        <v>1272</v>
      </c>
      <c r="B8" s="3566">
        <v>15</v>
      </c>
      <c r="C8" s="3582"/>
      <c r="D8" s="3602"/>
      <c r="E8" s="131" t="s">
        <v>1273</v>
      </c>
      <c r="F8" s="1756"/>
      <c r="G8" s="1756"/>
      <c r="H8" s="1756"/>
      <c r="I8" s="1372"/>
    </row>
    <row r="9" spans="1:12" ht="12.75">
      <c r="A9" s="3579"/>
      <c r="B9" s="3566"/>
      <c r="C9" s="3584"/>
      <c r="D9" s="3602"/>
      <c r="E9" s="131" t="s">
        <v>1274</v>
      </c>
      <c r="F9" s="1756"/>
      <c r="G9" s="1756"/>
      <c r="H9" s="1756"/>
      <c r="I9" s="1372"/>
    </row>
    <row r="10" spans="1:12" ht="12.75">
      <c r="A10" s="3579" t="s">
        <v>1275</v>
      </c>
      <c r="B10" s="3566">
        <v>15</v>
      </c>
      <c r="C10" s="3582"/>
      <c r="D10" s="3602"/>
      <c r="E10" s="131" t="s">
        <v>1276</v>
      </c>
      <c r="F10" s="1756"/>
      <c r="G10" s="1756"/>
      <c r="H10" s="1756"/>
      <c r="I10" s="1372"/>
    </row>
    <row r="11" spans="1:12" ht="12.75">
      <c r="A11" s="3579"/>
      <c r="B11" s="3566"/>
      <c r="C11" s="3584"/>
      <c r="D11" s="3602"/>
      <c r="E11" s="131" t="s">
        <v>1277</v>
      </c>
      <c r="F11" s="1756"/>
      <c r="G11" s="1756"/>
      <c r="H11" s="1756"/>
      <c r="I11" s="1372"/>
    </row>
    <row r="12" spans="1:12" ht="12.75">
      <c r="A12" s="3579" t="s">
        <v>1278</v>
      </c>
      <c r="B12" s="3566">
        <v>15</v>
      </c>
      <c r="C12" s="3582"/>
      <c r="D12" s="3602"/>
      <c r="E12" s="131" t="s">
        <v>1279</v>
      </c>
      <c r="F12" s="1756"/>
      <c r="G12" s="1756"/>
      <c r="H12" s="1756"/>
      <c r="I12" s="1372"/>
    </row>
    <row r="13" spans="1:12" ht="12.75">
      <c r="A13" s="3579"/>
      <c r="B13" s="3566"/>
      <c r="C13" s="3584"/>
      <c r="D13" s="3602"/>
      <c r="E13" s="131" t="s">
        <v>1280</v>
      </c>
      <c r="F13" s="1756"/>
      <c r="G13" s="1756"/>
      <c r="H13" s="1756"/>
      <c r="I13" s="1372"/>
    </row>
    <row r="14" spans="1:12" ht="12.75">
      <c r="A14" s="3579" t="s">
        <v>1281</v>
      </c>
      <c r="B14" s="3566">
        <v>30</v>
      </c>
      <c r="C14" s="3582">
        <v>6</v>
      </c>
      <c r="D14" s="3602">
        <v>4</v>
      </c>
      <c r="E14" s="131" t="s">
        <v>1282</v>
      </c>
      <c r="F14" s="1756"/>
      <c r="G14" s="1756"/>
      <c r="H14" s="1756"/>
      <c r="I14" s="1372"/>
    </row>
    <row r="15" spans="1:12" ht="12.75">
      <c r="A15" s="3579"/>
      <c r="B15" s="3566"/>
      <c r="C15" s="3583"/>
      <c r="D15" s="3602"/>
      <c r="E15" s="131" t="s">
        <v>1283</v>
      </c>
      <c r="F15" s="1756"/>
      <c r="G15" s="1756"/>
      <c r="H15" s="1756"/>
      <c r="I15" s="1372"/>
    </row>
    <row r="16" spans="1:12" ht="12.75">
      <c r="A16" s="3579"/>
      <c r="B16" s="3566"/>
      <c r="C16" s="3584"/>
      <c r="D16" s="3602"/>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89" t="s">
        <v>2131</v>
      </c>
      <c r="F18" s="3590"/>
      <c r="G18" s="3590"/>
      <c r="H18" s="3590"/>
      <c r="I18" s="3590"/>
      <c r="K18" s="302" t="s">
        <v>1289</v>
      </c>
      <c r="L18" s="302">
        <f>IF(C1="",'数据-汇总表'!E3,SUMIF(项目类型,C1,'数据-汇总表'!E17:E26)+SUMIF(项目类型,C1,'数据-汇总表'!I17:I26))</f>
        <v>617</v>
      </c>
      <c r="M18" s="302">
        <f>IF(C1="",'数据-汇总表'!E3,SUMIF(项目类型,C1,'数据-汇总表'!E17:E26))</f>
        <v>617</v>
      </c>
    </row>
    <row r="19" spans="1:36" ht="15">
      <c r="A19" s="1760" t="s">
        <v>1290</v>
      </c>
      <c r="B19" s="1761" t="s">
        <v>1291</v>
      </c>
      <c r="C19" s="134">
        <f ca="1">SUMIF(INDIRECT("'"&amp;C4&amp;"'"&amp;"!A:A"),结果表!B19,INDIRECT("'"&amp;C4&amp;"'"&amp;"!B:B"))</f>
        <v>1232.7660000000001</v>
      </c>
      <c r="D19" s="135">
        <f ca="1">SUMIF(INDIRECT("'"&amp;D4&amp;"'"&amp;"!A:A"),结果表!B19,INDIRECT("'"&amp;D4&amp;"'"&amp;"!B:B"))</f>
        <v>822.14689999999996</v>
      </c>
      <c r="E19" s="1760" t="s">
        <v>1292</v>
      </c>
      <c r="F19" s="1761" t="s">
        <v>1291</v>
      </c>
      <c r="G19" s="136">
        <f ca="1">ROUND(C19*$C$18+D19*$D$18,0)</f>
        <v>1069</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19980</v>
      </c>
      <c r="D20" s="138">
        <f ca="1">SUMIF(INDIRECT("'"&amp;D4&amp;"'"&amp;"!A:A"),结果表!B20,INDIRECT("'"&amp;D4&amp;"'"&amp;"!B:B"))</f>
        <v>13325</v>
      </c>
      <c r="E20" s="1763"/>
      <c r="F20" s="1025" t="s">
        <v>1295</v>
      </c>
      <c r="G20" s="139">
        <f ca="1">ROUND(C20*$C$18+D20*$D$18,0)</f>
        <v>17318</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0.49944736153599822</v>
      </c>
      <c r="E22" s="129"/>
      <c r="F22" s="129"/>
      <c r="G22" s="129"/>
      <c r="H22" s="129"/>
      <c r="I22" s="129"/>
    </row>
    <row r="23" spans="1:36" ht="13.5" thickBot="1">
      <c r="A23" s="1746"/>
      <c r="B23" s="1746"/>
      <c r="C23" s="1746"/>
      <c r="D23" s="1746"/>
      <c r="E23" s="129"/>
      <c r="F23" s="3472" t="s">
        <v>3465</v>
      </c>
      <c r="G23" s="129">
        <v>750</v>
      </c>
      <c r="H23" s="3472" t="s">
        <v>3466</v>
      </c>
      <c r="I23" s="129"/>
    </row>
    <row r="24" spans="1:36" ht="14.25">
      <c r="A24" s="3573" t="s">
        <v>1299</v>
      </c>
      <c r="B24" s="1761" t="s">
        <v>1291</v>
      </c>
      <c r="C24" s="136">
        <f>IF(B30=0,0,D30)</f>
        <v>0</v>
      </c>
      <c r="D24" s="1768"/>
      <c r="E24" s="129"/>
      <c r="F24" s="3472" t="s">
        <v>3467</v>
      </c>
      <c r="G24" s="3473">
        <v>0.7</v>
      </c>
      <c r="H24" s="129"/>
      <c r="I24" s="129"/>
    </row>
    <row r="25" spans="1:36" ht="14.25">
      <c r="A25" s="3574"/>
      <c r="B25" s="1025" t="s">
        <v>1295</v>
      </c>
      <c r="C25" s="141">
        <f>IF(B30=0,0,C30)</f>
        <v>0</v>
      </c>
      <c r="D25" s="1769"/>
      <c r="E25" s="129"/>
      <c r="F25" s="3472" t="s">
        <v>3468</v>
      </c>
      <c r="G25" s="3474">
        <f>ROUND(G23/G24,4)</f>
        <v>1071.4286</v>
      </c>
      <c r="H25" s="129"/>
      <c r="I25" s="129"/>
    </row>
    <row r="26" spans="1:36" ht="13.5" customHeight="1">
      <c r="A26" s="1770" t="s">
        <v>1300</v>
      </c>
      <c r="B26" s="142" t="s">
        <v>1301</v>
      </c>
      <c r="C26" s="142" t="s">
        <v>1302</v>
      </c>
      <c r="D26" s="143" t="s">
        <v>1303</v>
      </c>
      <c r="E26" s="129"/>
      <c r="F26" s="129"/>
      <c r="G26" s="3475">
        <f>G25/L18*10000</f>
        <v>17365.131280388978</v>
      </c>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17318</v>
      </c>
      <c r="D32" s="1774" t="s">
        <v>3452</v>
      </c>
      <c r="E32" s="129"/>
      <c r="F32" s="129"/>
      <c r="G32" s="129"/>
      <c r="H32" s="129"/>
      <c r="I32" s="129"/>
    </row>
    <row r="33" spans="1:15" ht="15">
      <c r="A33" s="785" t="s">
        <v>1306</v>
      </c>
      <c r="B33" s="1775"/>
      <c r="C33" s="1776" t="s">
        <v>3453</v>
      </c>
      <c r="D33" s="1777" t="s">
        <v>3416</v>
      </c>
      <c r="E33" s="1778" t="s">
        <v>1307</v>
      </c>
      <c r="F33" s="1779" t="str">
        <f>IF(D32="楼面单价","取值（单价）","取值（总价）")</f>
        <v>取值（单价）</v>
      </c>
      <c r="G33" s="129"/>
      <c r="H33" s="129"/>
      <c r="I33" s="129"/>
    </row>
    <row r="34" spans="1:15" ht="15">
      <c r="A34" s="1780"/>
      <c r="B34" s="1781" t="s">
        <v>1308</v>
      </c>
      <c r="C34" s="148">
        <f ca="1">IF(C33="自定义",F34,C32-C35)</f>
        <v>12521</v>
      </c>
      <c r="D34" s="860">
        <f ca="1">IF(C33="自定义",ROUND(C34/C32,3),IF(C33="收益比率",SUMIF(INDIRECT("'"&amp;D33&amp;"'"&amp;"!b:b"),"土地收益比率",INDIRECT("'"&amp;D33&amp;"'"&amp;"!c:c")),SUMIF(INDIRECT("'"&amp;D33&amp;"'"&amp;"!b:b"),"土地成本比率",INDIRECT("'"&amp;D33&amp;"'"&amp;"!c:c"))))</f>
        <v>0.72299999999999998</v>
      </c>
      <c r="E34" s="1782" t="s">
        <v>1309</v>
      </c>
      <c r="F34" s="1329"/>
      <c r="G34" s="129"/>
      <c r="H34" s="129"/>
      <c r="I34" s="129"/>
    </row>
    <row r="35" spans="1:15" ht="15.75" thickBot="1">
      <c r="A35" s="1783"/>
      <c r="B35" s="1784" t="s">
        <v>1310</v>
      </c>
      <c r="C35" s="1169">
        <f ca="1">IF(C33="自定义",F35,ROUND(C32*D35,0))</f>
        <v>4797</v>
      </c>
      <c r="D35" s="1170">
        <f ca="1">IF(C33="自定义",ROUND(C35/C32,3),IF(C33="收益比率",SUMIF(INDIRECT("'"&amp;D33&amp;"'"&amp;"!b:b"),"建筑物收益比率",INDIRECT("'"&amp;D33&amp;"'"&amp;"!c:c")),SUMIF(INDIRECT("'"&amp;D33&amp;"'"&amp;"!b:b"),"建筑物成本比率",INDIRECT("'"&amp;D33&amp;"'"&amp;"!c:c"))))</f>
        <v>0.27700000000000002</v>
      </c>
      <c r="E35" s="1785" t="s">
        <v>1311</v>
      </c>
      <c r="F35" s="154"/>
      <c r="G35" s="129"/>
      <c r="H35" s="129"/>
      <c r="I35" s="129"/>
    </row>
    <row r="36" spans="1:15" ht="15.75" thickBot="1">
      <c r="A36" s="3593" t="s">
        <v>1312</v>
      </c>
      <c r="B36" s="1786" t="s">
        <v>1313</v>
      </c>
      <c r="C36" s="145"/>
      <c r="D36" s="1787"/>
      <c r="E36" s="1788"/>
      <c r="F36" s="1789"/>
      <c r="G36" s="129"/>
      <c r="H36" s="129"/>
      <c r="I36" s="129"/>
    </row>
    <row r="37" spans="1:15" ht="15.75" thickBot="1">
      <c r="A37" s="3594"/>
      <c r="B37" s="1673" t="s">
        <v>1314</v>
      </c>
      <c r="C37" s="147"/>
      <c r="D37" s="1138"/>
      <c r="E37" s="1138"/>
      <c r="F37" s="1789"/>
      <c r="G37" s="129"/>
      <c r="H37" s="129"/>
      <c r="I37" s="129"/>
    </row>
    <row r="38" spans="1:15" ht="15.75" thickBot="1">
      <c r="A38" s="3595"/>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70" t="s">
        <v>1326</v>
      </c>
      <c r="B45" s="3571"/>
      <c r="C45" s="3572"/>
      <c r="D45" s="155">
        <f ca="1">ROUND(H101*F45,0)</f>
        <v>1069</v>
      </c>
      <c r="E45" s="156" t="s">
        <v>1327</v>
      </c>
      <c r="F45" s="157">
        <v>1</v>
      </c>
      <c r="G45" s="158" t="s">
        <v>1328</v>
      </c>
      <c r="H45" s="129"/>
      <c r="I45" s="129"/>
      <c r="J45" s="3648" t="s">
        <v>1329</v>
      </c>
      <c r="K45" s="3648"/>
      <c r="L45" s="3648"/>
      <c r="M45" s="3648"/>
      <c r="N45" s="3648"/>
      <c r="O45" s="3648"/>
    </row>
    <row r="46" spans="1:15" ht="14.25" customHeight="1">
      <c r="A46" s="3567" t="s">
        <v>1330</v>
      </c>
      <c r="B46" s="3568"/>
      <c r="C46" s="3568"/>
      <c r="D46" s="3568"/>
      <c r="E46" s="3568"/>
      <c r="F46" s="3568"/>
      <c r="G46" s="3569"/>
      <c r="H46" s="1805"/>
      <c r="I46" s="159"/>
      <c r="J46" s="2522">
        <v>1</v>
      </c>
      <c r="K46" s="3629" t="s">
        <v>1331</v>
      </c>
      <c r="L46" s="3629"/>
      <c r="M46" s="3649"/>
      <c r="N46" s="3649"/>
      <c r="O46" s="3649"/>
    </row>
    <row r="47" spans="1:15" ht="12" customHeight="1">
      <c r="A47" s="160" t="s">
        <v>1332</v>
      </c>
      <c r="B47" s="161"/>
      <c r="C47" s="162"/>
      <c r="D47" s="1086" t="s">
        <v>1333</v>
      </c>
      <c r="E47" s="302" t="s">
        <v>1334</v>
      </c>
      <c r="F47" s="163" t="s">
        <v>1335</v>
      </c>
      <c r="G47" s="2545" t="s">
        <v>1336</v>
      </c>
      <c r="H47" s="2546"/>
      <c r="I47" s="159"/>
      <c r="J47" s="2522">
        <v>2</v>
      </c>
      <c r="K47" s="3629" t="s">
        <v>1337</v>
      </c>
      <c r="L47" s="3629"/>
      <c r="M47" s="3650">
        <f>'数据-取费表'!B2</f>
        <v>45765</v>
      </c>
      <c r="N47" s="3650"/>
      <c r="O47" s="3650"/>
    </row>
    <row r="48" spans="1:15" ht="25.5">
      <c r="A48" s="3598" t="s">
        <v>1338</v>
      </c>
      <c r="B48" s="3581"/>
      <c r="C48" s="3581"/>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29" t="s">
        <v>1340</v>
      </c>
      <c r="L48" s="3629"/>
      <c r="M48" s="3651">
        <f ca="1">H101</f>
        <v>1069</v>
      </c>
      <c r="N48" s="3651"/>
      <c r="O48" s="3651"/>
    </row>
    <row r="49" spans="1:35" ht="25.5" customHeight="1">
      <c r="A49" s="2332" t="s">
        <v>1341</v>
      </c>
      <c r="B49" s="3565" t="s">
        <v>1342</v>
      </c>
      <c r="C49" s="3565"/>
      <c r="D49" s="1589">
        <v>0</v>
      </c>
      <c r="E49" s="324" t="s">
        <v>1343</v>
      </c>
      <c r="F49" s="2423" t="s">
        <v>28</v>
      </c>
      <c r="G49" s="3635"/>
      <c r="H49" s="2309" t="s">
        <v>2134</v>
      </c>
      <c r="I49" s="2310"/>
      <c r="J49" s="2522">
        <v>4</v>
      </c>
      <c r="K49" s="3629" t="str">
        <f>IF(项目基本情况!E8="房地产抵押价值","房地产抵押价值","抵押担保权已注销时的房地产抵押价值")</f>
        <v>房地产抵押价值</v>
      </c>
      <c r="L49" s="3629"/>
      <c r="M49" s="3651">
        <f ca="1">IF(项目基本情况!E8="房地产抵押价值",H107,H109)</f>
        <v>1069</v>
      </c>
      <c r="N49" s="3651"/>
      <c r="O49" s="3651"/>
    </row>
    <row r="50" spans="1:35" ht="25.5" customHeight="1">
      <c r="A50" s="2550"/>
      <c r="B50" s="3565" t="s">
        <v>1344</v>
      </c>
      <c r="C50" s="3565"/>
      <c r="D50" s="2551"/>
      <c r="E50" s="332"/>
      <c r="F50" s="2423"/>
      <c r="G50" s="3636"/>
      <c r="H50" s="2311" t="s">
        <v>2135</v>
      </c>
      <c r="I50" s="2310"/>
      <c r="J50" s="3648" t="s">
        <v>1345</v>
      </c>
      <c r="K50" s="3648"/>
      <c r="L50" s="3648"/>
      <c r="M50" s="3648"/>
      <c r="N50" s="3648"/>
      <c r="O50" s="3648"/>
    </row>
    <row r="51" spans="1:35" ht="20.45" customHeight="1">
      <c r="A51" s="2552"/>
      <c r="B51" s="3565" t="s">
        <v>1346</v>
      </c>
      <c r="C51" s="3565"/>
      <c r="D51" s="1086"/>
      <c r="E51" s="327"/>
      <c r="F51" s="2423"/>
      <c r="G51" s="3637"/>
      <c r="H51" s="2311" t="s">
        <v>2136</v>
      </c>
      <c r="I51" s="2310"/>
      <c r="J51" s="2523" t="s">
        <v>1347</v>
      </c>
      <c r="K51" s="3629" t="s">
        <v>1348</v>
      </c>
      <c r="L51" s="3629"/>
      <c r="M51" s="2523" t="s">
        <v>1349</v>
      </c>
      <c r="N51" s="2523" t="s">
        <v>1350</v>
      </c>
      <c r="O51" s="2523" t="s">
        <v>1351</v>
      </c>
    </row>
    <row r="52" spans="1:35" ht="24" customHeight="1">
      <c r="A52" s="2334" t="s">
        <v>1352</v>
      </c>
      <c r="B52" s="3565" t="s">
        <v>1353</v>
      </c>
      <c r="C52" s="3565"/>
      <c r="D52" s="1086">
        <f ca="1">ROUND(D45*'数据-取费表'!B41/(1+'数据-取费表'!C42),0)</f>
        <v>57</v>
      </c>
      <c r="E52" s="2333" t="s">
        <v>1354</v>
      </c>
      <c r="F52" s="2553">
        <f>'数据-取费表'!B41</f>
        <v>5.6000000000000001E-2</v>
      </c>
      <c r="G52" s="2554"/>
      <c r="H52" s="2543"/>
      <c r="I52" s="1806"/>
      <c r="J52" s="2522">
        <v>1</v>
      </c>
      <c r="K52" s="3630" t="s">
        <v>1355</v>
      </c>
      <c r="L52" s="3630"/>
      <c r="M52" s="2524" t="b">
        <f>D48</f>
        <v>0</v>
      </c>
      <c r="N52" s="2522" t="str">
        <f>E48</f>
        <v>销售额×税（费）率</v>
      </c>
      <c r="O52" s="2525">
        <f>F48</f>
        <v>5.6000000000000001E-2</v>
      </c>
    </row>
    <row r="53" spans="1:35" ht="12" customHeight="1">
      <c r="A53" s="2334" t="s">
        <v>1356</v>
      </c>
      <c r="B53" s="3591" t="s">
        <v>2287</v>
      </c>
      <c r="C53" s="3592"/>
      <c r="D53" s="1086">
        <f ca="1">ROUND(D45*'数据-取费表'!B41/(1+'数据-取费表'!C42),0)</f>
        <v>57</v>
      </c>
      <c r="E53" s="2333" t="s">
        <v>1354</v>
      </c>
      <c r="F53" s="2553">
        <f>'数据-取费表'!B41</f>
        <v>5.6000000000000001E-2</v>
      </c>
      <c r="G53" s="2554"/>
      <c r="H53" s="2543"/>
      <c r="I53" s="1806"/>
      <c r="J53" s="2522">
        <v>2</v>
      </c>
      <c r="K53" s="3630" t="s">
        <v>1357</v>
      </c>
      <c r="L53" s="3630"/>
      <c r="M53" s="2524">
        <f t="shared" ref="M53:O54" ca="1" si="0">D55</f>
        <v>1</v>
      </c>
      <c r="N53" s="2522" t="str">
        <f t="shared" si="0"/>
        <v>销售额×税（费）率</v>
      </c>
      <c r="O53" s="2525" t="str">
        <f t="shared" si="0"/>
        <v>免征</v>
      </c>
    </row>
    <row r="54" spans="1:35" ht="12" customHeight="1">
      <c r="A54" s="2334" t="s">
        <v>1358</v>
      </c>
      <c r="B54" s="3591" t="s">
        <v>2288</v>
      </c>
      <c r="C54" s="3592"/>
      <c r="D54" s="1086">
        <f ca="1">C68</f>
        <v>57</v>
      </c>
      <c r="E54" s="327" t="s">
        <v>1359</v>
      </c>
      <c r="F54" s="2553">
        <f>'数据-取费表'!B41</f>
        <v>5.6000000000000001E-2</v>
      </c>
      <c r="G54" s="2554"/>
      <c r="H54" s="2555"/>
      <c r="I54" s="1806"/>
      <c r="J54" s="2522">
        <v>3</v>
      </c>
      <c r="K54" s="3630" t="s">
        <v>1360</v>
      </c>
      <c r="L54" s="3630"/>
      <c r="M54" s="2524">
        <f t="shared" ca="1" si="0"/>
        <v>605</v>
      </c>
      <c r="N54" s="2522" t="str">
        <f t="shared" si="0"/>
        <v>增值额×税（费）率</v>
      </c>
      <c r="O54" s="2526" t="str">
        <f t="shared" si="0"/>
        <v>免征</v>
      </c>
    </row>
    <row r="55" spans="1:35" ht="24" customHeight="1">
      <c r="A55" s="3580" t="s">
        <v>1361</v>
      </c>
      <c r="B55" s="3581"/>
      <c r="C55" s="3581"/>
      <c r="D55" s="2323">
        <f ca="1">IF(H55="个人住宅",0,ROUND(D45*I55,0))</f>
        <v>1</v>
      </c>
      <c r="E55" s="2333" t="s">
        <v>1362</v>
      </c>
      <c r="F55" s="2553" t="str">
        <f>IF(H55="正常",I55,"免征")</f>
        <v>免征</v>
      </c>
      <c r="G55" s="2554"/>
      <c r="H55" s="2549"/>
      <c r="I55" s="165">
        <f>'数据-取费表'!B49</f>
        <v>5.0000000000000001E-4</v>
      </c>
      <c r="J55" s="2522">
        <f>IF(H59="非个人房产","",4)</f>
        <v>4</v>
      </c>
      <c r="K55" s="3630" t="str">
        <f>IF(H59="非个人房产","——","个人所得税")</f>
        <v>个人所得税</v>
      </c>
      <c r="L55" s="3630"/>
      <c r="M55" s="2527">
        <f ca="1">D59</f>
        <v>10</v>
      </c>
      <c r="N55" s="2039" t="str">
        <f>E59</f>
        <v>差额计税</v>
      </c>
      <c r="O55" s="2528">
        <f>F59</f>
        <v>0.01</v>
      </c>
    </row>
    <row r="56" spans="1:35" ht="24.75">
      <c r="A56" s="3580" t="s">
        <v>1363</v>
      </c>
      <c r="B56" s="3581"/>
      <c r="C56" s="3581"/>
      <c r="D56" s="2323">
        <f ca="1">IF(H56="个人住宅",D57,D58)</f>
        <v>605</v>
      </c>
      <c r="E56" s="2333" t="s">
        <v>1364</v>
      </c>
      <c r="F56" s="2553" t="str">
        <f>IF(H56="正常",F58,"免征")</f>
        <v>免征</v>
      </c>
      <c r="G56" s="2556" t="s">
        <v>1365</v>
      </c>
      <c r="H56" s="2557"/>
      <c r="I56" s="1807"/>
      <c r="J56" s="2522" t="str">
        <f>IF(项目基本情况!K6="上海银行",IF(J55="",4,J55+1),"")</f>
        <v/>
      </c>
      <c r="K56" s="3653" t="str">
        <f>IF(项目基本情况!K6="上海银行","其他处置费用","")</f>
        <v/>
      </c>
      <c r="L56" s="3654"/>
      <c r="M56" s="2524" t="str">
        <f>IF(项目基本情况!K6="上海银行",M69,"")</f>
        <v/>
      </c>
      <c r="N56" s="3653" t="str">
        <f>IF(项目基本情况!K6="上海银行","包含处置中涉及的律师、诉讼、拍卖、评估等费用","")</f>
        <v/>
      </c>
      <c r="O56" s="3656"/>
    </row>
    <row r="57" spans="1:35" ht="12.75">
      <c r="A57" s="2334" t="s">
        <v>1341</v>
      </c>
      <c r="B57" s="3591" t="s">
        <v>1366</v>
      </c>
      <c r="C57" s="3592"/>
      <c r="D57" s="1589">
        <v>0</v>
      </c>
      <c r="E57" s="324" t="s">
        <v>1343</v>
      </c>
      <c r="F57" s="302"/>
      <c r="G57" s="2554"/>
      <c r="H57" s="2558"/>
      <c r="I57" s="1807"/>
      <c r="J57" s="3630">
        <f>IF(AND(J55="",J56=""),4,IF(项目基本情况!K6="上海银行",结果表!J56+1,结果表!J55+1))</f>
        <v>5</v>
      </c>
      <c r="K57" s="3630" t="s">
        <v>1367</v>
      </c>
      <c r="L57" s="2529" t="s">
        <v>1368</v>
      </c>
      <c r="M57" s="2530"/>
      <c r="N57" s="2531">
        <f ca="1">SUMIF(M52:M56,"&lt;9e307")</f>
        <v>616</v>
      </c>
      <c r="O57" s="2532"/>
      <c r="P57" s="2689">
        <f ca="1">N57/M49</f>
        <v>0.57623947614593074</v>
      </c>
    </row>
    <row r="58" spans="1:35" ht="24.75">
      <c r="A58" s="2334" t="s">
        <v>1352</v>
      </c>
      <c r="B58" s="3591" t="s">
        <v>1369</v>
      </c>
      <c r="C58" s="3565"/>
      <c r="D58" s="2323">
        <f ca="1">IF(H58="转让取得",C81,C97)</f>
        <v>605</v>
      </c>
      <c r="E58" s="2333" t="s">
        <v>1364</v>
      </c>
      <c r="F58" s="302" t="s">
        <v>28</v>
      </c>
      <c r="G58" s="2554"/>
      <c r="H58" s="2557"/>
      <c r="I58" s="1807"/>
      <c r="J58" s="3630"/>
      <c r="K58" s="3630"/>
      <c r="L58" s="2529" t="s">
        <v>1370</v>
      </c>
      <c r="M58" s="2533"/>
      <c r="N58" s="2534" t="str">
        <f ca="1">NUMBERSTRING(INT(N57*10000),2)&amp;"元整"</f>
        <v>陆佰壹拾陆万元整</v>
      </c>
      <c r="O58" s="2535"/>
    </row>
    <row r="59" spans="1:35" ht="24.75" thickBot="1">
      <c r="A59" s="3633" t="s">
        <v>1371</v>
      </c>
      <c r="B59" s="3634"/>
      <c r="C59" s="3634"/>
      <c r="D59" s="2559">
        <f ca="1">IF(H59="非个人房产","——",IF(H59="个人住宅（满五唯一有凭证）",0,IF(H59="个人其他（无凭证）",ROUND(D45*F59,0),ROUND(C67*F59,0))))</f>
        <v>10</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31">
        <f>J57+1</f>
        <v>6</v>
      </c>
      <c r="K59" s="3630" t="s">
        <v>1372</v>
      </c>
      <c r="L59" s="2522" t="s">
        <v>1368</v>
      </c>
      <c r="M59" s="2536"/>
      <c r="N59" s="2537">
        <f ca="1">M49-N57</f>
        <v>453</v>
      </c>
      <c r="O59" s="2538"/>
    </row>
    <row r="60" spans="1:35" ht="12" customHeight="1">
      <c r="A60" s="1808"/>
      <c r="B60" s="1746"/>
      <c r="C60" s="1746"/>
      <c r="D60" s="1746"/>
      <c r="E60" s="1577"/>
      <c r="F60" s="1807"/>
      <c r="G60" s="1807"/>
      <c r="H60" s="1809"/>
      <c r="I60" s="129"/>
      <c r="J60" s="3632"/>
      <c r="K60" s="3630"/>
      <c r="L60" s="2529" t="s">
        <v>1370</v>
      </c>
      <c r="M60" s="2533"/>
      <c r="N60" s="2534" t="str">
        <f ca="1">NUMBERSTRING(INT(N59*10000),2)&amp;"元整"</f>
        <v>肆佰伍拾叁万元整</v>
      </c>
      <c r="O60" s="2535"/>
    </row>
    <row r="61" spans="1:35" ht="13.5" thickBot="1">
      <c r="A61" s="3578" t="s">
        <v>1373</v>
      </c>
      <c r="B61" s="3578"/>
      <c r="C61" s="3578"/>
      <c r="D61" s="3578"/>
      <c r="E61" s="3578"/>
      <c r="F61" s="1807"/>
      <c r="G61" s="1807"/>
      <c r="H61" s="1809"/>
      <c r="I61" s="129"/>
      <c r="J61" s="2522">
        <f>J59+1</f>
        <v>7</v>
      </c>
      <c r="K61" s="3630" t="s">
        <v>1374</v>
      </c>
      <c r="L61" s="3630"/>
      <c r="M61" s="2539"/>
      <c r="N61" s="2540">
        <f ca="1">ROUND(N59*10000/'数据-汇总表'!E3,0)</f>
        <v>7342</v>
      </c>
      <c r="O61" s="2541"/>
    </row>
    <row r="62" spans="1:35" ht="12.75">
      <c r="A62" s="3596" t="s">
        <v>1375</v>
      </c>
      <c r="B62" s="3597"/>
      <c r="C62" s="2020"/>
      <c r="D62" s="2020" t="s">
        <v>1376</v>
      </c>
      <c r="E62" s="166" t="s">
        <v>1377</v>
      </c>
      <c r="F62" s="1807"/>
      <c r="G62" s="1807"/>
      <c r="H62" s="1809"/>
      <c r="I62" s="129"/>
    </row>
    <row r="63" spans="1:35" ht="12.75">
      <c r="A63" s="173" t="s">
        <v>330</v>
      </c>
      <c r="B63" s="167" t="s">
        <v>1378</v>
      </c>
      <c r="C63" s="2563">
        <f ca="1">ROUND((C64+C65)/(1+'数据-取费表'!C42),0)</f>
        <v>1018</v>
      </c>
      <c r="D63" s="167"/>
      <c r="E63" s="168"/>
      <c r="F63" s="1807"/>
      <c r="G63" s="1807"/>
      <c r="H63" s="1809"/>
      <c r="I63" s="129"/>
      <c r="J63" s="3655" t="s">
        <v>1379</v>
      </c>
      <c r="K63" s="1331" t="s">
        <v>1380</v>
      </c>
      <c r="L63" s="1331">
        <f ca="1">IF(M49&gt;10000,M49*0.5%,IF(AND(M49&gt;1000,M49&lt;=10000),M49*1%,IF(AND(M49&gt;100,M49&lt;=1000),M49*3%,IF(AND(M49&gt;10,M49&lt;=100),M49*5%,M49*8%))))</f>
        <v>10.69</v>
      </c>
      <c r="M63" s="302">
        <f ca="1">ROUND(L63,1)</f>
        <v>10.7</v>
      </c>
      <c r="N63" s="2542"/>
      <c r="Z63" s="1751"/>
      <c r="AI63" s="1752"/>
    </row>
    <row r="64" spans="1:35" ht="14.25" customHeight="1">
      <c r="A64" s="169" t="s">
        <v>325</v>
      </c>
      <c r="B64" s="170" t="s">
        <v>1381</v>
      </c>
      <c r="C64" s="2564">
        <f ca="1">D45</f>
        <v>1069</v>
      </c>
      <c r="D64" s="170" t="s">
        <v>26</v>
      </c>
      <c r="E64" s="172"/>
      <c r="F64" s="1807"/>
      <c r="G64" s="1807"/>
      <c r="H64" s="1809"/>
      <c r="I64" s="129"/>
      <c r="J64" s="3655"/>
      <c r="K64" s="1331" t="s">
        <v>1382</v>
      </c>
      <c r="L64" s="1331">
        <f ca="1">IF(M49&gt;2000,M49*0.5%,IF(AND(M49&gt;1000,M49&lt;=2000),M49*0.6%,IF(AND(M49&gt;500,M49&lt;=1000),M49*0.7%,IF(AND(M49&gt;200,M49&lt;=500),M49*0.8%,IF(AND(M49&gt;100,M49&lt;=200),M49*0.9%,IF(AND(M49&gt;50,M49&lt;=100),M49*1%,IF(AND(M49&gt;20,M49&lt;=50),M49*1.5%,IF(AND(M49&gt;10,M49&lt;=20),M49*2%,IF(AND(M49&gt;1,M49&lt;=10),M49*2.5%)))))))))</f>
        <v>6.4139999999999997</v>
      </c>
      <c r="M64" s="302">
        <f t="shared" ref="M64:M65" ca="1" si="1">ROUND(L64,1)</f>
        <v>6.4</v>
      </c>
      <c r="N64" s="2543" t="s">
        <v>1383</v>
      </c>
      <c r="Z64" s="1751"/>
      <c r="AI64" s="1752"/>
    </row>
    <row r="65" spans="1:35" ht="14.25" customHeight="1">
      <c r="A65" s="169" t="s">
        <v>326</v>
      </c>
      <c r="B65" s="170" t="s">
        <v>1384</v>
      </c>
      <c r="C65" s="2565"/>
      <c r="D65" s="170"/>
      <c r="E65" s="172"/>
      <c r="F65" s="1807"/>
      <c r="G65" s="1807"/>
      <c r="H65" s="1809"/>
      <c r="I65" s="129"/>
      <c r="J65" s="3655"/>
      <c r="K65" s="1331" t="s">
        <v>1385</v>
      </c>
      <c r="L65" s="1331">
        <f ca="1">IF(M49&gt;1000,M49*0.1%,IF(AND(M49&gt;500,M49&lt;=1000),M49*0.5%,IF(AND(M49&gt;50,M49&lt;=500),M49*1%,IF(AND(M49&gt;1,M49&lt;=50),M49*1.5%))))</f>
        <v>1.069</v>
      </c>
      <c r="M65" s="302">
        <f t="shared" ca="1" si="1"/>
        <v>1.1000000000000001</v>
      </c>
      <c r="N65" s="2543" t="s">
        <v>1383</v>
      </c>
      <c r="Z65" s="1751"/>
      <c r="AI65" s="1752"/>
    </row>
    <row r="66" spans="1:35" ht="14.25" customHeight="1">
      <c r="A66" s="173" t="s">
        <v>327</v>
      </c>
      <c r="B66" s="174" t="s">
        <v>1386</v>
      </c>
      <c r="C66" s="2566"/>
      <c r="D66" s="174" t="s">
        <v>26</v>
      </c>
      <c r="E66" s="1337" t="s">
        <v>671</v>
      </c>
      <c r="F66" s="1807"/>
      <c r="G66" s="1807"/>
      <c r="H66" s="1809"/>
      <c r="I66" s="129"/>
      <c r="J66" s="3655"/>
      <c r="K66" s="1331" t="s">
        <v>1387</v>
      </c>
      <c r="L66" s="1331">
        <f ca="1">M49*0.5%</f>
        <v>5.3449999999999998</v>
      </c>
      <c r="M66" s="302">
        <f ca="1">IF(L66&gt;0.5,0.5,ROUND(L66,0))</f>
        <v>0.5</v>
      </c>
      <c r="N66" s="2543" t="s">
        <v>1388</v>
      </c>
      <c r="Z66" s="1751"/>
      <c r="AI66" s="1752"/>
    </row>
    <row r="67" spans="1:35" ht="14.25" customHeight="1">
      <c r="A67" s="173" t="s">
        <v>328</v>
      </c>
      <c r="B67" s="174" t="s">
        <v>1389</v>
      </c>
      <c r="C67" s="2567">
        <f ca="1">C63-C66</f>
        <v>1018</v>
      </c>
      <c r="D67" s="170" t="s">
        <v>26</v>
      </c>
      <c r="E67" s="172"/>
      <c r="F67" s="1807"/>
      <c r="G67" s="1807"/>
      <c r="H67" s="1809"/>
      <c r="I67" s="129"/>
      <c r="J67" s="3655"/>
      <c r="K67" s="1331" t="s">
        <v>1390</v>
      </c>
      <c r="L67" s="1331">
        <f ca="1">IF(M49&gt;=10000,(8.25+(M49-10000)*0.01%),IF(AND(M49&gt;=8000,M49&lt;10000),(7.85+(M49-8000)*0.02%),IF(AND(M49&gt;=5000,M49&lt;8000),(6.65+(M49-5000)*0.04%),IF(AND(M49&gt;=2000,M49&lt;5000),(4.25+(PM49-2000)*0.08%),IF(AND(M49&gt;=1000,M49&lt;2000),(2.75+(M49-1000)*0.15%),IF(AND(M49&gt;=100,M49&lt;1000),(0.5+(M49-100)*0.25%),IF(AND(M49&gt;0,M49&lt;100),M49*0.5%)))))))</f>
        <v>2.8534999999999999</v>
      </c>
      <c r="M67" s="302">
        <f ca="1">ROUND(L67*0.9,1)</f>
        <v>2.6</v>
      </c>
      <c r="N67" s="2542"/>
      <c r="Z67" s="1751"/>
      <c r="AI67" s="1752"/>
    </row>
    <row r="68" spans="1:35" ht="14.25" customHeight="1" thickBot="1">
      <c r="A68" s="176" t="s">
        <v>329</v>
      </c>
      <c r="B68" s="177" t="s">
        <v>1391</v>
      </c>
      <c r="C68" s="2568">
        <f ca="1">IF(C67&lt;=0,0,ROUND(C67*D68,0))</f>
        <v>57</v>
      </c>
      <c r="D68" s="2569">
        <f>'数据-取费表'!B41</f>
        <v>5.6000000000000001E-2</v>
      </c>
      <c r="E68" s="178"/>
      <c r="F68" s="1807"/>
      <c r="G68" s="1807"/>
      <c r="H68" s="1809"/>
      <c r="I68" s="129"/>
      <c r="J68" s="3655"/>
      <c r="K68" s="1331" t="s">
        <v>1392</v>
      </c>
      <c r="L68" s="1331">
        <f ca="1">IF(M49&gt;10000,M49*0.5%,IF(AND(M49&gt;5000,M49&lt;=10000),M49*1%,IF(AND(M49&gt;1000,M49&lt;=5000),M49*2%,IF(AND(M49&gt;200,M49&lt;=1000),M49*3%,M49*5%))))</f>
        <v>21.38</v>
      </c>
      <c r="M68" s="302">
        <f ca="1">ROUND(L68,1)</f>
        <v>21.4</v>
      </c>
      <c r="N68" s="2542"/>
      <c r="Z68" s="1751"/>
      <c r="AI68" s="1752"/>
    </row>
    <row r="69" spans="1:35" s="1771" customFormat="1" ht="16.5" customHeight="1">
      <c r="A69" s="1810"/>
      <c r="B69" s="1811"/>
      <c r="C69" s="1812"/>
      <c r="D69" s="1813"/>
      <c r="E69" s="1814"/>
      <c r="F69" s="1577"/>
      <c r="G69" s="1577"/>
      <c r="H69" s="1576"/>
      <c r="I69" s="1746"/>
      <c r="J69" s="3655"/>
      <c r="K69" s="1331" t="s">
        <v>1393</v>
      </c>
      <c r="L69" s="1331"/>
      <c r="M69" s="302">
        <f ca="1">ROUND(SUM(M63:M68),0)</f>
        <v>43</v>
      </c>
      <c r="N69" s="2544">
        <f ca="1">M69/M49</f>
        <v>4.0224508886810104E-2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7" t="s">
        <v>1394</v>
      </c>
      <c r="B70" s="3618"/>
      <c r="C70" s="3618"/>
      <c r="D70" s="3618"/>
      <c r="E70" s="3618"/>
      <c r="F70" s="3618"/>
      <c r="G70" s="3618"/>
      <c r="H70" s="3618"/>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6" t="s">
        <v>1375</v>
      </c>
      <c r="B71" s="3597"/>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1018</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24">
      <c r="A73" s="173" t="s">
        <v>327</v>
      </c>
      <c r="B73" s="163" t="s">
        <v>1396</v>
      </c>
      <c r="C73" s="2567">
        <f ca="1">C74+C78</f>
        <v>6</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91" t="s">
        <v>1402</v>
      </c>
      <c r="F76" s="3565"/>
      <c r="G76" s="3565"/>
      <c r="H76" s="361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6</v>
      </c>
      <c r="D78" s="2576">
        <f>'数据-取费表'!B43</f>
        <v>6.000000000000001E-3</v>
      </c>
      <c r="E78" s="3575" t="s">
        <v>1406</v>
      </c>
      <c r="F78" s="3576"/>
      <c r="G78" s="3576"/>
      <c r="H78" s="358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1012</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36">
      <c r="A80" s="173" t="s">
        <v>335</v>
      </c>
      <c r="B80" s="174" t="s">
        <v>1408</v>
      </c>
      <c r="C80" s="2577">
        <f ca="1">IF(C79&lt;=0,0,C79/C73)</f>
        <v>168.66666666666666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605</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7" t="s">
        <v>1410</v>
      </c>
      <c r="B83" s="3618"/>
      <c r="C83" s="3618"/>
      <c r="D83" s="3618"/>
      <c r="E83" s="3618"/>
      <c r="F83" s="3618"/>
      <c r="G83" s="3618"/>
      <c r="H83" s="361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6" t="s">
        <v>1375</v>
      </c>
      <c r="B84" s="3597"/>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1018</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24">
      <c r="A86" s="173" t="s">
        <v>327</v>
      </c>
      <c r="B86" s="163" t="s">
        <v>1396</v>
      </c>
      <c r="C86" s="2567">
        <f ca="1">IF(H88="仅含出让金",C87+C90+C91+C92+C93+C94,C87+C91+C92+C93+C94)</f>
        <v>6</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24">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24">
      <c r="A88" s="169" t="s">
        <v>331</v>
      </c>
      <c r="B88" s="170" t="s">
        <v>1412</v>
      </c>
      <c r="C88" s="2581"/>
      <c r="D88" s="2576"/>
      <c r="E88" s="193" t="s">
        <v>1413</v>
      </c>
      <c r="F88" s="2326"/>
      <c r="G88" s="194" t="s">
        <v>1414</v>
      </c>
      <c r="H88" s="1823"/>
      <c r="I88" s="1820"/>
      <c r="J88" s="2520" t="s">
        <v>2284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57" t="s">
        <v>2129</v>
      </c>
      <c r="H90" s="3658"/>
      <c r="I90" s="1820"/>
      <c r="J90" s="2520" t="s">
        <v>2285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75" t="s">
        <v>1419</v>
      </c>
      <c r="F91" s="3576"/>
      <c r="G91" s="357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75" t="s">
        <v>1422</v>
      </c>
      <c r="F92" s="3576"/>
      <c r="G92" s="3576"/>
      <c r="H92" s="3585"/>
      <c r="I92" s="1820"/>
      <c r="J92" s="2521" t="s">
        <v>2286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6</v>
      </c>
      <c r="D93" s="2576">
        <f>'数据-取费表'!B43</f>
        <v>6.000000000000001E-3</v>
      </c>
      <c r="E93" s="3575" t="s">
        <v>1406</v>
      </c>
      <c r="F93" s="3576"/>
      <c r="G93" s="3576"/>
      <c r="H93" s="358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86" t="s">
        <v>1426</v>
      </c>
      <c r="F94" s="3587"/>
      <c r="G94" s="3587"/>
      <c r="H94" s="358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1012</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36">
      <c r="A96" s="173" t="s">
        <v>335</v>
      </c>
      <c r="B96" s="174" t="s">
        <v>1408</v>
      </c>
      <c r="C96" s="2577">
        <f ca="1">IF(C95&lt;=0,0,C95/C86)</f>
        <v>168.66666666666666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605</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9" t="s">
        <v>1428</v>
      </c>
      <c r="B100" s="3560"/>
      <c r="C100" s="3560"/>
      <c r="D100" s="3577"/>
      <c r="E100" s="3560" t="s">
        <v>1429</v>
      </c>
      <c r="F100" s="3560"/>
      <c r="G100" s="3560"/>
      <c r="H100" s="3577"/>
      <c r="I100" s="129"/>
    </row>
    <row r="101" spans="1:35" ht="18.75" customHeight="1">
      <c r="A101" s="3638" t="s">
        <v>1430</v>
      </c>
      <c r="B101" s="3639"/>
      <c r="C101" s="2584" t="str">
        <f>C4</f>
        <v>比较法-商业</v>
      </c>
      <c r="D101" s="2585" t="str">
        <f>D4</f>
        <v>收益法 (元)</v>
      </c>
      <c r="E101" s="3652" t="s">
        <v>1431</v>
      </c>
      <c r="F101" s="3609"/>
      <c r="G101" s="1826" t="s">
        <v>1432</v>
      </c>
      <c r="H101" s="2594">
        <f ca="1">H118</f>
        <v>1069</v>
      </c>
      <c r="I101" s="129"/>
    </row>
    <row r="102" spans="1:35" ht="18.75" customHeight="1">
      <c r="A102" s="3611" t="s">
        <v>1433</v>
      </c>
      <c r="B102" s="2583" t="s">
        <v>1432</v>
      </c>
      <c r="C102" s="2584">
        <f ca="1">IF(D32="楼面单价",ROUND(C19,0),C19)</f>
        <v>1233</v>
      </c>
      <c r="D102" s="2585">
        <f ca="1">IF(D32="楼面单价",ROUND(D19,0),D19)</f>
        <v>822</v>
      </c>
      <c r="E102" s="3652"/>
      <c r="F102" s="3609"/>
      <c r="G102" s="1826" t="s">
        <v>1434</v>
      </c>
      <c r="H102" s="2554">
        <f ca="1">I118</f>
        <v>17318</v>
      </c>
      <c r="I102" s="129"/>
    </row>
    <row r="103" spans="1:35" ht="42.75" customHeight="1">
      <c r="A103" s="3611"/>
      <c r="B103" s="2583" t="s">
        <v>1434</v>
      </c>
      <c r="C103" s="2586">
        <f ca="1">C20</f>
        <v>19980</v>
      </c>
      <c r="D103" s="2587">
        <f ca="1">D20</f>
        <v>13325</v>
      </c>
      <c r="E103" s="3646" t="s">
        <v>1435</v>
      </c>
      <c r="F103" s="3647"/>
      <c r="G103" s="1827" t="s">
        <v>1436</v>
      </c>
      <c r="H103" s="2594">
        <f>IF(D36="正常操作",H104+H105+H106,H105+H106)</f>
        <v>0</v>
      </c>
      <c r="I103" s="129"/>
    </row>
    <row r="104" spans="1:35" ht="18.75" customHeight="1">
      <c r="A104" s="3611" t="s">
        <v>1437</v>
      </c>
      <c r="B104" s="2588" t="s">
        <v>1432</v>
      </c>
      <c r="C104" s="2589">
        <f ca="1">H118</f>
        <v>1069</v>
      </c>
      <c r="D104" s="2590"/>
      <c r="E104" s="1673" t="s">
        <v>1438</v>
      </c>
      <c r="F104" s="1665"/>
      <c r="G104" s="1827" t="s">
        <v>1436</v>
      </c>
      <c r="H104" s="2595">
        <f>IF(D36="同一抵押权人同一抵押物续贷",C36&amp;"（续贷，未扣减，详见特别提示）",C36)</f>
        <v>0</v>
      </c>
      <c r="I104" s="129"/>
    </row>
    <row r="105" spans="1:35" ht="18.75" customHeight="1" thickBot="1">
      <c r="A105" s="3612"/>
      <c r="B105" s="2591" t="s">
        <v>1434</v>
      </c>
      <c r="C105" s="2592">
        <f ca="1">I118</f>
        <v>17318</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8" t="str">
        <f>IF(项目基本情况!E8="已注销","——","3.房地产抵押价值")</f>
        <v>3.房地产抵押价值</v>
      </c>
      <c r="F107" s="3609"/>
      <c r="G107" s="1826" t="s">
        <v>1432</v>
      </c>
      <c r="H107" s="2594">
        <f ca="1">IF(E107="——","——",H101-H103)</f>
        <v>1069</v>
      </c>
      <c r="I107" s="129">
        <f ca="1">H108*B118</f>
        <v>10685206</v>
      </c>
    </row>
    <row r="108" spans="1:35" ht="18.75" customHeight="1">
      <c r="A108" s="129"/>
      <c r="B108" s="129"/>
      <c r="C108" s="129"/>
      <c r="D108" s="129"/>
      <c r="E108" s="3608"/>
      <c r="F108" s="3609"/>
      <c r="G108" s="1826" t="s">
        <v>1434</v>
      </c>
      <c r="H108" s="2554">
        <f ca="1">IF(H107=H101,H102,ROUND(H107*10000/'数据-汇总表'!E3,0))</f>
        <v>17318</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609"/>
      <c r="G109" s="1826" t="s">
        <v>1432</v>
      </c>
      <c r="H109" s="2597" t="str">
        <f>IF(E109="——","——",H101-H105-H106)</f>
        <v>——</v>
      </c>
      <c r="I109" s="129"/>
    </row>
    <row r="110" spans="1:35" ht="18.75" customHeight="1">
      <c r="A110" s="129"/>
      <c r="B110" s="129"/>
      <c r="C110" s="129"/>
      <c r="D110" s="129"/>
      <c r="E110" s="3608"/>
      <c r="F110" s="3609"/>
      <c r="G110" s="1826" t="s">
        <v>1434</v>
      </c>
      <c r="H110" s="2554" t="str">
        <f>IF(H109="——","——",ROUND(H109*10000/'数据-汇总表'!E3,0))</f>
        <v>——</v>
      </c>
      <c r="I110" s="129"/>
    </row>
    <row r="111" spans="1:35" ht="18.75" customHeight="1">
      <c r="A111" s="129"/>
      <c r="B111" s="129"/>
      <c r="C111" s="129"/>
      <c r="D111" s="129"/>
      <c r="E111" s="3640" t="str">
        <f>IF(项目基本情况!E9="抵押净值",IF(OR(项目基本情况!E8="已注销",项目基本情况!E8="房地产抵押价值"),"4.抵押净值","5.抵押净值"),"——")</f>
        <v>——</v>
      </c>
      <c r="F111" s="3610"/>
      <c r="G111" s="1826" t="s">
        <v>1432</v>
      </c>
      <c r="H111" s="2594" t="str">
        <f>IF(E111="——","——",N59)</f>
        <v>——</v>
      </c>
      <c r="I111" s="129"/>
    </row>
    <row r="112" spans="1:35" ht="18.75" customHeight="1" thickBot="1">
      <c r="A112" s="129"/>
      <c r="B112" s="129"/>
      <c r="C112" s="129"/>
      <c r="D112" s="129"/>
      <c r="E112" s="3641"/>
      <c r="F112" s="3642"/>
      <c r="G112" s="1829" t="s">
        <v>1434</v>
      </c>
      <c r="H112" s="2598" t="str">
        <f>IF(E111="——","——",N61)</f>
        <v>——</v>
      </c>
      <c r="I112" s="129"/>
    </row>
    <row r="113" spans="1:27" ht="18.75" customHeight="1">
      <c r="A113" s="129"/>
      <c r="B113" s="129"/>
      <c r="C113" s="129"/>
      <c r="D113" s="129"/>
      <c r="E113" s="3613" t="s">
        <v>1440</v>
      </c>
      <c r="F113" s="3613"/>
      <c r="G113" s="3613"/>
      <c r="H113" s="3613"/>
      <c r="I113" s="129"/>
    </row>
    <row r="114" spans="1:27" ht="3.75" customHeight="1">
      <c r="A114" s="1746"/>
      <c r="B114" s="1746"/>
      <c r="C114" s="1746"/>
      <c r="D114" s="1746"/>
      <c r="E114" s="1808"/>
      <c r="F114" s="1808"/>
      <c r="G114" s="1808"/>
      <c r="H114" s="1808"/>
      <c r="I114" s="1746"/>
    </row>
    <row r="115" spans="1:27" ht="18.75" customHeight="1">
      <c r="A115" s="3623" t="s">
        <v>1442</v>
      </c>
      <c r="B115" s="3624"/>
      <c r="C115" s="3624"/>
      <c r="D115" s="3624"/>
      <c r="E115" s="3624"/>
      <c r="F115" s="3624"/>
      <c r="G115" s="3624"/>
      <c r="H115" s="3624"/>
      <c r="I115" s="3625"/>
    </row>
    <row r="116" spans="1:27" ht="27" customHeight="1">
      <c r="A116" s="3579" t="s">
        <v>1443</v>
      </c>
      <c r="B116" s="3614" t="s">
        <v>1444</v>
      </c>
      <c r="C116" s="3614" t="s">
        <v>1445</v>
      </c>
      <c r="D116" s="3627" t="s">
        <v>1446</v>
      </c>
      <c r="E116" s="3628"/>
      <c r="F116" s="3622" t="s">
        <v>1447</v>
      </c>
      <c r="G116" s="3622"/>
      <c r="H116" s="3579" t="s">
        <v>1448</v>
      </c>
      <c r="I116" s="3579"/>
    </row>
    <row r="117" spans="1:27" ht="18.75" customHeight="1">
      <c r="A117" s="3579"/>
      <c r="B117" s="3615"/>
      <c r="C117" s="3615"/>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617</v>
      </c>
      <c r="C118" s="2328">
        <f>M19</f>
        <v>0</v>
      </c>
      <c r="D118" s="2328">
        <f ca="1">ROUND(IF(D32="总价",C34,E118*B118/10000),0)</f>
        <v>773</v>
      </c>
      <c r="E118" s="2328">
        <f ca="1">ROUND(IF(C33="自定义",IF(D32="楼面单价",C34,D118*10000/B118),I118-G118),0)</f>
        <v>12521</v>
      </c>
      <c r="F118" s="2328">
        <f ca="1">ROUND(IF(D32="总价",C35,G118*B118/10000),0)</f>
        <v>296</v>
      </c>
      <c r="G118" s="2328">
        <f ca="1">ROUND(IF(D32="楼面单价",C35,F118*10000/B118),0)</f>
        <v>4797</v>
      </c>
      <c r="H118" s="2328">
        <f ca="1">ROUND(IF(D32="总价",C32,I118*B118/10000),0)</f>
        <v>1069</v>
      </c>
      <c r="I118" s="2328">
        <f ca="1">ROUND(IF(D32="楼面单价",C32,H118*10000/B118),0)</f>
        <v>17318</v>
      </c>
    </row>
    <row r="119" spans="1:27" ht="18.75" customHeight="1">
      <c r="A119" s="3579" t="s">
        <v>1452</v>
      </c>
      <c r="B119" s="3579"/>
      <c r="C119" s="3579"/>
      <c r="D119" s="3619" t="str">
        <f ca="1">NUMBERSTRING(INT(D118*10000),2)&amp;"元整"</f>
        <v>柒佰柒拾叁万元整</v>
      </c>
      <c r="E119" s="3621"/>
      <c r="F119" s="3619" t="str">
        <f ca="1">NUMBERSTRING(INT(F118*10000),2)&amp;"元整"</f>
        <v>贰佰玖拾陆万元整</v>
      </c>
      <c r="G119" s="3621"/>
      <c r="H119" s="3619" t="str">
        <f ca="1">NUMBERSTRING(INT(H118*10000),2)&amp;"元整"</f>
        <v>壹仟零陆拾玖万元整</v>
      </c>
      <c r="I119" s="3621"/>
    </row>
    <row r="120" spans="1:27" ht="18.75" customHeight="1">
      <c r="A120" s="3643" t="str">
        <f>IF(项目基本情况!B9="房地产市场价值","",MID(E103,3,LEN(E103)-2))</f>
        <v>估价师知悉的法定优先受偿款</v>
      </c>
      <c r="B120" s="3644"/>
      <c r="C120" s="3645"/>
      <c r="D120" s="3643">
        <f>H103</f>
        <v>0</v>
      </c>
      <c r="E120" s="3644"/>
      <c r="F120" s="3644"/>
      <c r="G120" s="3644"/>
      <c r="H120" s="3644"/>
      <c r="I120" s="364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9" t="s">
        <v>1452</v>
      </c>
      <c r="B121" s="3620"/>
      <c r="C121" s="3621"/>
      <c r="D121" s="3619" t="str">
        <f>IF(D120=0,"零元整",NUMBERSTRING(INT(D120*10000),2)&amp;"元整")</f>
        <v>零元整</v>
      </c>
      <c r="E121" s="3620"/>
      <c r="F121" s="3620"/>
      <c r="G121" s="3620"/>
      <c r="H121" s="3620"/>
      <c r="I121" s="3621"/>
      <c r="AA121" s="724"/>
    </row>
    <row r="122" spans="1:27" ht="18.75" customHeight="1">
      <c r="A122" s="3610" t="str">
        <f>IF(项目基本情况!B9="房地产市场价值","",MID(E107,3,LEN(E107)-2))</f>
        <v>房地产抵押价值</v>
      </c>
      <c r="B122" s="3610"/>
      <c r="C122" s="3610"/>
      <c r="D122" s="3643">
        <f ca="1">H107</f>
        <v>1069</v>
      </c>
      <c r="E122" s="3644"/>
      <c r="F122" s="3644"/>
      <c r="G122" s="3644"/>
      <c r="H122" s="3644"/>
      <c r="I122" s="3645"/>
      <c r="AA122" s="724"/>
    </row>
    <row r="123" spans="1:27" ht="18.75" customHeight="1">
      <c r="A123" s="3579" t="s">
        <v>1452</v>
      </c>
      <c r="B123" s="3579"/>
      <c r="C123" s="3579"/>
      <c r="D123" s="3619" t="str">
        <f ca="1">NUMBERSTRING(INT(D122*10000),2)&amp;"元整"</f>
        <v>壹仟零陆拾玖万元整</v>
      </c>
      <c r="E123" s="3620"/>
      <c r="F123" s="3620"/>
      <c r="G123" s="3620"/>
      <c r="H123" s="3620"/>
      <c r="I123" s="3621"/>
      <c r="AA123" s="724"/>
    </row>
    <row r="124" spans="1:27" ht="18.75" customHeight="1">
      <c r="A124" s="3610" t="str">
        <f>IF(项目基本情况!B9="房地产市场价值","",MID(E109,3,LEN(E109)-2))</f>
        <v/>
      </c>
      <c r="B124" s="3610"/>
      <c r="C124" s="3610"/>
      <c r="D124" s="3643" t="str">
        <f>H109</f>
        <v>——</v>
      </c>
      <c r="E124" s="3644"/>
      <c r="F124" s="3644"/>
      <c r="G124" s="3644"/>
      <c r="H124" s="3644"/>
      <c r="I124" s="3645"/>
      <c r="AA124" s="724"/>
    </row>
    <row r="125" spans="1:27" ht="18.75" customHeight="1">
      <c r="A125" s="3579" t="s">
        <v>1452</v>
      </c>
      <c r="B125" s="3579"/>
      <c r="C125" s="3579"/>
      <c r="D125" s="3619" t="e">
        <f>NUMBERSTRING(INT(D124*10000),2)&amp;"元整"</f>
        <v>#VALUE!</v>
      </c>
      <c r="E125" s="3620"/>
      <c r="F125" s="3620"/>
      <c r="G125" s="3620"/>
      <c r="H125" s="3620"/>
      <c r="I125" s="3621"/>
      <c r="AA125" s="724"/>
    </row>
    <row r="126" spans="1:27" ht="18.75" customHeight="1">
      <c r="A126" s="3610" t="str">
        <f>IF(项目基本情况!B9="房地产市场价值","",MID(E111,3,LEN(E111)-2))</f>
        <v/>
      </c>
      <c r="B126" s="3610"/>
      <c r="C126" s="3610"/>
      <c r="D126" s="3643" t="str">
        <f>H111</f>
        <v>——</v>
      </c>
      <c r="E126" s="3644"/>
      <c r="F126" s="3644"/>
      <c r="G126" s="3644"/>
      <c r="H126" s="3644"/>
      <c r="I126" s="3645"/>
      <c r="AA126" s="724"/>
    </row>
    <row r="127" spans="1:27" ht="18.75" customHeight="1">
      <c r="A127" s="3579" t="s">
        <v>1452</v>
      </c>
      <c r="B127" s="3579"/>
      <c r="C127" s="3579"/>
      <c r="D127" s="3619" t="e">
        <f>NUMBERSTRING(INT(D126*10000),2)&amp;"元整"</f>
        <v>#VALUE!</v>
      </c>
      <c r="E127" s="3620"/>
      <c r="F127" s="3620"/>
      <c r="G127" s="3620"/>
      <c r="H127" s="3620"/>
      <c r="I127" s="3621"/>
      <c r="AA127" s="724"/>
    </row>
    <row r="128" spans="1:27" ht="21.75" customHeight="1">
      <c r="A128" s="3626" t="s">
        <v>1453</v>
      </c>
      <c r="B128" s="3626"/>
      <c r="C128" s="3626"/>
      <c r="D128" s="3626"/>
      <c r="E128" s="3626"/>
      <c r="F128" s="3626"/>
      <c r="G128" s="3626"/>
      <c r="H128" s="3626"/>
      <c r="I128" s="3626"/>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265</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4295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12</v>
      </c>
      <c r="D10" s="844">
        <f ca="1">IF(B1="",'数据-汇总表'!E6,IF(INDIRECT("'数据-取费表'!c"&amp;$G$1)="住宅",INDIRECT("'数据-取费表'!s"&amp;$G$1),INDIRECT("'数据-取费表'!k"&amp;$G$1)+INDIRECT("'数据-取费表'!s"&amp;$G$1)))</f>
        <v>617</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12</v>
      </c>
      <c r="D19" s="848">
        <f ca="1">D9+D10</f>
        <v>617</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v>
      </c>
      <c r="D22" s="235">
        <f ca="1">C26</f>
        <v>5.9999999999999995E-4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1</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2</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2</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243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216</v>
      </c>
      <c r="D34" s="217"/>
      <c r="E34" s="220"/>
      <c r="F34" s="257">
        <f ca="1">IF('数据-取费表'!B24=0,1,IF(B1="",'数据-取费表'!N16,INDIRECT("'数据-取费表'!n"&amp;$G$1)))</f>
        <v>1</v>
      </c>
      <c r="G34" s="219" t="s">
        <v>1526</v>
      </c>
    </row>
    <row r="35" spans="1:7" ht="13.5" customHeight="1">
      <c r="A35" s="779" t="s">
        <v>351</v>
      </c>
      <c r="B35" s="215" t="s">
        <v>1527</v>
      </c>
      <c r="C35" s="220">
        <f ca="1">ROUND(C34*F35,0)</f>
        <v>11</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12</v>
      </c>
      <c r="D37" s="217">
        <f ca="1">D19</f>
        <v>617</v>
      </c>
      <c r="E37" s="249">
        <f>'数据-取费表'!B35</f>
        <v>200</v>
      </c>
      <c r="F37" s="259"/>
      <c r="G37" s="261" t="s">
        <v>1532</v>
      </c>
    </row>
    <row r="38" spans="1:7" ht="13.5" customHeight="1">
      <c r="A38" s="779" t="s">
        <v>354</v>
      </c>
      <c r="B38" s="215" t="s">
        <v>1533</v>
      </c>
      <c r="C38" s="220">
        <f ca="1">ROUND(C34*F38,0)</f>
        <v>4</v>
      </c>
      <c r="D38" s="220"/>
      <c r="E38" s="220"/>
      <c r="F38" s="259">
        <f>'数据-取费表'!B36</f>
        <v>0.02</v>
      </c>
      <c r="G38" s="219" t="s">
        <v>1528</v>
      </c>
    </row>
    <row r="39" spans="1:7" s="214" customFormat="1" ht="13.5" customHeight="1">
      <c r="A39" s="255" t="s">
        <v>1534</v>
      </c>
      <c r="B39" s="210" t="s">
        <v>1535</v>
      </c>
      <c r="C39" s="232">
        <f ca="1">ROUND(C33*F20,0)</f>
        <v>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8</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8</v>
      </c>
      <c r="D42" s="238"/>
      <c r="E42" s="238"/>
      <c r="F42" s="239"/>
      <c r="G42" s="3659" t="s">
        <v>1544</v>
      </c>
    </row>
    <row r="43" spans="1:7" ht="13.5" customHeight="1">
      <c r="A43" s="779" t="s">
        <v>347</v>
      </c>
      <c r="B43" s="215" t="s">
        <v>1545</v>
      </c>
      <c r="C43" s="238">
        <f ca="1">ROUND(IF('数据-取费表'!B22&lt;=1,C39*F22*'数据-取费表'!B21/2,C39*(POWER((1+F22),'数据-取费表'!B21/2)-1)),0)</f>
        <v>0</v>
      </c>
      <c r="D43" s="238"/>
      <c r="E43" s="238"/>
      <c r="F43" s="239"/>
      <c r="G43" s="3660"/>
    </row>
    <row r="44" spans="1:7" ht="13.5" customHeight="1">
      <c r="A44" s="779" t="s">
        <v>348</v>
      </c>
      <c r="B44" s="215" t="s">
        <v>1546</v>
      </c>
      <c r="C44" s="238">
        <f ca="1">ROUND(IF('数据-取费表'!B22&lt;=1,C40*F22*'数据-取费表'!B21/2,C40*(POWER((1+F22),'数据-取费表'!B21/2)-1)),4)</f>
        <v>5.9999999999999995E-4</v>
      </c>
      <c r="D44" s="238"/>
      <c r="E44" s="238"/>
      <c r="F44" s="239"/>
      <c r="G44" s="3661"/>
    </row>
    <row r="45" spans="1:7" s="214" customFormat="1" ht="13.5" customHeight="1">
      <c r="A45" s="255" t="s">
        <v>1547</v>
      </c>
      <c r="B45" s="244" t="s">
        <v>1513</v>
      </c>
      <c r="C45" s="245">
        <f ca="1">C46</f>
        <v>50</v>
      </c>
      <c r="D45" s="235">
        <f ca="1">C47</f>
        <v>4.0000000000000001E-3</v>
      </c>
      <c r="E45" s="236" t="s">
        <v>1539</v>
      </c>
      <c r="F45" s="246">
        <f ca="1">F27</f>
        <v>0.2</v>
      </c>
      <c r="G45" s="247" t="s">
        <v>1548</v>
      </c>
    </row>
    <row r="46" spans="1:7" s="214" customFormat="1" ht="13.5" customHeight="1">
      <c r="A46" s="779" t="s">
        <v>346</v>
      </c>
      <c r="B46" s="248" t="s">
        <v>1549</v>
      </c>
      <c r="C46" s="249">
        <f ca="1">ROUND((C33+C39)*F27,0)</f>
        <v>50</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332</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249</v>
      </c>
      <c r="D51" s="232"/>
      <c r="E51" s="232"/>
      <c r="F51" s="264"/>
      <c r="G51" s="234" t="s">
        <v>1560</v>
      </c>
    </row>
    <row r="52" spans="1:7" s="208" customFormat="1" ht="16.5" thickBot="1">
      <c r="A52" s="265" t="s">
        <v>1561</v>
      </c>
      <c r="B52" s="266"/>
      <c r="C52" s="267">
        <f ca="1">C31+C51</f>
        <v>265</v>
      </c>
      <c r="D52" s="266"/>
      <c r="E52" s="266"/>
      <c r="F52" s="266"/>
      <c r="G52" s="268"/>
    </row>
    <row r="55" spans="1:7" ht="15">
      <c r="B55" s="270" t="s">
        <v>1562</v>
      </c>
      <c r="C55" s="271"/>
    </row>
    <row r="56" spans="1:7">
      <c r="B56" s="273" t="s">
        <v>802</v>
      </c>
      <c r="C56" s="275">
        <f ca="1">1-C57</f>
        <v>6.0000000000000053E-2</v>
      </c>
    </row>
    <row r="57" spans="1:7">
      <c r="B57" s="273" t="s">
        <v>803</v>
      </c>
      <c r="C57" s="274">
        <f ca="1">ROUND(C51/C52,3)</f>
        <v>0.94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6" t="str">
        <f>项目基本情况!B1</f>
        <v>北京市房地产抵押价值预评估</v>
      </c>
      <c r="C37" s="3476"/>
      <c r="D37" s="3476"/>
      <c r="E37" s="3476"/>
      <c r="F37" s="3476"/>
      <c r="G37" s="3476"/>
      <c r="H37" s="3476"/>
      <c r="I37" s="3476"/>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283.0462</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4587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123400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123400</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123400</v>
      </c>
      <c r="D10" s="844">
        <f ca="1">IF(B1="",'数据-汇总表'!E6,IF(INDIRECT("'数据-取费表'!c"&amp;$G$1)="住宅",INDIRECT("'数据-取费表'!s"&amp;$G$1),INDIRECT("'数据-取费表'!k"&amp;$G$1)+INDIRECT("'数据-取费表'!s"&amp;$G$1)))</f>
        <v>617</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123400</v>
      </c>
      <c r="D19" s="848">
        <f ca="1">D9+D10</f>
        <v>617</v>
      </c>
      <c r="E19" s="211">
        <f>'数据-取费表'!B31</f>
        <v>200</v>
      </c>
      <c r="F19" s="231"/>
      <c r="G19" s="1855"/>
    </row>
    <row r="20" spans="1:7" s="214" customFormat="1" ht="13.5" customHeight="1">
      <c r="A20" s="255" t="s">
        <v>1574</v>
      </c>
      <c r="B20" s="210" t="s">
        <v>1575</v>
      </c>
      <c r="C20" s="232">
        <f ca="1">ROUND((C5+C19)*F20,0)</f>
        <v>4936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15691</v>
      </c>
      <c r="D22" s="235">
        <f ca="1">C26</f>
        <v>5.9999999999999995E-4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7769</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7769</v>
      </c>
      <c r="D24" s="238"/>
      <c r="E24" s="238"/>
      <c r="F24" s="239"/>
      <c r="G24" s="240" t="s">
        <v>1586</v>
      </c>
    </row>
    <row r="25" spans="1:7" s="214" customFormat="1" ht="24">
      <c r="A25" s="779" t="s">
        <v>1476</v>
      </c>
      <c r="B25" s="215" t="s">
        <v>1587</v>
      </c>
      <c r="C25" s="1127">
        <f ca="1">ROUND(IF('数据-取费表'!B22&lt;=1,C20*F22*'数据-取费表'!B22/2,C20*(POWER((1+F22),'数据-取费表'!B22/2)-1)),0)</f>
        <v>153</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50347</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50347</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344620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2434065</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2159500</v>
      </c>
      <c r="D34" s="217"/>
      <c r="E34" s="220"/>
      <c r="F34" s="257"/>
      <c r="G34" s="219"/>
    </row>
    <row r="35" spans="1:7" ht="13.5" customHeight="1">
      <c r="A35" s="779" t="s">
        <v>351</v>
      </c>
      <c r="B35" s="215" t="s">
        <v>1527</v>
      </c>
      <c r="C35" s="220">
        <f ca="1">ROUND(C34*F35,0)</f>
        <v>107975</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123400</v>
      </c>
      <c r="D37" s="217">
        <f ca="1">D19</f>
        <v>617</v>
      </c>
      <c r="E37" s="249">
        <f>'数据-取费表'!B35</f>
        <v>200</v>
      </c>
      <c r="F37" s="259"/>
      <c r="G37" s="261"/>
    </row>
    <row r="38" spans="1:7" ht="13.5" customHeight="1">
      <c r="A38" s="779" t="s">
        <v>354</v>
      </c>
      <c r="B38" s="215" t="s">
        <v>1533</v>
      </c>
      <c r="C38" s="220">
        <f ca="1">ROUND(C34*F38,0)</f>
        <v>43190</v>
      </c>
      <c r="D38" s="220"/>
      <c r="E38" s="220"/>
      <c r="F38" s="259">
        <f>'数据-取费表'!B36</f>
        <v>0.02</v>
      </c>
      <c r="G38" s="219" t="s">
        <v>1528</v>
      </c>
    </row>
    <row r="39" spans="1:7" s="214" customFormat="1" ht="13.5" customHeight="1">
      <c r="A39" s="255" t="s">
        <v>1534</v>
      </c>
      <c r="B39" s="210" t="s">
        <v>1535</v>
      </c>
      <c r="C39" s="232">
        <f ca="1">ROUND(C33*F20,0)</f>
        <v>48681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76965</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75456</v>
      </c>
      <c r="D42" s="238"/>
      <c r="E42" s="238"/>
      <c r="F42" s="239"/>
      <c r="G42" s="3659" t="s">
        <v>1591</v>
      </c>
    </row>
    <row r="43" spans="1:7" ht="13.5" customHeight="1">
      <c r="A43" s="779" t="s">
        <v>347</v>
      </c>
      <c r="B43" s="215" t="s">
        <v>1545</v>
      </c>
      <c r="C43" s="238">
        <f ca="1">ROUND(IF('数据-取费表'!B22&lt;=1,C39*F22*'数据-取费表'!B20/2,C39*(POWER((1+F22),'数据-取费表'!B20/2)-1)),0)</f>
        <v>1509</v>
      </c>
      <c r="D43" s="238"/>
      <c r="E43" s="238"/>
      <c r="F43" s="239"/>
      <c r="G43" s="3660"/>
    </row>
    <row r="44" spans="1:7" ht="13.5" customHeight="1">
      <c r="A44" s="779" t="s">
        <v>348</v>
      </c>
      <c r="B44" s="215" t="s">
        <v>1546</v>
      </c>
      <c r="C44" s="238">
        <f ca="1">ROUND(IF('数据-取费表'!B22&lt;=1,C40*F22*'数据-取费表'!B20/2,C40*(POWER((1+F22),'数据-取费表'!B20/2)-1)),4)</f>
        <v>5.9999999999999995E-4</v>
      </c>
      <c r="D44" s="238"/>
      <c r="E44" s="238"/>
      <c r="F44" s="239"/>
      <c r="G44" s="3661"/>
    </row>
    <row r="45" spans="1:7" s="214" customFormat="1" ht="13.5" customHeight="1">
      <c r="A45" s="255" t="s">
        <v>1547</v>
      </c>
      <c r="B45" s="244" t="s">
        <v>1513</v>
      </c>
      <c r="C45" s="245">
        <f ca="1">C46</f>
        <v>496549</v>
      </c>
      <c r="D45" s="235">
        <f ca="1">C47</f>
        <v>4.0000000000000001E-3</v>
      </c>
      <c r="E45" s="236" t="s">
        <v>1539</v>
      </c>
      <c r="F45" s="246">
        <f ca="1">F27</f>
        <v>0.2</v>
      </c>
      <c r="G45" s="247" t="s">
        <v>1548</v>
      </c>
    </row>
    <row r="46" spans="1:7" s="214" customFormat="1" ht="13.5" customHeight="1">
      <c r="A46" s="779" t="s">
        <v>346</v>
      </c>
      <c r="B46" s="248" t="s">
        <v>1549</v>
      </c>
      <c r="C46" s="249">
        <f ca="1">ROUND((C33+C39)*F27,0)</f>
        <v>496549</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3314456</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2485842</v>
      </c>
      <c r="D51" s="232"/>
      <c r="E51" s="232"/>
      <c r="F51" s="264"/>
      <c r="G51" s="234" t="s">
        <v>1560</v>
      </c>
    </row>
    <row r="52" spans="1:7" s="208" customFormat="1" ht="16.5" thickBot="1">
      <c r="A52" s="265" t="s">
        <v>1561</v>
      </c>
      <c r="B52" s="266"/>
      <c r="C52" s="267">
        <f ca="1">C31+C51</f>
        <v>2830462</v>
      </c>
      <c r="D52" s="266"/>
      <c r="E52" s="266"/>
      <c r="F52" s="266"/>
      <c r="G52" s="268"/>
    </row>
    <row r="55" spans="1:7" ht="15">
      <c r="B55" s="270" t="s">
        <v>1562</v>
      </c>
      <c r="C55" s="271"/>
    </row>
    <row r="56" spans="1:7">
      <c r="B56" s="273" t="s">
        <v>802</v>
      </c>
      <c r="C56" s="275">
        <f ca="1">1-C57</f>
        <v>0.122</v>
      </c>
    </row>
    <row r="57" spans="1:7">
      <c r="B57" s="273" t="s">
        <v>803</v>
      </c>
      <c r="C57" s="274">
        <f ca="1">ROUND(C51/C52,3)</f>
        <v>0.878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-14</v>
      </c>
      <c r="C2" s="276" t="s">
        <v>1595</v>
      </c>
      <c r="D2" s="276"/>
      <c r="E2" s="2805"/>
      <c r="F2" s="2805"/>
      <c r="G2" s="2805"/>
      <c r="H2" s="2805"/>
      <c r="I2" s="2805"/>
      <c r="J2" s="2805"/>
      <c r="K2" s="2805"/>
    </row>
    <row r="3" spans="1:33" ht="18" customHeight="1" thickBot="1">
      <c r="A3" s="203" t="s">
        <v>1464</v>
      </c>
      <c r="B3" s="204">
        <f ca="1">ROUND(B2*10000/IF(C1="",'数据-汇总表'!E3,INDIRECT("'数据-取费表'!K"&amp;$K$1)),0)</f>
        <v>-227</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617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617</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12</v>
      </c>
      <c r="D20" s="845">
        <f ca="1">IF(C1="",'数据-汇总表'!E6,IF(INDIRECT("'数据-取费表'!c"&amp;$K$1)="住宅",INDIRECT("'数据-取费表'!s"&amp;$K$1),INDIRECT("'数据-取费表'!k"&amp;$K$1)+INDIRECT("'数据-取费表'!s"&amp;$K$1)))</f>
        <v>617</v>
      </c>
      <c r="E20" s="21">
        <f>'数据-取费表'!B28</f>
        <v>200</v>
      </c>
      <c r="F20" s="803"/>
      <c r="G20" s="12"/>
      <c r="H20" s="808"/>
      <c r="I20" s="808"/>
      <c r="J20" s="808"/>
      <c r="K20" s="809"/>
    </row>
    <row r="21" spans="1:33" s="802" customFormat="1" ht="13.5" customHeight="1">
      <c r="A21" s="789" t="s">
        <v>357</v>
      </c>
      <c r="B21" s="812" t="s">
        <v>1628</v>
      </c>
      <c r="C21" s="813">
        <f ca="1">C16+C17+C18</f>
        <v>12</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2</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2</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-14</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64" t="s">
        <v>694</v>
      </c>
      <c r="C6" s="1073">
        <f ca="1">ROUND(F6*F8*F7*(1-F9)/10000,0)</f>
        <v>0</v>
      </c>
      <c r="D6" s="155" t="s">
        <v>2109</v>
      </c>
      <c r="E6" s="302" t="s">
        <v>696</v>
      </c>
      <c r="F6" s="303">
        <f ca="1">INDIRECT("'数据-取费表'!u"&amp;$G$1)</f>
        <v>0</v>
      </c>
      <c r="G6" s="1383"/>
      <c r="H6" s="1068" t="s">
        <v>398</v>
      </c>
      <c r="I6" s="3664" t="s">
        <v>694</v>
      </c>
      <c r="J6" s="301">
        <f ca="1">ROUND(M6*M8*M7*(1-M9)/10000,0)</f>
        <v>0</v>
      </c>
      <c r="K6" s="155" t="s">
        <v>2108</v>
      </c>
      <c r="L6" s="302" t="s">
        <v>696</v>
      </c>
      <c r="M6" s="303">
        <f ca="1">INDIRECT("'数据-取费表'!z"&amp;$G$1)</f>
        <v>0</v>
      </c>
    </row>
    <row r="7" spans="1:37" ht="18" customHeight="1">
      <c r="A7" s="1072"/>
      <c r="B7" s="3665"/>
      <c r="C7" s="1074"/>
      <c r="D7" s="307"/>
      <c r="E7" s="1075" t="s">
        <v>697</v>
      </c>
      <c r="F7" s="303">
        <f ca="1">IF(INDIRECT("'数据-取费表'!ah"&amp;$G$1)="",INDIRECT("'数据-取费表'!k"&amp;$G$1),INDIRECT("'数据-取费表'!ah"&amp;$G$1))</f>
        <v>0</v>
      </c>
      <c r="G7" s="1383"/>
      <c r="H7" s="304"/>
      <c r="I7" s="3665"/>
      <c r="J7" s="306"/>
      <c r="K7" s="307"/>
      <c r="L7" s="302" t="s">
        <v>697</v>
      </c>
      <c r="M7" s="303">
        <f ca="1">F7</f>
        <v>0</v>
      </c>
    </row>
    <row r="8" spans="1:37" ht="18" customHeight="1">
      <c r="A8" s="304"/>
      <c r="B8" s="3665"/>
      <c r="C8" s="306"/>
      <c r="D8" s="307"/>
      <c r="E8" s="302" t="s">
        <v>698</v>
      </c>
      <c r="F8" s="303">
        <f ca="1">INDIRECT("'数据-取费表'!ai"&amp;$G$1)</f>
        <v>0</v>
      </c>
      <c r="G8" s="1383"/>
      <c r="H8" s="304"/>
      <c r="I8" s="3665"/>
      <c r="J8" s="306"/>
      <c r="K8" s="307"/>
      <c r="L8" s="302" t="s">
        <v>698</v>
      </c>
      <c r="M8" s="303">
        <f ca="1">INDIRECT("'数据-取费表'!ai"&amp;$G$1)</f>
        <v>0</v>
      </c>
    </row>
    <row r="9" spans="1:37" ht="18" customHeight="1">
      <c r="A9" s="304"/>
      <c r="B9" s="3666"/>
      <c r="C9" s="306"/>
      <c r="D9" s="307"/>
      <c r="E9" s="302" t="s">
        <v>699</v>
      </c>
      <c r="F9" s="312">
        <f ca="1">INDIRECT("'数据-取费表'!w"&amp;$G$1)</f>
        <v>0</v>
      </c>
      <c r="G9" s="1383"/>
      <c r="H9" s="304"/>
      <c r="I9" s="3666"/>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3332</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2302</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3332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62" t="s">
        <v>837</v>
      </c>
      <c r="L53" s="3663"/>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4" zoomScaleNormal="70" zoomScaleSheetLayoutView="100" workbookViewId="0">
      <selection activeCell="K37" sqref="K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7.3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3418</v>
      </c>
      <c r="F1" s="1878" t="s">
        <v>3419</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1232.7660000000001</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19980</v>
      </c>
      <c r="C3" s="354" t="s">
        <v>1768</v>
      </c>
      <c r="D3" s="353">
        <f>IF(D1="",'数据-汇总表'!E3,SUMIF('数据-汇总表'!$C19:$C33,D1,'数据-汇总表'!$E19:$E33))</f>
        <v>617</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86" t="s">
        <v>1770</v>
      </c>
      <c r="D4" s="3687"/>
      <c r="E4" s="3688" t="s">
        <v>1771</v>
      </c>
      <c r="F4" s="3689"/>
      <c r="G4" s="3686" t="s">
        <v>1772</v>
      </c>
      <c r="H4" s="3687"/>
      <c r="I4" s="3686" t="s">
        <v>1773</v>
      </c>
      <c r="J4" s="3687"/>
      <c r="K4" s="559" t="s">
        <v>1774</v>
      </c>
      <c r="L4" s="2714"/>
      <c r="M4" s="2715"/>
      <c r="N4" s="2715"/>
      <c r="O4" s="2715"/>
      <c r="P4" s="3690" t="s">
        <v>1775</v>
      </c>
      <c r="Q4" s="3691"/>
      <c r="R4" s="3696" t="s">
        <v>1771</v>
      </c>
      <c r="S4" s="3697"/>
      <c r="T4" s="3696" t="s">
        <v>1772</v>
      </c>
      <c r="U4" s="3697"/>
      <c r="V4" s="3681" t="s">
        <v>1773</v>
      </c>
      <c r="W4" s="3681"/>
      <c r="X4" s="1354"/>
      <c r="Y4" s="3696" t="s">
        <v>1775</v>
      </c>
      <c r="Z4" s="3697"/>
      <c r="AA4" s="3683" t="s">
        <v>1771</v>
      </c>
      <c r="AB4" s="3681" t="s">
        <v>1772</v>
      </c>
      <c r="AC4" s="3683" t="s">
        <v>1773</v>
      </c>
    </row>
    <row r="5" spans="1:29" ht="15">
      <c r="A5" s="358"/>
      <c r="B5" s="359"/>
      <c r="C5" s="3709" t="s">
        <v>1673</v>
      </c>
      <c r="D5" s="3710"/>
      <c r="E5" s="3704" t="s">
        <v>3470</v>
      </c>
      <c r="F5" s="3705"/>
      <c r="G5" s="3704" t="s">
        <v>3464</v>
      </c>
      <c r="H5" s="3705"/>
      <c r="I5" s="3711" t="s">
        <v>3471</v>
      </c>
      <c r="J5" s="3710"/>
      <c r="K5" s="559"/>
      <c r="L5" s="2714"/>
      <c r="M5" s="2715"/>
      <c r="N5" s="2715"/>
      <c r="O5" s="2715"/>
      <c r="P5" s="3692"/>
      <c r="Q5" s="3693"/>
      <c r="R5" s="3698"/>
      <c r="S5" s="3699"/>
      <c r="T5" s="3698"/>
      <c r="U5" s="3699"/>
      <c r="V5" s="3681"/>
      <c r="W5" s="3681"/>
      <c r="X5" s="1354"/>
      <c r="Y5" s="3698"/>
      <c r="Z5" s="3699"/>
      <c r="AA5" s="3684"/>
      <c r="AB5" s="3681"/>
      <c r="AC5" s="3684"/>
    </row>
    <row r="6" spans="1:29" ht="15.75" thickBot="1">
      <c r="A6" s="360"/>
      <c r="B6" s="361"/>
      <c r="C6" s="3702" t="s">
        <v>1677</v>
      </c>
      <c r="D6" s="3703"/>
      <c r="E6" s="3712" t="s">
        <v>1677</v>
      </c>
      <c r="F6" s="3713"/>
      <c r="G6" s="3702" t="s">
        <v>1677</v>
      </c>
      <c r="H6" s="3703"/>
      <c r="I6" s="3702" t="s">
        <v>1677</v>
      </c>
      <c r="J6" s="3703"/>
      <c r="K6" s="559" t="s">
        <v>1678</v>
      </c>
      <c r="L6" s="2714"/>
      <c r="M6" s="2715"/>
      <c r="N6" s="2715"/>
      <c r="O6" s="2715"/>
      <c r="P6" s="3694"/>
      <c r="Q6" s="3695"/>
      <c r="R6" s="3698"/>
      <c r="S6" s="3699"/>
      <c r="T6" s="3700"/>
      <c r="U6" s="3701"/>
      <c r="V6" s="3681"/>
      <c r="W6" s="3681"/>
      <c r="X6" s="1354"/>
      <c r="Y6" s="3700"/>
      <c r="Z6" s="3701"/>
      <c r="AA6" s="3685"/>
      <c r="AB6" s="3681"/>
      <c r="AC6" s="3685"/>
    </row>
    <row r="7" spans="1:29" s="108" customFormat="1" ht="15.75" thickBot="1">
      <c r="A7" s="362" t="s">
        <v>1679</v>
      </c>
      <c r="B7" s="363"/>
      <c r="C7" s="364">
        <f>'数据-取费表'!B2</f>
        <v>45765</v>
      </c>
      <c r="D7" s="365">
        <v>100</v>
      </c>
      <c r="E7" s="366">
        <v>45748</v>
      </c>
      <c r="F7" s="367">
        <f>SUMIF(58:58,YEAR(E7)&amp;"-"&amp;MONTH(E7),59:59)</f>
        <v>100</v>
      </c>
      <c r="G7" s="366">
        <v>45748</v>
      </c>
      <c r="H7" s="365">
        <f>SUMIF(58:58,YEAR(G7)&amp;"-"&amp;MONTH(G7),59:59)</f>
        <v>100</v>
      </c>
      <c r="I7" s="366">
        <v>45748</v>
      </c>
      <c r="J7" s="365">
        <f>SUMIF(58:58,YEAR(I7)&amp;"-"&amp;MONTH(I7),59:59)</f>
        <v>100</v>
      </c>
      <c r="K7" s="560"/>
      <c r="L7" s="2716"/>
      <c r="M7" s="2717"/>
      <c r="N7" s="2717"/>
      <c r="O7" s="2717"/>
      <c r="P7" s="3706" t="s">
        <v>1680</v>
      </c>
      <c r="Q7" s="3708"/>
      <c r="R7" s="700" t="s">
        <v>14</v>
      </c>
      <c r="S7" s="701">
        <f t="shared" ref="S7:S15" si="0">F7</f>
        <v>100</v>
      </c>
      <c r="T7" s="700" t="s">
        <v>14</v>
      </c>
      <c r="U7" s="701">
        <f t="shared" ref="U7:U15" si="1">H7</f>
        <v>100</v>
      </c>
      <c r="V7" s="700" t="s">
        <v>14</v>
      </c>
      <c r="W7" s="701">
        <f t="shared" ref="W7:W15" si="2">J7</f>
        <v>100</v>
      </c>
      <c r="X7" s="702"/>
      <c r="Y7" s="3706" t="s">
        <v>1680</v>
      </c>
      <c r="Z7" s="3707"/>
      <c r="AA7" s="703">
        <f>D7/F7</f>
        <v>1</v>
      </c>
      <c r="AB7" s="703">
        <f>D7/H7</f>
        <v>1</v>
      </c>
      <c r="AC7" s="703">
        <f>D7/J7</f>
        <v>1</v>
      </c>
    </row>
    <row r="8" spans="1:29" s="108" customFormat="1" ht="15.75" thickBot="1">
      <c r="A8" s="362" t="s">
        <v>1681</v>
      </c>
      <c r="B8" s="363"/>
      <c r="C8" s="368" t="s">
        <v>3417</v>
      </c>
      <c r="D8" s="365">
        <v>100</v>
      </c>
      <c r="E8" s="368" t="s">
        <v>3421</v>
      </c>
      <c r="F8" s="367">
        <f>SUMIF(61:61,E8,62:62)-SUMIF(61:61,C8,62:62)+100</f>
        <v>102</v>
      </c>
      <c r="G8" s="368" t="s">
        <v>3421</v>
      </c>
      <c r="H8" s="365">
        <f>SUMIF(61:61,G8,62:62)-SUMIF(61:61,C8,62:62)+100</f>
        <v>102</v>
      </c>
      <c r="I8" s="368" t="s">
        <v>3421</v>
      </c>
      <c r="J8" s="365">
        <f>SUMIF(61:61,I8,62:62)-SUMIF(61:61,C8,62:62)+100</f>
        <v>102</v>
      </c>
      <c r="K8" s="560"/>
      <c r="L8" s="2716"/>
      <c r="M8" s="2717"/>
      <c r="N8" s="2717"/>
      <c r="O8" s="2717"/>
      <c r="P8" s="3706" t="s">
        <v>1683</v>
      </c>
      <c r="Q8" s="3707"/>
      <c r="R8" s="700" t="s">
        <v>14</v>
      </c>
      <c r="S8" s="701">
        <f t="shared" si="0"/>
        <v>102</v>
      </c>
      <c r="T8" s="700" t="s">
        <v>14</v>
      </c>
      <c r="U8" s="701">
        <f t="shared" si="1"/>
        <v>102</v>
      </c>
      <c r="V8" s="700" t="s">
        <v>14</v>
      </c>
      <c r="W8" s="701">
        <f t="shared" si="2"/>
        <v>102</v>
      </c>
      <c r="X8" s="702"/>
      <c r="Y8" s="3706" t="s">
        <v>1683</v>
      </c>
      <c r="Z8" s="3707"/>
      <c r="AA8" s="703">
        <f t="shared" ref="AA8:AA46" si="3">D8/F8</f>
        <v>0.98039215686274506</v>
      </c>
      <c r="AB8" s="703">
        <f t="shared" ref="AB8:AB46" si="4">D8/H8</f>
        <v>0.98039215686274506</v>
      </c>
      <c r="AC8" s="703">
        <f t="shared" ref="AC8:AC46" si="5">D8/J8</f>
        <v>0.98039215686274506</v>
      </c>
    </row>
    <row r="9" spans="1:29" s="108" customFormat="1" ht="15" thickBot="1">
      <c r="A9" s="369" t="s">
        <v>1684</v>
      </c>
      <c r="B9" s="63" t="s">
        <v>1685</v>
      </c>
      <c r="C9" s="3466" t="s">
        <v>3420</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82" t="s">
        <v>1686</v>
      </c>
      <c r="Q9" s="1342" t="str">
        <f t="shared" ref="Q9:Q15" si="6">B9</f>
        <v>用途</v>
      </c>
      <c r="R9" s="700" t="s">
        <v>14</v>
      </c>
      <c r="S9" s="701">
        <f t="shared" si="0"/>
        <v>100</v>
      </c>
      <c r="T9" s="700" t="s">
        <v>14</v>
      </c>
      <c r="U9" s="701">
        <f t="shared" si="1"/>
        <v>100</v>
      </c>
      <c r="V9" s="700" t="s">
        <v>14</v>
      </c>
      <c r="W9" s="701">
        <f t="shared" si="2"/>
        <v>100</v>
      </c>
      <c r="X9" s="702"/>
      <c r="Y9" s="3566" t="s">
        <v>1687</v>
      </c>
      <c r="Z9" s="52" t="str">
        <f t="shared" ref="Z9:Z15" si="7">Q9</f>
        <v>用途</v>
      </c>
      <c r="AA9" s="703">
        <f t="shared" si="3"/>
        <v>1</v>
      </c>
      <c r="AB9" s="703">
        <f t="shared" si="4"/>
        <v>1</v>
      </c>
      <c r="AC9" s="703">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2"/>
      <c r="Q10" s="1342" t="str">
        <f t="shared" si="6"/>
        <v>土地使用年限（年）</v>
      </c>
      <c r="R10" s="700" t="s">
        <v>14</v>
      </c>
      <c r="S10" s="701">
        <f t="shared" si="0"/>
        <v>100</v>
      </c>
      <c r="T10" s="700" t="s">
        <v>14</v>
      </c>
      <c r="U10" s="701">
        <f t="shared" si="1"/>
        <v>100</v>
      </c>
      <c r="V10" s="700" t="s">
        <v>14</v>
      </c>
      <c r="W10" s="701">
        <f t="shared" si="2"/>
        <v>100</v>
      </c>
      <c r="X10" s="702"/>
      <c r="Y10" s="3566"/>
      <c r="Z10" s="52" t="str">
        <f t="shared" si="7"/>
        <v>土地使用年限（年）</v>
      </c>
      <c r="AA10" s="703">
        <f t="shared" si="3"/>
        <v>1</v>
      </c>
      <c r="AB10" s="703">
        <f t="shared" si="4"/>
        <v>1</v>
      </c>
      <c r="AC10" s="703">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82"/>
      <c r="Q11" s="1342" t="str">
        <f t="shared" si="6"/>
        <v>容积率</v>
      </c>
      <c r="R11" s="700" t="s">
        <v>14</v>
      </c>
      <c r="S11" s="701">
        <f t="shared" si="0"/>
        <v>100</v>
      </c>
      <c r="T11" s="700" t="s">
        <v>14</v>
      </c>
      <c r="U11" s="701">
        <f t="shared" si="1"/>
        <v>100</v>
      </c>
      <c r="V11" s="700" t="s">
        <v>14</v>
      </c>
      <c r="W11" s="701">
        <f t="shared" si="2"/>
        <v>100</v>
      </c>
      <c r="X11" s="702"/>
      <c r="Y11" s="3566"/>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2"/>
      <c r="Q12" s="1342">
        <f t="shared" si="6"/>
        <v>111</v>
      </c>
      <c r="R12" s="700" t="s">
        <v>14</v>
      </c>
      <c r="S12" s="701">
        <f t="shared" si="0"/>
        <v>100</v>
      </c>
      <c r="T12" s="700" t="s">
        <v>14</v>
      </c>
      <c r="U12" s="701">
        <f t="shared" si="1"/>
        <v>100</v>
      </c>
      <c r="V12" s="700" t="s">
        <v>14</v>
      </c>
      <c r="W12" s="701">
        <f t="shared" si="2"/>
        <v>100</v>
      </c>
      <c r="X12" s="702"/>
      <c r="Y12" s="3566"/>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2"/>
      <c r="Q13" s="1342">
        <f t="shared" si="6"/>
        <v>111</v>
      </c>
      <c r="R13" s="700" t="s">
        <v>14</v>
      </c>
      <c r="S13" s="701">
        <f t="shared" si="0"/>
        <v>100</v>
      </c>
      <c r="T13" s="700" t="s">
        <v>14</v>
      </c>
      <c r="U13" s="701">
        <f t="shared" si="1"/>
        <v>100</v>
      </c>
      <c r="V13" s="700" t="s">
        <v>14</v>
      </c>
      <c r="W13" s="701">
        <f t="shared" si="2"/>
        <v>100</v>
      </c>
      <c r="X13" s="702"/>
      <c r="Y13" s="3566"/>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2"/>
      <c r="Q14" s="1342">
        <f t="shared" si="6"/>
        <v>111</v>
      </c>
      <c r="R14" s="700" t="s">
        <v>14</v>
      </c>
      <c r="S14" s="701">
        <f t="shared" si="0"/>
        <v>100</v>
      </c>
      <c r="T14" s="700" t="s">
        <v>14</v>
      </c>
      <c r="U14" s="701">
        <f t="shared" si="1"/>
        <v>100</v>
      </c>
      <c r="V14" s="700" t="s">
        <v>14</v>
      </c>
      <c r="W14" s="701">
        <f t="shared" si="2"/>
        <v>100</v>
      </c>
      <c r="X14" s="702"/>
      <c r="Y14" s="3566"/>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v>3</v>
      </c>
      <c r="L15" s="2721"/>
      <c r="M15" s="2715"/>
      <c r="N15" s="2715"/>
      <c r="O15" s="2715"/>
      <c r="P15" s="3672" t="s">
        <v>1691</v>
      </c>
      <c r="Q15" s="1351" t="str">
        <f t="shared" si="6"/>
        <v>商业繁华度</v>
      </c>
      <c r="R15" s="704" t="s">
        <v>14</v>
      </c>
      <c r="S15" s="705">
        <f t="shared" si="0"/>
        <v>100</v>
      </c>
      <c r="T15" s="704" t="s">
        <v>14</v>
      </c>
      <c r="U15" s="705">
        <f t="shared" si="1"/>
        <v>100</v>
      </c>
      <c r="V15" s="704" t="s">
        <v>14</v>
      </c>
      <c r="W15" s="705">
        <f t="shared" si="2"/>
        <v>100</v>
      </c>
      <c r="X15" s="1354"/>
      <c r="Y15" s="3674" t="s">
        <v>1691</v>
      </c>
      <c r="Z15" s="1355" t="str">
        <f t="shared" si="7"/>
        <v>商业繁华度</v>
      </c>
      <c r="AA15" s="1352">
        <f t="shared" si="3"/>
        <v>1</v>
      </c>
      <c r="AB15" s="1352">
        <f t="shared" si="4"/>
        <v>1</v>
      </c>
      <c r="AC15" s="1352">
        <f t="shared" si="5"/>
        <v>1</v>
      </c>
    </row>
    <row r="16" spans="1:29" ht="15">
      <c r="A16" s="379"/>
      <c r="B16" s="397"/>
      <c r="C16" s="398" t="s">
        <v>3442</v>
      </c>
      <c r="D16" s="399"/>
      <c r="E16" s="398" t="s">
        <v>3442</v>
      </c>
      <c r="F16" s="400"/>
      <c r="G16" s="398" t="s">
        <v>3442</v>
      </c>
      <c r="H16" s="401"/>
      <c r="I16" s="398" t="s">
        <v>3442</v>
      </c>
      <c r="J16" s="399"/>
      <c r="K16" s="564"/>
      <c r="L16" s="2721"/>
      <c r="M16" s="2715"/>
      <c r="N16" s="2715"/>
      <c r="O16" s="2715"/>
      <c r="P16" s="3673"/>
      <c r="Q16" s="1351"/>
      <c r="R16" s="704"/>
      <c r="S16" s="705"/>
      <c r="T16" s="704"/>
      <c r="U16" s="705"/>
      <c r="V16" s="704"/>
      <c r="W16" s="705"/>
      <c r="X16" s="1354"/>
      <c r="Y16" s="3675"/>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v>3</v>
      </c>
      <c r="L17" s="2721"/>
      <c r="M17" s="2715"/>
      <c r="N17" s="2715"/>
      <c r="O17" s="2715"/>
      <c r="P17" s="3673"/>
      <c r="Q17" s="1351" t="str">
        <f>B17</f>
        <v>交通便捷度</v>
      </c>
      <c r="R17" s="704" t="s">
        <v>14</v>
      </c>
      <c r="S17" s="705">
        <f>F17</f>
        <v>100</v>
      </c>
      <c r="T17" s="704" t="s">
        <v>14</v>
      </c>
      <c r="U17" s="705">
        <f>H17</f>
        <v>100</v>
      </c>
      <c r="V17" s="704" t="s">
        <v>14</v>
      </c>
      <c r="W17" s="705">
        <f>J17</f>
        <v>100</v>
      </c>
      <c r="X17" s="1354"/>
      <c r="Y17" s="3675"/>
      <c r="Z17" s="1355" t="str">
        <f>Q17</f>
        <v>交通便捷度</v>
      </c>
      <c r="AA17" s="1352">
        <f t="shared" si="3"/>
        <v>1</v>
      </c>
      <c r="AB17" s="1352">
        <f t="shared" si="4"/>
        <v>1</v>
      </c>
      <c r="AC17" s="1352">
        <f t="shared" si="5"/>
        <v>1</v>
      </c>
    </row>
    <row r="18" spans="1:29" ht="15">
      <c r="A18" s="379"/>
      <c r="B18" s="407"/>
      <c r="C18" s="1900" t="s">
        <v>3442</v>
      </c>
      <c r="D18" s="401"/>
      <c r="E18" s="1902" t="s">
        <v>3442</v>
      </c>
      <c r="F18" s="404"/>
      <c r="G18" s="1901" t="s">
        <v>3442</v>
      </c>
      <c r="H18" s="399"/>
      <c r="I18" s="1902" t="s">
        <v>3442</v>
      </c>
      <c r="J18" s="399"/>
      <c r="K18" s="564"/>
      <c r="L18" s="2721"/>
      <c r="M18" s="2715"/>
      <c r="N18" s="2715"/>
      <c r="O18" s="2715"/>
      <c r="P18" s="3673"/>
      <c r="Q18" s="1351"/>
      <c r="R18" s="704"/>
      <c r="S18" s="705"/>
      <c r="T18" s="704"/>
      <c r="U18" s="705"/>
      <c r="V18" s="704"/>
      <c r="W18" s="705"/>
      <c r="X18" s="1354"/>
      <c r="Y18" s="3675"/>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73"/>
      <c r="Q19" s="1351" t="str">
        <f>B19</f>
        <v>公共配套设施</v>
      </c>
      <c r="R19" s="704" t="s">
        <v>14</v>
      </c>
      <c r="S19" s="705">
        <f>F19</f>
        <v>100</v>
      </c>
      <c r="T19" s="704" t="s">
        <v>14</v>
      </c>
      <c r="U19" s="705">
        <f>H19</f>
        <v>100</v>
      </c>
      <c r="V19" s="704" t="s">
        <v>14</v>
      </c>
      <c r="W19" s="705">
        <f>J19</f>
        <v>100</v>
      </c>
      <c r="X19" s="1354"/>
      <c r="Y19" s="3675"/>
      <c r="Z19" s="1355" t="str">
        <f>Q19</f>
        <v>公共配套设施</v>
      </c>
      <c r="AA19" s="1352">
        <f t="shared" si="3"/>
        <v>1</v>
      </c>
      <c r="AB19" s="1352">
        <f t="shared" si="4"/>
        <v>1</v>
      </c>
      <c r="AC19" s="1352">
        <f t="shared" si="5"/>
        <v>1</v>
      </c>
    </row>
    <row r="20" spans="1:29" ht="15">
      <c r="A20" s="379"/>
      <c r="B20" s="407"/>
      <c r="C20" s="398" t="s">
        <v>3442</v>
      </c>
      <c r="D20" s="399"/>
      <c r="E20" s="1897" t="s">
        <v>3442</v>
      </c>
      <c r="F20" s="400"/>
      <c r="G20" s="1896" t="s">
        <v>3442</v>
      </c>
      <c r="H20" s="399"/>
      <c r="I20" s="1897" t="s">
        <v>3442</v>
      </c>
      <c r="J20" s="399"/>
      <c r="K20" s="564"/>
      <c r="L20" s="2721"/>
      <c r="M20" s="2715"/>
      <c r="N20" s="2715"/>
      <c r="O20" s="2715"/>
      <c r="P20" s="3673"/>
      <c r="Q20" s="1351"/>
      <c r="R20" s="704"/>
      <c r="S20" s="705"/>
      <c r="T20" s="704"/>
      <c r="U20" s="705"/>
      <c r="V20" s="704"/>
      <c r="W20" s="705"/>
      <c r="X20" s="1354"/>
      <c r="Y20" s="3675"/>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73"/>
      <c r="Q21" s="1351" t="str">
        <f>B21</f>
        <v>基础设施水平</v>
      </c>
      <c r="R21" s="704" t="s">
        <v>14</v>
      </c>
      <c r="S21" s="705">
        <f>F21</f>
        <v>100</v>
      </c>
      <c r="T21" s="704" t="s">
        <v>14</v>
      </c>
      <c r="U21" s="705">
        <f>H21</f>
        <v>100</v>
      </c>
      <c r="V21" s="704" t="s">
        <v>14</v>
      </c>
      <c r="W21" s="705">
        <f>J21</f>
        <v>100</v>
      </c>
      <c r="X21" s="1354"/>
      <c r="Y21" s="3675"/>
      <c r="Z21" s="1355" t="str">
        <f>Q21</f>
        <v>基础设施水平</v>
      </c>
      <c r="AA21" s="1352">
        <f t="shared" ref="AA21" si="8">D21/F21</f>
        <v>1</v>
      </c>
      <c r="AB21" s="1352">
        <f t="shared" ref="AB21" si="9">D21/H21</f>
        <v>1</v>
      </c>
      <c r="AC21" s="1352">
        <f t="shared" ref="AC21" si="10">D21/J21</f>
        <v>1</v>
      </c>
    </row>
    <row r="22" spans="1:29" ht="15">
      <c r="A22" s="379"/>
      <c r="B22" s="1130"/>
      <c r="C22" s="1900" t="s">
        <v>3433</v>
      </c>
      <c r="D22" s="399"/>
      <c r="E22" s="398" t="s">
        <v>3433</v>
      </c>
      <c r="F22" s="400"/>
      <c r="G22" s="398" t="s">
        <v>3433</v>
      </c>
      <c r="H22" s="399"/>
      <c r="I22" s="398" t="s">
        <v>3433</v>
      </c>
      <c r="J22" s="399"/>
      <c r="K22" s="1129"/>
      <c r="L22" s="2721"/>
      <c r="M22" s="2715"/>
      <c r="N22" s="2715"/>
      <c r="O22" s="2715"/>
      <c r="P22" s="3673"/>
      <c r="Q22" s="1351"/>
      <c r="R22" s="704"/>
      <c r="S22" s="705"/>
      <c r="T22" s="704"/>
      <c r="U22" s="705"/>
      <c r="V22" s="704"/>
      <c r="W22" s="705"/>
      <c r="X22" s="1354"/>
      <c r="Y22" s="3675"/>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73"/>
      <c r="Q23" s="1351" t="str">
        <f>B23</f>
        <v>自然及人文环境</v>
      </c>
      <c r="R23" s="704" t="s">
        <v>14</v>
      </c>
      <c r="S23" s="705">
        <f>F23</f>
        <v>100</v>
      </c>
      <c r="T23" s="704" t="s">
        <v>14</v>
      </c>
      <c r="U23" s="705">
        <f>H23</f>
        <v>100</v>
      </c>
      <c r="V23" s="704" t="s">
        <v>14</v>
      </c>
      <c r="W23" s="705">
        <f>J23</f>
        <v>100</v>
      </c>
      <c r="X23" s="1354"/>
      <c r="Y23" s="3675"/>
      <c r="Z23" s="1355" t="str">
        <f>Q23</f>
        <v>自然及人文环境</v>
      </c>
      <c r="AA23" s="1352">
        <f t="shared" si="3"/>
        <v>1</v>
      </c>
      <c r="AB23" s="1352">
        <f t="shared" si="4"/>
        <v>1</v>
      </c>
      <c r="AC23" s="1352">
        <f t="shared" si="5"/>
        <v>1</v>
      </c>
    </row>
    <row r="24" spans="1:29" ht="15">
      <c r="A24" s="379"/>
      <c r="B24" s="407"/>
      <c r="C24" s="398" t="s">
        <v>3442</v>
      </c>
      <c r="D24" s="399"/>
      <c r="E24" s="398" t="s">
        <v>3442</v>
      </c>
      <c r="F24" s="400"/>
      <c r="G24" s="398" t="s">
        <v>3442</v>
      </c>
      <c r="H24" s="399"/>
      <c r="I24" s="398" t="s">
        <v>3442</v>
      </c>
      <c r="J24" s="399"/>
      <c r="K24" s="564"/>
      <c r="L24" s="2721"/>
      <c r="M24" s="2715"/>
      <c r="N24" s="2715"/>
      <c r="O24" s="2715"/>
      <c r="P24" s="3673"/>
      <c r="Q24" s="1351"/>
      <c r="R24" s="704"/>
      <c r="S24" s="705"/>
      <c r="T24" s="704"/>
      <c r="U24" s="705"/>
      <c r="V24" s="704"/>
      <c r="W24" s="705"/>
      <c r="X24" s="1354"/>
      <c r="Y24" s="3675"/>
      <c r="Z24" s="1355"/>
      <c r="AA24" s="1352">
        <v>1</v>
      </c>
      <c r="AB24" s="1352">
        <v>1</v>
      </c>
      <c r="AC24" s="1352">
        <v>1</v>
      </c>
    </row>
    <row r="25" spans="1:29" ht="15">
      <c r="A25" s="379"/>
      <c r="B25" s="375" t="s">
        <v>1780</v>
      </c>
      <c r="C25" s="565" t="s">
        <v>3423</v>
      </c>
      <c r="D25" s="386">
        <v>100</v>
      </c>
      <c r="E25" s="565" t="s">
        <v>3423</v>
      </c>
      <c r="F25" s="412">
        <f>SUMIF(86:86,E25,87:87)-SUMIF(86:86,C25,87:87)+100</f>
        <v>100</v>
      </c>
      <c r="G25" s="565" t="s">
        <v>3423</v>
      </c>
      <c r="H25" s="386">
        <f>SUMIF(86:86,G25,87:87)-SUMIF(86:86,C25,87:87)+100</f>
        <v>100</v>
      </c>
      <c r="I25" s="565" t="s">
        <v>3423</v>
      </c>
      <c r="J25" s="386">
        <f>SUMIF(86:86,I25,87:87)-SUMIF(86:86,C25,87:87)+100</f>
        <v>100</v>
      </c>
      <c r="K25" s="561">
        <v>2</v>
      </c>
      <c r="L25" s="2721"/>
      <c r="M25" s="2715"/>
      <c r="N25" s="2715"/>
      <c r="O25" s="2715"/>
      <c r="P25" s="3673"/>
      <c r="Q25" s="1351" t="str">
        <f t="shared" ref="Q25:Q46" si="11">B25</f>
        <v>临街状况</v>
      </c>
      <c r="R25" s="704" t="s">
        <v>14</v>
      </c>
      <c r="S25" s="705">
        <f>F25</f>
        <v>100</v>
      </c>
      <c r="T25" s="704" t="s">
        <v>14</v>
      </c>
      <c r="U25" s="705">
        <f>H25</f>
        <v>100</v>
      </c>
      <c r="V25" s="704" t="s">
        <v>14</v>
      </c>
      <c r="W25" s="705">
        <f>J25</f>
        <v>100</v>
      </c>
      <c r="X25" s="1354"/>
      <c r="Y25" s="3675"/>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73"/>
      <c r="Q26" s="1351" t="str">
        <f t="shared" si="11"/>
        <v>平面位置/可视性</v>
      </c>
      <c r="R26" s="704" t="s">
        <v>14</v>
      </c>
      <c r="S26" s="705">
        <f>F26</f>
        <v>100</v>
      </c>
      <c r="T26" s="704" t="s">
        <v>14</v>
      </c>
      <c r="U26" s="705">
        <f>H26</f>
        <v>100</v>
      </c>
      <c r="V26" s="704" t="s">
        <v>14</v>
      </c>
      <c r="W26" s="705">
        <f>J26</f>
        <v>100</v>
      </c>
      <c r="X26" s="1354"/>
      <c r="Y26" s="3675"/>
      <c r="Z26" s="1355" t="str">
        <f>Q26</f>
        <v>平面位置/可视性</v>
      </c>
      <c r="AA26" s="1352">
        <f t="shared" si="3"/>
        <v>1</v>
      </c>
      <c r="AB26" s="1352">
        <f t="shared" si="4"/>
        <v>1</v>
      </c>
      <c r="AC26" s="1352">
        <f t="shared" si="5"/>
        <v>1</v>
      </c>
    </row>
    <row r="27" spans="1:29" s="108" customFormat="1" ht="15">
      <c r="A27" s="382"/>
      <c r="B27" s="402" t="s">
        <v>1782</v>
      </c>
      <c r="C27" s="1955" t="s">
        <v>3447</v>
      </c>
      <c r="D27" s="413">
        <v>100</v>
      </c>
      <c r="E27" s="1955" t="s">
        <v>3447</v>
      </c>
      <c r="F27" s="415">
        <f>SUMIF(90:90,E27,91:91)-SUMIF(90:90,C27,91:91)+100</f>
        <v>100</v>
      </c>
      <c r="G27" s="1955" t="s">
        <v>3447</v>
      </c>
      <c r="H27" s="413">
        <f>SUMIF(90:90,G27,91:91)-SUMIF(90:90,C27,91:91)+100</f>
        <v>100</v>
      </c>
      <c r="I27" s="1955" t="s">
        <v>3447</v>
      </c>
      <c r="J27" s="413">
        <f>SUMIF(90:90,I27,91:91)-SUMIF(90:90,C27,91:91)+100</f>
        <v>100</v>
      </c>
      <c r="K27" s="561">
        <v>3</v>
      </c>
      <c r="L27" s="2716"/>
      <c r="M27" s="2717"/>
      <c r="N27" s="2717"/>
      <c r="O27" s="2717"/>
      <c r="P27" s="3673"/>
      <c r="Q27" s="1342" t="str">
        <f t="shared" si="11"/>
        <v>人流量</v>
      </c>
      <c r="R27" s="700" t="s">
        <v>14</v>
      </c>
      <c r="S27" s="701">
        <f>F27</f>
        <v>100</v>
      </c>
      <c r="T27" s="700" t="s">
        <v>14</v>
      </c>
      <c r="U27" s="701">
        <f>H27</f>
        <v>100</v>
      </c>
      <c r="V27" s="700" t="s">
        <v>14</v>
      </c>
      <c r="W27" s="701">
        <f>J27</f>
        <v>100</v>
      </c>
      <c r="X27" s="702"/>
      <c r="Y27" s="3675"/>
      <c r="Z27" s="52" t="str">
        <f>Q27</f>
        <v>人流量</v>
      </c>
      <c r="AA27" s="1352">
        <f>D27/F27</f>
        <v>1</v>
      </c>
      <c r="AB27" s="1352">
        <f>D27/H27</f>
        <v>1</v>
      </c>
      <c r="AC27" s="1352">
        <f>D27/J27</f>
        <v>1</v>
      </c>
    </row>
    <row r="28" spans="1:29" ht="28.5" thickBot="1">
      <c r="A28" s="379"/>
      <c r="B28" s="375" t="s">
        <v>1783</v>
      </c>
      <c r="C28" s="565" t="s">
        <v>3461</v>
      </c>
      <c r="D28" s="386">
        <v>100</v>
      </c>
      <c r="E28" s="565" t="s">
        <v>3446</v>
      </c>
      <c r="F28" s="412">
        <f>SUMIF(92:92,E28,93:93)-SUMIF(92:92,C28,93:93)+100</f>
        <v>120</v>
      </c>
      <c r="G28" s="565" t="s">
        <v>3446</v>
      </c>
      <c r="H28" s="386">
        <f>SUMIF(92:92,G28,93:93)-SUMIF(92:92,C28,93:93)+100</f>
        <v>120</v>
      </c>
      <c r="I28" s="565" t="s">
        <v>3446</v>
      </c>
      <c r="J28" s="386">
        <f>SUMIF(92:92,I28,93:93)-SUMIF(92:92,C28,93:93)+100</f>
        <v>120</v>
      </c>
      <c r="K28" s="562"/>
      <c r="L28" s="2721" t="s">
        <v>3469</v>
      </c>
      <c r="M28" s="2715"/>
      <c r="N28" s="2715"/>
      <c r="O28" s="2715"/>
      <c r="P28" s="3673"/>
      <c r="Q28" s="1351" t="str">
        <f t="shared" si="11"/>
        <v>楼层</v>
      </c>
      <c r="R28" s="704" t="s">
        <v>14</v>
      </c>
      <c r="S28" s="705">
        <f t="shared" ref="S28:S46" si="12">F28</f>
        <v>120</v>
      </c>
      <c r="T28" s="704" t="s">
        <v>14</v>
      </c>
      <c r="U28" s="705">
        <f t="shared" ref="U28:U46" si="13">H28</f>
        <v>120</v>
      </c>
      <c r="V28" s="704" t="s">
        <v>14</v>
      </c>
      <c r="W28" s="705">
        <f t="shared" ref="W28:W46" si="14">J28</f>
        <v>120</v>
      </c>
      <c r="X28" s="1354"/>
      <c r="Y28" s="3675"/>
      <c r="Z28" s="1355" t="str">
        <f t="shared" ref="Z28:Z46" si="15">Q28</f>
        <v>楼层</v>
      </c>
      <c r="AA28" s="1352">
        <f t="shared" si="3"/>
        <v>0.83333333333333337</v>
      </c>
      <c r="AB28" s="1352">
        <f t="shared" si="4"/>
        <v>0.83333333333333337</v>
      </c>
      <c r="AC28" s="1352">
        <f t="shared" si="5"/>
        <v>0.83333333333333337</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73"/>
      <c r="Q29" s="1351">
        <f t="shared" si="11"/>
        <v>111</v>
      </c>
      <c r="R29" s="704" t="s">
        <v>14</v>
      </c>
      <c r="S29" s="705">
        <f t="shared" si="12"/>
        <v>100</v>
      </c>
      <c r="T29" s="704" t="s">
        <v>14</v>
      </c>
      <c r="U29" s="705">
        <f t="shared" si="13"/>
        <v>100</v>
      </c>
      <c r="V29" s="704" t="s">
        <v>14</v>
      </c>
      <c r="W29" s="705">
        <f t="shared" si="14"/>
        <v>100</v>
      </c>
      <c r="X29" s="1354"/>
      <c r="Y29" s="3675"/>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73"/>
      <c r="Q30" s="1351">
        <f t="shared" si="11"/>
        <v>111</v>
      </c>
      <c r="R30" s="704" t="s">
        <v>14</v>
      </c>
      <c r="S30" s="705">
        <f t="shared" si="12"/>
        <v>100</v>
      </c>
      <c r="T30" s="704" t="s">
        <v>14</v>
      </c>
      <c r="U30" s="705">
        <f t="shared" si="13"/>
        <v>100</v>
      </c>
      <c r="V30" s="704" t="s">
        <v>14</v>
      </c>
      <c r="W30" s="705">
        <f t="shared" si="14"/>
        <v>100</v>
      </c>
      <c r="X30" s="1354"/>
      <c r="Y30" s="3675"/>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73"/>
      <c r="Q31" s="1351">
        <f t="shared" si="11"/>
        <v>111</v>
      </c>
      <c r="R31" s="704" t="s">
        <v>14</v>
      </c>
      <c r="S31" s="705">
        <f t="shared" si="12"/>
        <v>100</v>
      </c>
      <c r="T31" s="704" t="s">
        <v>14</v>
      </c>
      <c r="U31" s="705">
        <f t="shared" si="13"/>
        <v>100</v>
      </c>
      <c r="V31" s="704" t="s">
        <v>14</v>
      </c>
      <c r="W31" s="705">
        <f t="shared" si="14"/>
        <v>100</v>
      </c>
      <c r="X31" s="1354"/>
      <c r="Y31" s="3675"/>
      <c r="Z31" s="1355">
        <f t="shared" si="15"/>
        <v>111</v>
      </c>
      <c r="AA31" s="1352">
        <f t="shared" si="3"/>
        <v>1</v>
      </c>
      <c r="AB31" s="1352">
        <f t="shared" si="4"/>
        <v>1</v>
      </c>
      <c r="AC31" s="1352">
        <f t="shared" si="5"/>
        <v>1</v>
      </c>
    </row>
    <row r="32" spans="1:29" ht="15">
      <c r="A32" s="391" t="s">
        <v>1694</v>
      </c>
      <c r="B32" s="63" t="s">
        <v>1784</v>
      </c>
      <c r="C32" s="1909" t="s">
        <v>3459</v>
      </c>
      <c r="D32" s="418">
        <v>100</v>
      </c>
      <c r="E32" s="1909" t="s">
        <v>3459</v>
      </c>
      <c r="F32" s="412">
        <f>SUMIF(100:100,E32,101:101)-SUMIF(100:100,C32,101:101)+100</f>
        <v>100</v>
      </c>
      <c r="G32" s="1909" t="s">
        <v>3459</v>
      </c>
      <c r="H32" s="386">
        <f>SUMIF(100:100,G32,101:101)-SUMIF(100:100,C32,101:101)+100</f>
        <v>100</v>
      </c>
      <c r="I32" s="1909" t="s">
        <v>3459</v>
      </c>
      <c r="J32" s="418">
        <f>SUMIF(100:100,I32,101:101)-SUMIF(100:100,C32,101:101)+100</f>
        <v>100</v>
      </c>
      <c r="K32" s="561">
        <v>0</v>
      </c>
      <c r="L32" s="2721"/>
      <c r="M32" s="2715"/>
      <c r="N32" s="2715"/>
      <c r="O32" s="2715"/>
      <c r="P32" s="3676" t="s">
        <v>1696</v>
      </c>
      <c r="Q32" s="1351" t="str">
        <f t="shared" si="11"/>
        <v>商业类型</v>
      </c>
      <c r="R32" s="704" t="s">
        <v>14</v>
      </c>
      <c r="S32" s="705">
        <f t="shared" si="12"/>
        <v>100</v>
      </c>
      <c r="T32" s="704" t="s">
        <v>14</v>
      </c>
      <c r="U32" s="705">
        <f t="shared" si="13"/>
        <v>100</v>
      </c>
      <c r="V32" s="704" t="s">
        <v>14</v>
      </c>
      <c r="W32" s="705">
        <f t="shared" si="14"/>
        <v>100</v>
      </c>
      <c r="X32" s="1354"/>
      <c r="Y32" s="3679" t="s">
        <v>1696</v>
      </c>
      <c r="Z32" s="1355" t="str">
        <f t="shared" si="15"/>
        <v>商业类型</v>
      </c>
      <c r="AA32" s="1352">
        <f t="shared" si="3"/>
        <v>1</v>
      </c>
      <c r="AB32" s="1352">
        <f t="shared" si="4"/>
        <v>1</v>
      </c>
      <c r="AC32" s="1352">
        <f t="shared" si="5"/>
        <v>1</v>
      </c>
    </row>
    <row r="33" spans="1:29" s="422" customFormat="1" ht="15">
      <c r="A33" s="419"/>
      <c r="B33" s="375" t="s">
        <v>1697</v>
      </c>
      <c r="C33" s="420">
        <f>'数据-汇总表'!F19</f>
        <v>617</v>
      </c>
      <c r="D33" s="127">
        <v>100</v>
      </c>
      <c r="E33" s="420">
        <v>69.69</v>
      </c>
      <c r="F33" s="376">
        <f>LOOKUP(E33,103:103,104:104)-LOOKUP(C33,103:103,104:104)+100</f>
        <v>106</v>
      </c>
      <c r="G33" s="420">
        <v>83.5</v>
      </c>
      <c r="H33" s="127">
        <f>LOOKUP(G33,103:103,104:104)-LOOKUP(C33,103:103,104:104)+100</f>
        <v>106</v>
      </c>
      <c r="I33" s="420">
        <v>714</v>
      </c>
      <c r="J33" s="127">
        <f>LOOKUP(I33,103:103,104:104)-LOOKUP(C33,103:103,104:104)+100</f>
        <v>100</v>
      </c>
      <c r="K33" s="562"/>
      <c r="L33" s="2720"/>
      <c r="M33" s="2722"/>
      <c r="N33" s="2722"/>
      <c r="O33" s="2722"/>
      <c r="P33" s="3677"/>
      <c r="Q33" s="706" t="str">
        <f t="shared" si="11"/>
        <v>项目建筑规模</v>
      </c>
      <c r="R33" s="707" t="s">
        <v>14</v>
      </c>
      <c r="S33" s="708">
        <f t="shared" si="12"/>
        <v>106</v>
      </c>
      <c r="T33" s="707" t="s">
        <v>14</v>
      </c>
      <c r="U33" s="708">
        <f t="shared" si="13"/>
        <v>106</v>
      </c>
      <c r="V33" s="707" t="s">
        <v>14</v>
      </c>
      <c r="W33" s="708">
        <f t="shared" si="14"/>
        <v>100</v>
      </c>
      <c r="X33" s="709"/>
      <c r="Y33" s="3679"/>
      <c r="Z33" s="710" t="str">
        <f t="shared" si="15"/>
        <v>项目建筑规模</v>
      </c>
      <c r="AA33" s="1352">
        <f t="shared" si="3"/>
        <v>0.94339622641509435</v>
      </c>
      <c r="AB33" s="1352">
        <f t="shared" si="4"/>
        <v>0.94339622641509435</v>
      </c>
      <c r="AC33" s="1352">
        <f t="shared" si="5"/>
        <v>1</v>
      </c>
    </row>
    <row r="34" spans="1:29" ht="15">
      <c r="A34" s="423"/>
      <c r="B34" s="375" t="s">
        <v>1698</v>
      </c>
      <c r="C34" s="1911" t="s">
        <v>3431</v>
      </c>
      <c r="D34" s="386">
        <v>100</v>
      </c>
      <c r="E34" s="1911" t="s">
        <v>3431</v>
      </c>
      <c r="F34" s="412">
        <f>SUMIF(105:105,E34,106:106)-SUMIF(105:105,C34,106:106)+100</f>
        <v>100</v>
      </c>
      <c r="G34" s="1911" t="s">
        <v>3431</v>
      </c>
      <c r="H34" s="386">
        <f>SUMIF(105:105,G34,106:106)-SUMIF(105:105,C34,106:106)+100</f>
        <v>100</v>
      </c>
      <c r="I34" s="1911" t="s">
        <v>3431</v>
      </c>
      <c r="J34" s="386">
        <f>SUMIF(105:105,I34,106:106)-SUMIF(105:105,C34,106:106)+100</f>
        <v>100</v>
      </c>
      <c r="K34" s="561"/>
      <c r="L34" s="2721"/>
      <c r="M34" s="2715"/>
      <c r="N34" s="2715"/>
      <c r="O34" s="2715"/>
      <c r="P34" s="3677"/>
      <c r="Q34" s="1351" t="str">
        <f t="shared" si="11"/>
        <v>建筑结构</v>
      </c>
      <c r="R34" s="704" t="s">
        <v>14</v>
      </c>
      <c r="S34" s="705">
        <f t="shared" si="12"/>
        <v>100</v>
      </c>
      <c r="T34" s="704" t="s">
        <v>14</v>
      </c>
      <c r="U34" s="705">
        <f t="shared" si="13"/>
        <v>100</v>
      </c>
      <c r="V34" s="704" t="s">
        <v>14</v>
      </c>
      <c r="W34" s="705">
        <f t="shared" si="14"/>
        <v>100</v>
      </c>
      <c r="X34" s="1354"/>
      <c r="Y34" s="3679"/>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77"/>
      <c r="Q35" s="1351" t="str">
        <f t="shared" si="11"/>
        <v>公共部分装修</v>
      </c>
      <c r="R35" s="704" t="s">
        <v>14</v>
      </c>
      <c r="S35" s="705">
        <f t="shared" si="12"/>
        <v>100</v>
      </c>
      <c r="T35" s="704" t="s">
        <v>14</v>
      </c>
      <c r="U35" s="705">
        <f t="shared" si="13"/>
        <v>100</v>
      </c>
      <c r="V35" s="704" t="s">
        <v>14</v>
      </c>
      <c r="W35" s="705">
        <f t="shared" si="14"/>
        <v>100</v>
      </c>
      <c r="X35" s="1354"/>
      <c r="Y35" s="3679"/>
      <c r="Z35" s="1355" t="str">
        <f t="shared" si="15"/>
        <v>公共部分装修</v>
      </c>
      <c r="AA35" s="1352">
        <f t="shared" si="3"/>
        <v>1</v>
      </c>
      <c r="AB35" s="1352">
        <f t="shared" si="4"/>
        <v>1</v>
      </c>
      <c r="AC35" s="1352">
        <f t="shared" si="5"/>
        <v>1</v>
      </c>
    </row>
    <row r="36" spans="1:29" ht="15">
      <c r="A36" s="423"/>
      <c r="B36" s="375" t="s">
        <v>1786</v>
      </c>
      <c r="C36" s="425">
        <f>'数据-取费表'!N6</f>
        <v>0.75</v>
      </c>
      <c r="D36" s="386">
        <v>100</v>
      </c>
      <c r="E36" s="425">
        <f>C36</f>
        <v>0.75</v>
      </c>
      <c r="F36" s="412">
        <f>LOOKUP(E36,110:110,111:111)-LOOKUP(C36,110:110,111:111)+100</f>
        <v>100</v>
      </c>
      <c r="G36" s="425">
        <f>C36</f>
        <v>0.75</v>
      </c>
      <c r="H36" s="412">
        <f>LOOKUP(G36,110:110,111:111)-LOOKUP(C36,110:110,111:111)+100</f>
        <v>100</v>
      </c>
      <c r="I36" s="425">
        <v>0.85</v>
      </c>
      <c r="J36" s="386">
        <f>LOOKUP(I36,110:110,111:111)-LOOKUP(C36,110:110,111:111)+100</f>
        <v>102</v>
      </c>
      <c r="K36" s="561">
        <v>2</v>
      </c>
      <c r="L36" s="2721"/>
      <c r="M36" s="2715"/>
      <c r="N36" s="2715"/>
      <c r="O36" s="2715"/>
      <c r="P36" s="3677"/>
      <c r="Q36" s="1351" t="str">
        <f t="shared" si="11"/>
        <v>成新度</v>
      </c>
      <c r="R36" s="704" t="s">
        <v>14</v>
      </c>
      <c r="S36" s="705">
        <f t="shared" si="12"/>
        <v>100</v>
      </c>
      <c r="T36" s="704" t="s">
        <v>14</v>
      </c>
      <c r="U36" s="705">
        <f t="shared" si="13"/>
        <v>100</v>
      </c>
      <c r="V36" s="704" t="s">
        <v>14</v>
      </c>
      <c r="W36" s="705">
        <f t="shared" si="14"/>
        <v>102</v>
      </c>
      <c r="X36" s="1354"/>
      <c r="Y36" s="3679"/>
      <c r="Z36" s="1355" t="str">
        <f t="shared" si="15"/>
        <v>成新度</v>
      </c>
      <c r="AA36" s="1352">
        <f t="shared" si="3"/>
        <v>1</v>
      </c>
      <c r="AB36" s="1352">
        <f t="shared" si="4"/>
        <v>1</v>
      </c>
      <c r="AC36" s="1352">
        <f t="shared" si="5"/>
        <v>0.98039215686274506</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77"/>
      <c r="Q37" s="1342" t="str">
        <f t="shared" si="11"/>
        <v>市政基础设施</v>
      </c>
      <c r="R37" s="700" t="s">
        <v>14</v>
      </c>
      <c r="S37" s="701">
        <f t="shared" si="12"/>
        <v>100</v>
      </c>
      <c r="T37" s="700" t="s">
        <v>14</v>
      </c>
      <c r="U37" s="701">
        <f t="shared" si="13"/>
        <v>100</v>
      </c>
      <c r="V37" s="700" t="s">
        <v>14</v>
      </c>
      <c r="W37" s="701">
        <f t="shared" si="14"/>
        <v>100</v>
      </c>
      <c r="X37" s="702"/>
      <c r="Y37" s="3679"/>
      <c r="Z37" s="52" t="str">
        <f t="shared" si="15"/>
        <v>市政基础设施</v>
      </c>
      <c r="AA37" s="703">
        <f t="shared" si="3"/>
        <v>1</v>
      </c>
      <c r="AB37" s="703">
        <f t="shared" si="4"/>
        <v>1</v>
      </c>
      <c r="AC37" s="703">
        <f t="shared" si="5"/>
        <v>1</v>
      </c>
    </row>
    <row r="38" spans="1:29" ht="15">
      <c r="A38" s="423"/>
      <c r="B38" s="375" t="s">
        <v>1788</v>
      </c>
      <c r="C38" s="1905" t="s">
        <v>3448</v>
      </c>
      <c r="D38" s="386">
        <v>100</v>
      </c>
      <c r="E38" s="1905" t="s">
        <v>3448</v>
      </c>
      <c r="F38" s="412">
        <f>SUMIF(114:114,E38,115:115)-SUMIF(114:114,C38,115:115)+100</f>
        <v>100</v>
      </c>
      <c r="G38" s="1905" t="s">
        <v>3448</v>
      </c>
      <c r="H38" s="386">
        <f>SUMIF(114:114,G38,115:115)-SUMIF(114:114,C38,115:115)+100</f>
        <v>100</v>
      </c>
      <c r="I38" s="1905" t="s">
        <v>3463</v>
      </c>
      <c r="J38" s="386">
        <f>SUMIF(114:114,I38,115:115)-SUMIF(114:114,C38,115:115)+100</f>
        <v>102</v>
      </c>
      <c r="K38" s="561">
        <v>2</v>
      </c>
      <c r="L38" s="2721"/>
      <c r="M38" s="2715"/>
      <c r="N38" s="2715"/>
      <c r="O38" s="2715"/>
      <c r="P38" s="3677" t="s">
        <v>1696</v>
      </c>
      <c r="Q38" s="1351" t="str">
        <f t="shared" si="11"/>
        <v>业态</v>
      </c>
      <c r="R38" s="704" t="s">
        <v>14</v>
      </c>
      <c r="S38" s="705">
        <f t="shared" si="12"/>
        <v>100</v>
      </c>
      <c r="T38" s="704" t="s">
        <v>14</v>
      </c>
      <c r="U38" s="705">
        <f t="shared" si="13"/>
        <v>100</v>
      </c>
      <c r="V38" s="704" t="s">
        <v>14</v>
      </c>
      <c r="W38" s="705">
        <f t="shared" si="14"/>
        <v>102</v>
      </c>
      <c r="X38" s="1354"/>
      <c r="Y38" s="3679" t="s">
        <v>1696</v>
      </c>
      <c r="Z38" s="1355" t="str">
        <f t="shared" si="15"/>
        <v>业态</v>
      </c>
      <c r="AA38" s="1352">
        <f t="shared" si="3"/>
        <v>1</v>
      </c>
      <c r="AB38" s="1352">
        <f t="shared" si="4"/>
        <v>1</v>
      </c>
      <c r="AC38" s="1352">
        <f t="shared" si="5"/>
        <v>0.98039215686274506</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77"/>
      <c r="Q39" s="1351" t="str">
        <f t="shared" si="11"/>
        <v>层高</v>
      </c>
      <c r="R39" s="704" t="s">
        <v>14</v>
      </c>
      <c r="S39" s="705">
        <f t="shared" si="12"/>
        <v>100</v>
      </c>
      <c r="T39" s="704" t="s">
        <v>14</v>
      </c>
      <c r="U39" s="705">
        <f t="shared" si="13"/>
        <v>100</v>
      </c>
      <c r="V39" s="704" t="s">
        <v>14</v>
      </c>
      <c r="W39" s="705">
        <f t="shared" si="14"/>
        <v>100</v>
      </c>
      <c r="X39" s="1354"/>
      <c r="Y39" s="3679"/>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77"/>
      <c r="Q40" s="1351" t="str">
        <f t="shared" si="11"/>
        <v>单套建筑面积</v>
      </c>
      <c r="R40" s="704" t="s">
        <v>14</v>
      </c>
      <c r="S40" s="705">
        <f t="shared" si="12"/>
        <v>100</v>
      </c>
      <c r="T40" s="704" t="s">
        <v>14</v>
      </c>
      <c r="U40" s="705">
        <f t="shared" si="13"/>
        <v>100</v>
      </c>
      <c r="V40" s="704" t="s">
        <v>14</v>
      </c>
      <c r="W40" s="705">
        <f t="shared" si="14"/>
        <v>100</v>
      </c>
      <c r="X40" s="1354"/>
      <c r="Y40" s="3679"/>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7"/>
      <c r="Q41" s="706" t="str">
        <f t="shared" si="11"/>
        <v>进深比</v>
      </c>
      <c r="R41" s="707" t="s">
        <v>14</v>
      </c>
      <c r="S41" s="708">
        <f t="shared" si="12"/>
        <v>100</v>
      </c>
      <c r="T41" s="707" t="s">
        <v>14</v>
      </c>
      <c r="U41" s="708">
        <f t="shared" si="13"/>
        <v>100</v>
      </c>
      <c r="V41" s="707" t="s">
        <v>14</v>
      </c>
      <c r="W41" s="708">
        <f t="shared" si="14"/>
        <v>100</v>
      </c>
      <c r="X41" s="709"/>
      <c r="Y41" s="3679"/>
      <c r="Z41" s="710" t="str">
        <f t="shared" si="15"/>
        <v>进深比</v>
      </c>
      <c r="AA41" s="1352">
        <f t="shared" si="3"/>
        <v>1</v>
      </c>
      <c r="AB41" s="1352">
        <f t="shared" si="4"/>
        <v>1</v>
      </c>
      <c r="AC41" s="1352">
        <f t="shared" si="5"/>
        <v>1</v>
      </c>
    </row>
    <row r="42" spans="1:29" ht="15">
      <c r="A42" s="423"/>
      <c r="B42" s="375" t="s">
        <v>1792</v>
      </c>
      <c r="C42" s="1905" t="s">
        <v>3439</v>
      </c>
      <c r="D42" s="386">
        <v>100</v>
      </c>
      <c r="E42" s="1905" t="s">
        <v>3439</v>
      </c>
      <c r="F42" s="412">
        <f>SUMIF(122:122,E42,123:123)-SUMIF(122:122,C42,123:123)+100</f>
        <v>100</v>
      </c>
      <c r="G42" s="1905" t="s">
        <v>3439</v>
      </c>
      <c r="H42" s="386">
        <f>SUMIF(122:122,G42,123:123)-SUMIF(122:122,C42,123:123)+100</f>
        <v>100</v>
      </c>
      <c r="I42" s="1905" t="s">
        <v>3462</v>
      </c>
      <c r="J42" s="386">
        <f>SUMIF(122:122,I42,123:123)-SUMIF(122:122,C42,123:123)+100</f>
        <v>98</v>
      </c>
      <c r="K42" s="561">
        <v>2</v>
      </c>
      <c r="L42" s="2721"/>
      <c r="M42" s="2715"/>
      <c r="N42" s="2715"/>
      <c r="O42" s="2715"/>
      <c r="P42" s="3677"/>
      <c r="Q42" s="1351" t="str">
        <f t="shared" si="11"/>
        <v>内部装修</v>
      </c>
      <c r="R42" s="704" t="s">
        <v>14</v>
      </c>
      <c r="S42" s="705">
        <f t="shared" si="12"/>
        <v>100</v>
      </c>
      <c r="T42" s="704" t="s">
        <v>14</v>
      </c>
      <c r="U42" s="705">
        <f t="shared" si="13"/>
        <v>100</v>
      </c>
      <c r="V42" s="704" t="s">
        <v>14</v>
      </c>
      <c r="W42" s="705">
        <f t="shared" si="14"/>
        <v>98</v>
      </c>
      <c r="X42" s="1354"/>
      <c r="Y42" s="3679"/>
      <c r="Z42" s="1355" t="str">
        <f t="shared" si="15"/>
        <v>内部装修</v>
      </c>
      <c r="AA42" s="1352">
        <f t="shared" si="3"/>
        <v>1</v>
      </c>
      <c r="AB42" s="1352">
        <f t="shared" si="4"/>
        <v>1</v>
      </c>
      <c r="AC42" s="1352">
        <f t="shared" si="5"/>
        <v>1.0204081632653061</v>
      </c>
    </row>
    <row r="43" spans="1:29" ht="15.75" thickBot="1">
      <c r="A43" s="423"/>
      <c r="B43" s="375" t="s">
        <v>1707</v>
      </c>
      <c r="C43" s="1905" t="s">
        <v>3442</v>
      </c>
      <c r="D43" s="386">
        <v>100</v>
      </c>
      <c r="E43" s="1905" t="s">
        <v>3442</v>
      </c>
      <c r="F43" s="412">
        <f>SUMIF(124:124,E43,125:125)-SUMIF(124:124,C43,125:125)+100</f>
        <v>100</v>
      </c>
      <c r="G43" s="1905" t="s">
        <v>3442</v>
      </c>
      <c r="H43" s="386">
        <f>SUMIF(124:124,G43,125:125)-SUMIF(124:124,C43,125:125)+100</f>
        <v>100</v>
      </c>
      <c r="I43" s="1905" t="s">
        <v>3442</v>
      </c>
      <c r="J43" s="386">
        <f>SUMIF(124:124,I43,125:125)-SUMIF(124:124,C43,125:125)+100</f>
        <v>100</v>
      </c>
      <c r="K43" s="561">
        <v>2</v>
      </c>
      <c r="L43" s="2721"/>
      <c r="M43" s="2715"/>
      <c r="N43" s="2715"/>
      <c r="O43" s="2715"/>
      <c r="P43" s="3677"/>
      <c r="Q43" s="1351" t="str">
        <f t="shared" si="11"/>
        <v>内部装修维护情况</v>
      </c>
      <c r="R43" s="704" t="s">
        <v>14</v>
      </c>
      <c r="S43" s="705">
        <f t="shared" si="12"/>
        <v>100</v>
      </c>
      <c r="T43" s="704" t="s">
        <v>14</v>
      </c>
      <c r="U43" s="705">
        <f t="shared" si="13"/>
        <v>100</v>
      </c>
      <c r="V43" s="704" t="s">
        <v>14</v>
      </c>
      <c r="W43" s="705">
        <f t="shared" si="14"/>
        <v>100</v>
      </c>
      <c r="X43" s="1354"/>
      <c r="Y43" s="3679"/>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7"/>
      <c r="Q44" s="1342">
        <f t="shared" si="11"/>
        <v>111</v>
      </c>
      <c r="R44" s="700" t="s">
        <v>14</v>
      </c>
      <c r="S44" s="701">
        <f t="shared" si="12"/>
        <v>100</v>
      </c>
      <c r="T44" s="700" t="s">
        <v>14</v>
      </c>
      <c r="U44" s="701">
        <f t="shared" si="13"/>
        <v>100</v>
      </c>
      <c r="V44" s="700" t="s">
        <v>14</v>
      </c>
      <c r="W44" s="701">
        <f t="shared" si="14"/>
        <v>100</v>
      </c>
      <c r="X44" s="702"/>
      <c r="Y44" s="3679"/>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7"/>
      <c r="Q45" s="1351">
        <f t="shared" si="11"/>
        <v>111</v>
      </c>
      <c r="R45" s="704" t="s">
        <v>14</v>
      </c>
      <c r="S45" s="705">
        <f t="shared" si="12"/>
        <v>100</v>
      </c>
      <c r="T45" s="704" t="s">
        <v>14</v>
      </c>
      <c r="U45" s="705">
        <f t="shared" si="13"/>
        <v>100</v>
      </c>
      <c r="V45" s="704" t="s">
        <v>14</v>
      </c>
      <c r="W45" s="705">
        <f t="shared" si="14"/>
        <v>100</v>
      </c>
      <c r="X45" s="1354"/>
      <c r="Y45" s="3679"/>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8"/>
      <c r="Q46" s="1351">
        <f t="shared" si="11"/>
        <v>111</v>
      </c>
      <c r="R46" s="704" t="s">
        <v>14</v>
      </c>
      <c r="S46" s="705">
        <f t="shared" si="12"/>
        <v>100</v>
      </c>
      <c r="T46" s="704" t="s">
        <v>14</v>
      </c>
      <c r="U46" s="705">
        <f t="shared" si="13"/>
        <v>100</v>
      </c>
      <c r="V46" s="704" t="s">
        <v>14</v>
      </c>
      <c r="W46" s="705">
        <f t="shared" si="14"/>
        <v>100</v>
      </c>
      <c r="X46" s="1354"/>
      <c r="Y46" s="3680"/>
      <c r="Z46" s="1355">
        <f t="shared" si="15"/>
        <v>111</v>
      </c>
      <c r="AA46" s="1352">
        <f t="shared" si="3"/>
        <v>1</v>
      </c>
      <c r="AB46" s="1352">
        <f t="shared" si="4"/>
        <v>1</v>
      </c>
      <c r="AC46" s="1352">
        <f t="shared" si="5"/>
        <v>1</v>
      </c>
    </row>
    <row r="47" spans="1:29" ht="15">
      <c r="A47" s="430" t="s">
        <v>1708</v>
      </c>
      <c r="B47" s="431"/>
      <c r="C47" s="1153" t="s">
        <v>0</v>
      </c>
      <c r="D47" s="1154"/>
      <c r="E47" s="1155">
        <v>25828</v>
      </c>
      <c r="F47" s="1156"/>
      <c r="G47" s="1157">
        <v>24910</v>
      </c>
      <c r="H47" s="1158"/>
      <c r="I47" s="1155">
        <v>26000</v>
      </c>
      <c r="J47" s="1158"/>
      <c r="K47" s="713"/>
      <c r="L47" s="2723"/>
      <c r="M47" s="2724"/>
      <c r="N47" s="2715"/>
      <c r="O47" s="2724"/>
      <c r="P47" s="3667" t="str">
        <f>A47</f>
        <v>成交单价（元/平方米）</v>
      </c>
      <c r="Q47" s="3667"/>
      <c r="R47" s="3681">
        <f>E47</f>
        <v>25828</v>
      </c>
      <c r="S47" s="3681"/>
      <c r="T47" s="3681">
        <f>G47</f>
        <v>24910</v>
      </c>
      <c r="U47" s="3681"/>
      <c r="V47" s="3681">
        <f>I47</f>
        <v>26000</v>
      </c>
      <c r="W47" s="3681"/>
      <c r="X47" s="689"/>
      <c r="Y47" s="711"/>
      <c r="Z47" s="689"/>
      <c r="AA47" s="689"/>
      <c r="AB47" s="689"/>
      <c r="AC47" s="689"/>
    </row>
    <row r="48" spans="1:29" ht="15.75" thickBot="1">
      <c r="A48" s="437" t="s">
        <v>1793</v>
      </c>
      <c r="B48" s="438"/>
      <c r="C48" s="1159">
        <f>R49</f>
        <v>19980</v>
      </c>
      <c r="D48" s="2316" t="s">
        <v>2138</v>
      </c>
      <c r="E48" s="1160">
        <f>R48</f>
        <v>19907</v>
      </c>
      <c r="F48" s="2317"/>
      <c r="G48" s="1159">
        <f>T48</f>
        <v>19199</v>
      </c>
      <c r="H48" s="2317"/>
      <c r="I48" s="1160">
        <f>V48</f>
        <v>20834</v>
      </c>
      <c r="J48" s="2317"/>
      <c r="K48" s="2319">
        <f>F48+H48+J48</f>
        <v>0</v>
      </c>
      <c r="L48" s="2723"/>
      <c r="M48" s="2724"/>
      <c r="N48" s="2715"/>
      <c r="O48" s="2724"/>
      <c r="P48" s="3667" t="str">
        <f>A48</f>
        <v>比较价值（元/平方米）</v>
      </c>
      <c r="Q48" s="3667"/>
      <c r="R48" s="3668">
        <f>IF(F1="售价",ROUND(PRODUCT(R47,AA7:AA46),0),ROUND(PRODUCT(R47,AA7:AA46),1))</f>
        <v>19907</v>
      </c>
      <c r="S48" s="3668"/>
      <c r="T48" s="3668">
        <f>IF(F1="售价",ROUND(PRODUCT(T47,AB7:AB46),0),ROUND(PRODUCT(T47,AB7:AB46),1))</f>
        <v>19199</v>
      </c>
      <c r="U48" s="3668"/>
      <c r="V48" s="3668">
        <f>IF(F1="售价",ROUND(PRODUCT(V47,AC7:AC46),0),ROUND(PRODUCT(V47,AC7:AC46),1))</f>
        <v>20834</v>
      </c>
      <c r="W48" s="3668"/>
      <c r="X48" s="689"/>
      <c r="Y48" s="689"/>
      <c r="Z48" s="689"/>
      <c r="AA48" s="689"/>
      <c r="AB48" s="689"/>
      <c r="AC48" s="689"/>
    </row>
    <row r="49" spans="1:29" ht="15.75" thickBot="1">
      <c r="A49" s="441" t="s">
        <v>1794</v>
      </c>
      <c r="B49" s="442"/>
      <c r="C49" s="1162">
        <f>R49</f>
        <v>19980</v>
      </c>
      <c r="D49" s="1162"/>
      <c r="E49" s="1162"/>
      <c r="F49" s="1162"/>
      <c r="G49" s="1162"/>
      <c r="H49" s="1162"/>
      <c r="I49" s="1162"/>
      <c r="J49" s="1162"/>
      <c r="K49" s="714"/>
      <c r="L49" s="2723"/>
      <c r="M49" s="2724"/>
      <c r="N49" s="2715"/>
      <c r="O49" s="2724"/>
      <c r="P49" s="3669" t="str">
        <f>A49</f>
        <v>估价对象XX用房的比较价值（楼面单价，元/平方米）</v>
      </c>
      <c r="Q49" s="3670"/>
      <c r="R49" s="3671">
        <f>IF(F1="售价",ROUND(IF(D48="简单平均",AVERAGE(R48:V48),R48*F48+T48*H48+V48*J48),0),ROUND(IF(D48="简单平均",AVERAGE(R48:V48),R48*F48+T48*H48+V48*J48),1))</f>
        <v>19980</v>
      </c>
      <c r="S49" s="3671"/>
      <c r="T49" s="3671"/>
      <c r="U49" s="3671"/>
      <c r="V49" s="3671"/>
      <c r="W49" s="367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3470"/>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0.29743306374642087</v>
      </c>
      <c r="F52" s="449" t="str">
        <f>IF(OR(E52&gt;=0.3,E52&lt;=-0.3),"超过30%","")</f>
        <v/>
      </c>
      <c r="G52" s="448">
        <f>IF(G47&lt;G48,G48/G47-1,G47/G48-1)</f>
        <v>0.29746340955258077</v>
      </c>
      <c r="H52" s="449" t="str">
        <f>IF(OR(G52&gt;=0.3,G52&lt;=-0.3),"超过30%","")</f>
        <v/>
      </c>
      <c r="I52" s="448">
        <f>IF(I47&lt;I48,I48/I47-1,I47/I48-1)</f>
        <v>0.24796006527791103</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3.6876920672951785E-2</v>
      </c>
      <c r="F53" s="449" t="str">
        <f>IF(OR(E53&gt;=0.2,E53&lt;=-0.2),"超过20%","")</f>
        <v/>
      </c>
      <c r="G53" s="448">
        <f>IF(G48&lt;I48,I48/G48-1,G48/I48-1)</f>
        <v>8.5160685452367213E-2</v>
      </c>
      <c r="H53" s="449" t="str">
        <f>IF(OR(G53&gt;=0.2,G53&lt;=-0.2),"超过20%","")</f>
        <v/>
      </c>
      <c r="I53" s="448">
        <f>IF(I48&lt;E48,E48/I48-1,I48/E48-1)</f>
        <v>4.6566534384889779E-2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3.6852669610598188E-2</v>
      </c>
      <c r="F54" s="449" t="str">
        <f>IF(OR(E54&gt;=0.3,E54&lt;=-0.3),"超过30%","")</f>
        <v/>
      </c>
      <c r="G54" s="448">
        <f>IF(G47&lt;I47,I47/G47-1,G47/I47-1)</f>
        <v>4.3757527097551208E-2</v>
      </c>
      <c r="H54" s="449" t="str">
        <f>IF(OR(G54&gt;=0.3,G54&lt;=-0.3),"超过30%","")</f>
        <v/>
      </c>
      <c r="I54" s="448">
        <f>IF(I47&lt;E47,E47/I47-1,I47/E47-1)</f>
        <v>6.6594393681276287E-3</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2025-4</v>
      </c>
      <c r="D58" s="1184">
        <f>EDATE(C58,-1)</f>
        <v>45717</v>
      </c>
      <c r="E58" s="1184">
        <f t="shared" ref="E58:N58" si="16">EDATE(D58,-1)</f>
        <v>45689</v>
      </c>
      <c r="F58" s="1184">
        <f t="shared" si="16"/>
        <v>45658</v>
      </c>
      <c r="G58" s="1184">
        <f t="shared" si="16"/>
        <v>45627</v>
      </c>
      <c r="H58" s="1184">
        <f t="shared" si="16"/>
        <v>45597</v>
      </c>
      <c r="I58" s="1184">
        <f t="shared" si="16"/>
        <v>45566</v>
      </c>
      <c r="J58" s="1184">
        <f t="shared" si="16"/>
        <v>45536</v>
      </c>
      <c r="K58" s="1184">
        <f t="shared" si="16"/>
        <v>45505</v>
      </c>
      <c r="L58" s="1184">
        <f t="shared" si="16"/>
        <v>45474</v>
      </c>
      <c r="M58" s="1184">
        <f t="shared" si="16"/>
        <v>45444</v>
      </c>
      <c r="N58" s="1184">
        <f t="shared" si="16"/>
        <v>45413</v>
      </c>
      <c r="O58" s="1184">
        <f>EDATE(N58,-1)</f>
        <v>45383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67" t="s">
        <v>3422</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97</v>
      </c>
      <c r="E77" s="493">
        <f>D77-$K15</f>
        <v>94</v>
      </c>
      <c r="F77" s="493">
        <f>E77-$K15</f>
        <v>91</v>
      </c>
      <c r="G77" s="493">
        <f>F77-$K15</f>
        <v>88</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97</v>
      </c>
      <c r="E79" s="493">
        <f>D79-$K17</f>
        <v>94</v>
      </c>
      <c r="F79" s="493">
        <f>E79-$K17</f>
        <v>91</v>
      </c>
      <c r="G79" s="493">
        <f>F79-$K17</f>
        <v>88</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68" t="s">
        <v>3424</v>
      </c>
      <c r="D86" s="3468" t="s">
        <v>3425</v>
      </c>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68" t="s">
        <v>3426</v>
      </c>
      <c r="D90" s="3468" t="s">
        <v>3427</v>
      </c>
      <c r="E90" s="3468" t="s">
        <v>3428</v>
      </c>
      <c r="F90" s="3468" t="s">
        <v>3429</v>
      </c>
      <c r="G90" s="3468" t="s">
        <v>3430</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3449</v>
      </c>
      <c r="D92" s="503" t="s">
        <v>3450</v>
      </c>
      <c r="E92" s="503"/>
      <c r="F92" s="503"/>
      <c r="G92" s="503"/>
      <c r="H92" s="503"/>
      <c r="I92" s="503"/>
      <c r="J92" s="503"/>
      <c r="K92" s="503"/>
      <c r="L92" s="529"/>
      <c r="M92" s="530"/>
      <c r="N92" s="2752" t="s">
        <v>3454</v>
      </c>
      <c r="O92" s="2752">
        <v>100</v>
      </c>
      <c r="P92" s="2743">
        <f>ROUND(O92/O96*P96,0)</f>
        <v>114</v>
      </c>
      <c r="Q92" s="2738"/>
      <c r="R92" s="2724"/>
      <c r="S92" s="2724"/>
      <c r="T92" s="2724"/>
      <c r="U92" s="2724"/>
      <c r="V92" s="2724"/>
      <c r="W92" s="2724"/>
      <c r="X92" s="2724"/>
      <c r="Y92" s="2724"/>
      <c r="Z92" s="2724"/>
      <c r="AA92" s="2724"/>
      <c r="AB92" s="2724"/>
      <c r="AC92" s="2724"/>
    </row>
    <row r="93" spans="1:29" ht="15.75" thickBot="1">
      <c r="A93" s="483"/>
      <c r="B93" s="492"/>
      <c r="C93" s="485">
        <v>100</v>
      </c>
      <c r="D93" s="485">
        <v>120</v>
      </c>
      <c r="E93" s="485"/>
      <c r="F93" s="485"/>
      <c r="G93" s="485"/>
      <c r="H93" s="485"/>
      <c r="I93" s="485"/>
      <c r="J93" s="485"/>
      <c r="K93" s="485"/>
      <c r="L93" s="485"/>
      <c r="M93" s="486"/>
      <c r="N93" s="2753" t="s">
        <v>3455</v>
      </c>
      <c r="O93" s="2753">
        <v>75</v>
      </c>
      <c r="P93" s="2743">
        <f>ROUND(O93/O96*P96,0)</f>
        <v>85</v>
      </c>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t="s">
        <v>3456</v>
      </c>
      <c r="O94" s="2752">
        <v>65</v>
      </c>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t="s">
        <v>3457</v>
      </c>
      <c r="O95" s="2753">
        <f>ROUND((O92+O93+O94)/3,0)</f>
        <v>80</v>
      </c>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t="s">
        <v>3458</v>
      </c>
      <c r="O96" s="2752">
        <f>ROUND((O92+O93)/2,0)</f>
        <v>88</v>
      </c>
      <c r="P96" s="2743">
        <v>100</v>
      </c>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69" t="s">
        <v>3460</v>
      </c>
      <c r="D100" s="3469"/>
      <c r="E100" s="346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0(含)-200</v>
      </c>
      <c r="D102" s="527" t="str">
        <f t="shared" ref="D102:L102" si="23">D103&amp;"(含)"&amp;"-"&amp;E103</f>
        <v>200(含)-400</v>
      </c>
      <c r="E102" s="527" t="str">
        <f t="shared" si="23"/>
        <v>400(含)-600</v>
      </c>
      <c r="F102" s="527" t="str">
        <f t="shared" si="23"/>
        <v>600(含)-800</v>
      </c>
      <c r="G102" s="527" t="str">
        <f t="shared" si="23"/>
        <v>800(含)-</v>
      </c>
      <c r="H102" s="527" t="str">
        <f t="shared" si="23"/>
        <v>(含)-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200</v>
      </c>
      <c r="E103" s="544">
        <v>400</v>
      </c>
      <c r="F103" s="544">
        <v>600</v>
      </c>
      <c r="G103" s="544">
        <v>800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68" t="s">
        <v>3432</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3433</v>
      </c>
      <c r="D112" s="503" t="s">
        <v>3434</v>
      </c>
      <c r="E112" s="503" t="s">
        <v>3435</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68" t="s">
        <v>3436</v>
      </c>
      <c r="D114" s="3468" t="s">
        <v>3437</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68" t="s">
        <v>3438</v>
      </c>
      <c r="D122" s="3468" t="s">
        <v>3440</v>
      </c>
      <c r="E122" s="3468" t="s">
        <v>3441</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34" sqref="I34"/>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17</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822.14689999999996</v>
      </c>
      <c r="C2" s="1386" t="s">
        <v>879</v>
      </c>
      <c r="D2" s="1470">
        <f ca="1">C40+J29+L46</f>
        <v>8221469</v>
      </c>
      <c r="E2" s="1387" t="s">
        <v>880</v>
      </c>
      <c r="F2" s="1388"/>
      <c r="G2" s="2705"/>
      <c r="H2" s="2694"/>
      <c r="I2" s="2694"/>
      <c r="J2" s="2694"/>
      <c r="K2" s="2695"/>
      <c r="L2" s="2694"/>
      <c r="M2" s="2694"/>
    </row>
    <row r="3" spans="1:37" ht="18" customHeight="1" thickBot="1">
      <c r="A3" s="1389" t="s">
        <v>881</v>
      </c>
      <c r="B3" s="1390">
        <f ca="1">IF(ISERROR(D2/F43),0,ROUND(D2/F43,0))</f>
        <v>13325</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689988</v>
      </c>
      <c r="D5" s="1363" t="s">
        <v>889</v>
      </c>
      <c r="E5" s="1070"/>
      <c r="F5" s="1071"/>
      <c r="G5" s="1383"/>
      <c r="H5" s="299">
        <v>1</v>
      </c>
      <c r="I5" s="300" t="s">
        <v>888</v>
      </c>
      <c r="J5" s="1069">
        <f ca="1">J6+J10+J12</f>
        <v>0</v>
      </c>
      <c r="K5" s="1363" t="s">
        <v>889</v>
      </c>
      <c r="L5" s="1070"/>
      <c r="M5" s="1071"/>
    </row>
    <row r="6" spans="1:37" ht="18" customHeight="1">
      <c r="A6" s="1068" t="s">
        <v>398</v>
      </c>
      <c r="B6" s="3664" t="s">
        <v>694</v>
      </c>
      <c r="C6" s="1073">
        <f ca="1">ROUND(F6*F8*F7*(1-F9),0)</f>
        <v>689127</v>
      </c>
      <c r="D6" s="155" t="s">
        <v>2106</v>
      </c>
      <c r="E6" s="302" t="s">
        <v>696</v>
      </c>
      <c r="F6" s="303">
        <f ca="1">INDIRECT("'数据-取费表'!u"&amp;$G$1)</f>
        <v>3.4</v>
      </c>
      <c r="G6" s="1383"/>
      <c r="H6" s="1068" t="s">
        <v>398</v>
      </c>
      <c r="I6" s="3664" t="s">
        <v>694</v>
      </c>
      <c r="J6" s="301">
        <f ca="1">ROUND(M6*M8*M7*(1-M9),0)</f>
        <v>0</v>
      </c>
      <c r="K6" s="1375" t="s">
        <v>2107</v>
      </c>
      <c r="L6" s="302" t="s">
        <v>696</v>
      </c>
      <c r="M6" s="303">
        <f ca="1">INDIRECT("'数据-取费表'!z"&amp;$G$1)</f>
        <v>0</v>
      </c>
    </row>
    <row r="7" spans="1:37" ht="18" customHeight="1">
      <c r="A7" s="1072"/>
      <c r="B7" s="3665"/>
      <c r="C7" s="1074"/>
      <c r="D7" s="307"/>
      <c r="E7" s="1075" t="s">
        <v>697</v>
      </c>
      <c r="F7" s="303">
        <f ca="1">IF(INDIRECT("'数据-取费表'!ah"&amp;$G$1)="",INDIRECT("'数据-取费表'!k"&amp;$G$1),INDIRECT("'数据-取费表'!ah"&amp;$G$1))</f>
        <v>617</v>
      </c>
      <c r="G7" s="1383"/>
      <c r="H7" s="304"/>
      <c r="I7" s="3665"/>
      <c r="J7" s="306"/>
      <c r="K7" s="307"/>
      <c r="L7" s="302" t="s">
        <v>697</v>
      </c>
      <c r="M7" s="303">
        <f ca="1">F7</f>
        <v>617</v>
      </c>
    </row>
    <row r="8" spans="1:37" ht="18" customHeight="1">
      <c r="A8" s="304"/>
      <c r="B8" s="3665"/>
      <c r="C8" s="306"/>
      <c r="D8" s="307"/>
      <c r="E8" s="302" t="s">
        <v>698</v>
      </c>
      <c r="F8" s="303">
        <f ca="1">INDIRECT("'数据-取费表'!ai"&amp;$G$1)</f>
        <v>365</v>
      </c>
      <c r="G8" s="1383"/>
      <c r="H8" s="304"/>
      <c r="I8" s="3665"/>
      <c r="J8" s="306"/>
      <c r="K8" s="307"/>
      <c r="L8" s="302" t="s">
        <v>698</v>
      </c>
      <c r="M8" s="303">
        <f ca="1">INDIRECT("'数据-取费表'!ai"&amp;$G$1)</f>
        <v>365</v>
      </c>
    </row>
    <row r="9" spans="1:37" ht="18" customHeight="1">
      <c r="A9" s="304"/>
      <c r="B9" s="3666"/>
      <c r="C9" s="306"/>
      <c r="D9" s="307"/>
      <c r="E9" s="302" t="s">
        <v>699</v>
      </c>
      <c r="F9" s="312">
        <f ca="1">INDIRECT("'数据-取费表'!w"&amp;$G$1)</f>
        <v>0.1</v>
      </c>
      <c r="G9" s="1383"/>
      <c r="H9" s="304"/>
      <c r="I9" s="3666"/>
      <c r="J9" s="306"/>
      <c r="K9" s="307"/>
      <c r="L9" s="313" t="s">
        <v>699</v>
      </c>
      <c r="M9" s="314">
        <f ca="1">INDIRECT("'数据-取费表'!ab"&amp;$G$1)</f>
        <v>0</v>
      </c>
    </row>
    <row r="10" spans="1:37" ht="18" customHeight="1">
      <c r="A10" s="1068" t="s">
        <v>402</v>
      </c>
      <c r="B10" s="1364" t="s">
        <v>700</v>
      </c>
      <c r="C10" s="316">
        <f ca="1">ROUND(IF(F10="押一",C6/12*F11,IF(F10="押二",C6/12*2*F11,IF(F10="押三",C6/12*3*F11,C11*F11))),0)</f>
        <v>861</v>
      </c>
      <c r="D10" s="1365" t="s">
        <v>2116</v>
      </c>
      <c r="E10" s="313" t="s">
        <v>701</v>
      </c>
      <c r="F10" s="1115" t="s">
        <v>3443</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2485842</v>
      </c>
      <c r="D13" s="1080" t="s">
        <v>705</v>
      </c>
      <c r="E13" s="1080" t="s">
        <v>706</v>
      </c>
      <c r="F13" s="1081">
        <f ca="1">INDIRECT("'数据-取费表'!y"&amp;$G$1)</f>
        <v>0.75</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2159500</v>
      </c>
      <c r="D14" s="1344" t="s">
        <v>708</v>
      </c>
      <c r="E14" s="1341"/>
      <c r="F14" s="319"/>
      <c r="G14" s="1383"/>
      <c r="H14" s="981" t="s">
        <v>398</v>
      </c>
      <c r="I14" s="302" t="s">
        <v>709</v>
      </c>
      <c r="J14" s="21">
        <f ca="1">C29</f>
        <v>3314456</v>
      </c>
      <c r="K14" s="12"/>
      <c r="L14" s="806"/>
      <c r="M14" s="807"/>
    </row>
    <row r="15" spans="1:37" s="1396" customFormat="1" ht="18" customHeight="1" thickBot="1">
      <c r="A15" s="981" t="s">
        <v>399</v>
      </c>
      <c r="B15" s="302" t="s">
        <v>710</v>
      </c>
      <c r="C15" s="21">
        <f ca="1">ROUND(C14*F15,0)</f>
        <v>107975</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9943</v>
      </c>
      <c r="K16" s="1086" t="s">
        <v>715</v>
      </c>
      <c r="L16" s="1087"/>
      <c r="M16" s="1071"/>
    </row>
    <row r="17" spans="1:37" s="1396" customFormat="1" ht="18" customHeight="1">
      <c r="A17" s="981" t="s">
        <v>681</v>
      </c>
      <c r="B17" s="302" t="s">
        <v>716</v>
      </c>
      <c r="C17" s="21">
        <f ca="1">ROUND(F17*(F43+INDIRECT("'数据-取费表'!S"&amp;$G$1)),0)</f>
        <v>123400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43190</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2434065</v>
      </c>
      <c r="D19" s="131" t="s">
        <v>726</v>
      </c>
      <c r="E19" s="1359"/>
      <c r="F19" s="23"/>
      <c r="G19" s="1383"/>
      <c r="H19" s="981" t="s">
        <v>399</v>
      </c>
      <c r="I19" s="302" t="s">
        <v>727</v>
      </c>
      <c r="J19" s="21">
        <f ca="1">IF(K19="按租金收入计税",ROUND(J6*M19/(1+'数据-取费表'!C42),0),ROUND(C29*M19*0.7,0))</f>
        <v>0</v>
      </c>
      <c r="K19" s="1369" t="s">
        <v>3332</v>
      </c>
      <c r="L19" s="302" t="s">
        <v>712</v>
      </c>
      <c r="M19" s="322">
        <f>IF(K19="按租金收入计税",'数据-取费表'!B51,'数据-取费表'!B50)</f>
        <v>0.12</v>
      </c>
    </row>
    <row r="20" spans="1:37" s="1396" customFormat="1" ht="18" customHeight="1">
      <c r="A20" s="981" t="s">
        <v>402</v>
      </c>
      <c r="B20" s="302" t="s">
        <v>728</v>
      </c>
      <c r="C20" s="21">
        <f ca="1">ROUND(C19*F20,0)</f>
        <v>48681</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9943</v>
      </c>
      <c r="K22" s="1343" t="s">
        <v>739</v>
      </c>
      <c r="L22" s="302" t="s">
        <v>712</v>
      </c>
      <c r="M22" s="328">
        <f ca="1">INDIRECT("'数据-取费表'!Ak"&amp;$G$1)</f>
        <v>3.0000000000000001E-3</v>
      </c>
    </row>
    <row r="23" spans="1:37" s="1396" customFormat="1" ht="18" customHeight="1">
      <c r="A23" s="981" t="s">
        <v>397</v>
      </c>
      <c r="B23" s="302" t="s">
        <v>740</v>
      </c>
      <c r="C23" s="21">
        <f ca="1">IF('数据-取费表'!B22&lt;=1,ROUND(C19*F24*F23/2,0)+ROUND(C20*F24*F23/2,0),ROUND(C19*(POWER((1+F24),F23/2)-1),0)+ROUND(C20*(POWER((1+F24),F23/2)-1),0))</f>
        <v>76965</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-9943</v>
      </c>
      <c r="K25" s="1094" t="s">
        <v>753</v>
      </c>
      <c r="L25" s="1095"/>
      <c r="M25" s="1096"/>
    </row>
    <row r="26" spans="1:37" ht="18" customHeight="1">
      <c r="A26" s="981" t="s">
        <v>397</v>
      </c>
      <c r="B26" s="302" t="s">
        <v>754</v>
      </c>
      <c r="C26" s="21">
        <f ca="1">ROUND((C19+C20)*F26,0)</f>
        <v>496549</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3314456</v>
      </c>
      <c r="D29" s="1091"/>
      <c r="E29" s="1089"/>
      <c r="F29" s="1092"/>
      <c r="G29" s="1395"/>
      <c r="H29" s="334" t="s">
        <v>396</v>
      </c>
      <c r="I29" s="335" t="s">
        <v>768</v>
      </c>
      <c r="J29" s="336">
        <f ca="1">ROUND(J26/(1+F40)^F41,0)</f>
        <v>0</v>
      </c>
      <c r="K29" s="337" t="s">
        <v>769</v>
      </c>
      <c r="L29" s="338"/>
      <c r="M29" s="339">
        <f ca="1">INDIRECT("'数据-取费表'!k"&amp;$G$1)</f>
        <v>617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61821</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45942</v>
      </c>
      <c r="D31" s="1344" t="s">
        <v>720</v>
      </c>
      <c r="E31" s="1343" t="s">
        <v>770</v>
      </c>
      <c r="F31" s="2314">
        <f ca="1">IF(项目基本情况!B11="企业","——",IF(M47="住宅",IF(F6*F7*F8/12/(1+'数据-取费表'!F30)&gt;100000,4%,2.5%),IF(F6*F7*F8/12/(1+'数据-取费表'!F30)&gt;100000,12%,7%)))</f>
        <v>7.0000000000000007E-2</v>
      </c>
      <c r="G31" s="1383"/>
      <c r="H31" s="2807" t="s">
        <v>2302</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3332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9943</v>
      </c>
      <c r="D36" s="1343" t="s">
        <v>771</v>
      </c>
      <c r="E36" s="302" t="s">
        <v>712</v>
      </c>
      <c r="F36" s="328">
        <f ca="1">INDIRECT("'数据-取费表'!Ak"&amp;$G$1)</f>
        <v>3.0000000000000001E-3</v>
      </c>
      <c r="G36" s="1383"/>
      <c r="H36" s="2699"/>
      <c r="I36" s="1397"/>
      <c r="J36" s="1398"/>
      <c r="K36" s="2543"/>
      <c r="L36" s="2699"/>
      <c r="M36" s="2699"/>
    </row>
    <row r="37" spans="1:18" ht="18" customHeight="1">
      <c r="A37" s="981" t="s">
        <v>437</v>
      </c>
      <c r="B37" s="302" t="s">
        <v>742</v>
      </c>
      <c r="C37" s="21">
        <f ca="1">ROUND(C13*F37,0)</f>
        <v>2486</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3450</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628167</v>
      </c>
      <c r="D39" s="1094" t="s">
        <v>773</v>
      </c>
      <c r="E39" s="1095"/>
      <c r="F39" s="1096"/>
      <c r="G39" s="1383"/>
      <c r="H39" s="2699"/>
      <c r="I39" s="1397"/>
      <c r="J39" s="1398"/>
      <c r="K39" s="2703"/>
      <c r="L39" s="2699"/>
      <c r="M39" s="2699"/>
    </row>
    <row r="40" spans="1:18" ht="18" customHeight="1">
      <c r="A40" s="299" t="s">
        <v>395</v>
      </c>
      <c r="B40" s="300" t="s">
        <v>774</v>
      </c>
      <c r="C40" s="301">
        <f ca="1">ROUND(C39*(1-((1+F42)/(1+F40))^F41)/(F40-F42),0)</f>
        <v>7833740</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17</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12696</v>
      </c>
      <c r="D43" s="337" t="s">
        <v>777</v>
      </c>
      <c r="E43" s="338" t="s">
        <v>778</v>
      </c>
      <c r="F43" s="339">
        <f ca="1">INDIRECT("'数据-取费表'!k"&amp;$G$1)</f>
        <v>617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3348</v>
      </c>
      <c r="B45" s="1399"/>
      <c r="C45" s="1471">
        <f ca="1">ROUND((C68-C40)/10000,4)</f>
        <v>-796.87760000000003</v>
      </c>
      <c r="D45" s="3431" t="s">
        <v>3349</v>
      </c>
      <c r="E45" s="1399"/>
      <c r="F45" s="1399"/>
      <c r="O45" s="1402" t="s">
        <v>808</v>
      </c>
      <c r="P45" s="1460"/>
      <c r="Q45" s="1460"/>
      <c r="R45" s="1460"/>
    </row>
    <row r="46" spans="1:18" s="1383" customFormat="1" ht="13.5" thickBot="1">
      <c r="A46" s="1403" t="s">
        <v>809</v>
      </c>
      <c r="C46" s="1404">
        <f ca="1">ROUND(C45,0)</f>
        <v>-797</v>
      </c>
      <c r="D46" s="1405" t="str">
        <f>C2</f>
        <v>万元</v>
      </c>
      <c r="I46" s="1406" t="s">
        <v>810</v>
      </c>
      <c r="J46" s="1407"/>
      <c r="K46" s="1408"/>
      <c r="L46" s="1409">
        <f ca="1">IF(M47="住宅",0,IF(L48&gt;J51,L60,J60))</f>
        <v>387729</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3431</v>
      </c>
      <c r="K47" s="1415" t="s">
        <v>816</v>
      </c>
      <c r="L47" s="1416">
        <f ca="1">INDIRECT("'数据-取费表'!d"&amp;$G$1)</f>
        <v>40</v>
      </c>
      <c r="M47" s="1379" t="str">
        <f>IF(ISNUMBER(FIND("住宅",C1)),"住宅","非住宅")</f>
        <v>非住宅</v>
      </c>
      <c r="O47" s="1417" t="s">
        <v>403</v>
      </c>
      <c r="P47" s="1418" t="s">
        <v>817</v>
      </c>
      <c r="Q47" s="1419">
        <f ca="1">C40+J29</f>
        <v>7833740</v>
      </c>
      <c r="R47" s="1419" t="s">
        <v>818</v>
      </c>
    </row>
    <row r="48" spans="1:18" s="1383" customFormat="1" ht="28.5" thickBot="1">
      <c r="A48" s="1109" t="s">
        <v>438</v>
      </c>
      <c r="B48" s="300" t="s">
        <v>692</v>
      </c>
      <c r="C48" s="1358">
        <f ca="1">C49+C53+C55</f>
        <v>0</v>
      </c>
      <c r="D48" s="1111"/>
      <c r="E48" s="1112"/>
      <c r="F48" s="961"/>
      <c r="G48" s="721"/>
      <c r="H48" s="722"/>
      <c r="I48" s="1420" t="s">
        <v>819</v>
      </c>
      <c r="J48" s="1421" t="s">
        <v>3444</v>
      </c>
      <c r="K48" s="1422" t="s">
        <v>820</v>
      </c>
      <c r="L48" s="1423">
        <f ca="1">INDIRECT("'数据-取费表'!f"&amp;$G$1)</f>
        <v>17</v>
      </c>
      <c r="O48" s="1417" t="s">
        <v>404</v>
      </c>
      <c r="P48" s="1418" t="s">
        <v>821</v>
      </c>
      <c r="Q48" s="1419">
        <f ca="1">J60</f>
        <v>387729</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2004</v>
      </c>
      <c r="K49" s="1422" t="s">
        <v>824</v>
      </c>
      <c r="L49" s="1426"/>
      <c r="O49" s="1427" t="s">
        <v>405</v>
      </c>
      <c r="P49" s="1418" t="s">
        <v>825</v>
      </c>
      <c r="Q49" s="1419">
        <f ca="1">C29</f>
        <v>3314456</v>
      </c>
      <c r="R49" s="1419" t="s">
        <v>818</v>
      </c>
    </row>
    <row r="50" spans="1:18" s="1383" customFormat="1" ht="13.5" thickBot="1">
      <c r="A50" s="975"/>
      <c r="B50" s="978"/>
      <c r="C50" s="979"/>
      <c r="D50" s="952"/>
      <c r="E50" s="1055" t="s">
        <v>697</v>
      </c>
      <c r="F50" s="1056">
        <f ca="1">F7</f>
        <v>617</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39</v>
      </c>
      <c r="K51" s="1433" t="s">
        <v>830</v>
      </c>
      <c r="L51" s="1434">
        <f ca="1">ROUND(-PV(INDIRECT("'数据-取费表'!h"&amp;$G$1),J51,(C39-C13*C76),0),0)</f>
        <v>7728426</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17</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17</v>
      </c>
      <c r="K53" s="3662" t="s">
        <v>837</v>
      </c>
      <c r="L53" s="3663"/>
      <c r="O53" s="1417" t="s">
        <v>409</v>
      </c>
      <c r="P53" s="1418" t="s">
        <v>838</v>
      </c>
      <c r="Q53" s="1419">
        <f ca="1">Q47+Q48</f>
        <v>8221469</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2485842</v>
      </c>
      <c r="D56" s="1446"/>
      <c r="E56" s="1447"/>
      <c r="F56" s="1439"/>
      <c r="I56" s="1448" t="s">
        <v>842</v>
      </c>
      <c r="J56" s="1449" t="s">
        <v>3445</v>
      </c>
      <c r="K56" s="1420" t="s">
        <v>843</v>
      </c>
      <c r="L56" s="1423" t="str">
        <f ca="1">IF(L48&lt;J51,"——",L48-J51)</f>
        <v>——</v>
      </c>
      <c r="O56" s="1417" t="s">
        <v>403</v>
      </c>
      <c r="P56" s="1418" t="s">
        <v>817</v>
      </c>
      <c r="Q56" s="1419">
        <f ca="1">C40+J29</f>
        <v>7833740</v>
      </c>
      <c r="R56" s="1419" t="s">
        <v>818</v>
      </c>
    </row>
    <row r="57" spans="1:18" s="1383" customFormat="1" ht="24.75" thickBot="1">
      <c r="A57" s="1450"/>
      <c r="B57" s="949" t="s">
        <v>767</v>
      </c>
      <c r="C57" s="238">
        <f ca="1">C29</f>
        <v>3314456</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12429</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1325782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f ca="1">IF(OR(M47="住宅",J51&lt;L48,J56="是"),"0",ROUND(J59/(1+J52)^J53,0))</f>
        <v>387729</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0</v>
      </c>
      <c r="I62" s="1461" t="s">
        <v>858</v>
      </c>
      <c r="J62" s="1462" t="s">
        <v>859</v>
      </c>
      <c r="K62" s="1462" t="s">
        <v>860</v>
      </c>
      <c r="L62" s="1462" t="s">
        <v>861</v>
      </c>
      <c r="M62" s="1463" t="s">
        <v>862</v>
      </c>
      <c r="O62" s="1417" t="s">
        <v>409</v>
      </c>
      <c r="P62" s="1418" t="s">
        <v>863</v>
      </c>
      <c r="Q62" s="1419">
        <f ca="1">Q56+Q57</f>
        <v>7833740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9943</v>
      </c>
      <c r="D64" s="963" t="s">
        <v>791</v>
      </c>
      <c r="E64" s="949" t="s">
        <v>783</v>
      </c>
      <c r="F64" s="328">
        <f t="shared" ca="1" si="0"/>
        <v>3.0000000000000001E-3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2486</v>
      </c>
      <c r="D65" s="963" t="s">
        <v>743</v>
      </c>
      <c r="E65" s="949" t="s">
        <v>744</v>
      </c>
      <c r="F65" s="330">
        <f t="shared" ca="1" si="0"/>
        <v>1E-3</v>
      </c>
      <c r="I65" s="1461" t="s">
        <v>867</v>
      </c>
      <c r="J65" s="1462">
        <v>40</v>
      </c>
      <c r="K65" s="1462">
        <v>30</v>
      </c>
      <c r="L65" s="1462">
        <v>50</v>
      </c>
      <c r="M65" s="1464">
        <v>0.02</v>
      </c>
      <c r="O65" s="1417" t="s">
        <v>403</v>
      </c>
      <c r="P65" s="1418" t="s">
        <v>868</v>
      </c>
      <c r="Q65" s="1419">
        <f ca="1">C40+J29</f>
        <v>7833740</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-12429</v>
      </c>
      <c r="D67" s="962" t="s">
        <v>753</v>
      </c>
      <c r="E67" s="967"/>
      <c r="F67" s="968"/>
      <c r="O67" s="1427" t="s">
        <v>405</v>
      </c>
      <c r="P67" s="1418" t="s">
        <v>850</v>
      </c>
      <c r="Q67" s="1465">
        <f ca="1">L51</f>
        <v>7728426</v>
      </c>
      <c r="R67" s="1419" t="s">
        <v>870</v>
      </c>
    </row>
    <row r="68" spans="1:18" s="1383" customFormat="1" ht="16.5" thickBot="1">
      <c r="A68" s="946" t="s">
        <v>395</v>
      </c>
      <c r="B68" s="947" t="s">
        <v>774</v>
      </c>
      <c r="C68" s="301">
        <f ca="1">ROUND(C67*(1-((1+F70)/(1+F68))^F69)/(F68-F70),0)</f>
        <v>-135036</v>
      </c>
      <c r="D68" s="964" t="s">
        <v>758</v>
      </c>
      <c r="E68" s="949" t="s">
        <v>759</v>
      </c>
      <c r="F68" s="312">
        <f ca="1">F40</f>
        <v>5.5E-2</v>
      </c>
      <c r="O68" s="1427" t="s">
        <v>406</v>
      </c>
      <c r="P68" s="1466" t="s">
        <v>871</v>
      </c>
      <c r="Q68" s="1419">
        <f ca="1">ROUND(Q69-Q70*Q71,0)</f>
        <v>454158</v>
      </c>
      <c r="R68" s="1419" t="s">
        <v>414</v>
      </c>
    </row>
    <row r="69" spans="1:18" s="1383" customFormat="1" ht="13.5" thickBot="1">
      <c r="A69" s="950"/>
      <c r="B69" s="951"/>
      <c r="C69" s="306"/>
      <c r="D69" s="969" t="s">
        <v>762</v>
      </c>
      <c r="E69" s="949" t="s">
        <v>763</v>
      </c>
      <c r="F69" s="333">
        <f ca="1">F41</f>
        <v>17</v>
      </c>
      <c r="O69" s="1427" t="s">
        <v>411</v>
      </c>
      <c r="P69" s="1466" t="s">
        <v>872</v>
      </c>
      <c r="Q69" s="1419">
        <f ca="1">C39</f>
        <v>628167</v>
      </c>
      <c r="R69" s="1419" t="s">
        <v>818</v>
      </c>
    </row>
    <row r="70" spans="1:18" s="1383" customFormat="1" ht="13.5" thickBot="1">
      <c r="A70" s="953"/>
      <c r="B70" s="954"/>
      <c r="C70" s="310"/>
      <c r="D70" s="965"/>
      <c r="E70" s="949" t="s">
        <v>766</v>
      </c>
      <c r="F70" s="1053"/>
      <c r="O70" s="1427" t="s">
        <v>412</v>
      </c>
      <c r="P70" s="1466" t="s">
        <v>873</v>
      </c>
      <c r="Q70" s="1419">
        <f ca="1">C13</f>
        <v>2485842</v>
      </c>
      <c r="R70" s="1419" t="s">
        <v>818</v>
      </c>
    </row>
    <row r="71" spans="1:18" s="1383" customFormat="1" ht="13.5" thickBot="1">
      <c r="A71" s="970" t="s">
        <v>396</v>
      </c>
      <c r="B71" s="971" t="s">
        <v>776</v>
      </c>
      <c r="C71" s="336">
        <f ca="1">ROUND(C68/F71,0)</f>
        <v>-219</v>
      </c>
      <c r="D71" s="972" t="s">
        <v>777</v>
      </c>
      <c r="E71" s="973" t="s">
        <v>778</v>
      </c>
      <c r="F71" s="339">
        <f ca="1">F43</f>
        <v>617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174009</v>
      </c>
      <c r="D75" s="1383"/>
      <c r="E75" s="1383"/>
      <c r="F75" s="1383"/>
      <c r="K75" s="1401"/>
      <c r="L75" s="1383"/>
      <c r="O75" s="1417" t="s">
        <v>409</v>
      </c>
      <c r="P75" s="1418" t="s">
        <v>838</v>
      </c>
      <c r="Q75" s="1419">
        <f ca="1">Q65+Q66</f>
        <v>7833740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0.72299999999999998</v>
      </c>
    </row>
    <row r="80" spans="1:18">
      <c r="B80" s="340" t="s">
        <v>800</v>
      </c>
      <c r="C80" s="274">
        <f ca="1">ROUND(C75/C39,3)</f>
        <v>0.27700000000000002</v>
      </c>
    </row>
    <row r="81" spans="2:3">
      <c r="B81" s="270" t="s">
        <v>801</v>
      </c>
      <c r="C81" s="238"/>
    </row>
    <row r="82" spans="2:3">
      <c r="B82" s="273" t="s">
        <v>802</v>
      </c>
      <c r="C82" s="275">
        <f ca="1">1-C83</f>
        <v>0.68300000000000005</v>
      </c>
    </row>
    <row r="83" spans="2:3">
      <c r="B83" s="273" t="s">
        <v>803</v>
      </c>
      <c r="C83" s="274">
        <f ca="1">ROUND(C13/C40,3)</f>
        <v>0.317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2431</v>
      </c>
      <c r="B1" s="2831"/>
      <c r="C1" s="2843"/>
      <c r="D1" s="2843"/>
      <c r="E1" s="2832"/>
      <c r="F1" s="2833"/>
      <c r="G1" s="2834"/>
      <c r="J1" s="2837" t="s">
        <v>2310</v>
      </c>
      <c r="K1" s="2838"/>
      <c r="L1" s="2838"/>
      <c r="M1" s="2838"/>
      <c r="N1" s="2838"/>
      <c r="O1" s="2838"/>
      <c r="P1" s="2838"/>
      <c r="Q1" s="2838"/>
      <c r="R1" s="2839"/>
      <c r="S1" s="2840"/>
      <c r="T1" s="2840"/>
      <c r="U1" s="2840"/>
    </row>
    <row r="2" spans="1:22" s="2852" customFormat="1" ht="13.15" customHeight="1">
      <c r="A2" s="1384" t="s">
        <v>2311</v>
      </c>
      <c r="B2" s="2842" t="e">
        <f>IF(D2="——",C40,C40+E2)</f>
        <v>#DIV/0!</v>
      </c>
      <c r="C2" s="2843" t="s">
        <v>2312</v>
      </c>
      <c r="D2" s="3442" t="s">
        <v>3355</v>
      </c>
      <c r="E2" s="3443"/>
      <c r="F2" s="2845"/>
      <c r="G2" s="2846"/>
      <c r="H2" s="2847"/>
      <c r="I2" s="2848"/>
      <c r="J2" s="3720" t="s">
        <v>2313</v>
      </c>
      <c r="K2" s="3721"/>
      <c r="L2" s="2849" t="s">
        <v>2314</v>
      </c>
      <c r="M2" s="2849" t="s">
        <v>2315</v>
      </c>
      <c r="N2" s="2849" t="s">
        <v>2316</v>
      </c>
      <c r="O2" s="2849" t="s">
        <v>2317</v>
      </c>
      <c r="P2" s="2849" t="s">
        <v>2318</v>
      </c>
      <c r="Q2" s="2850" t="s">
        <v>2319</v>
      </c>
      <c r="R2" s="2851" t="s">
        <v>2320</v>
      </c>
      <c r="S2" s="2840"/>
      <c r="T2" s="2840"/>
      <c r="U2" s="2840"/>
      <c r="V2" s="2848"/>
    </row>
    <row r="3" spans="1:22" s="2852" customFormat="1" ht="13.15" customHeight="1">
      <c r="A3" s="2853" t="s">
        <v>2321</v>
      </c>
      <c r="B3" s="2854" t="e">
        <f>ROUND(B2*10000/B4,0)</f>
        <v>#DIV/0!</v>
      </c>
      <c r="C3" s="2843" t="s">
        <v>2322</v>
      </c>
      <c r="D3" s="2843"/>
      <c r="E3" s="2844"/>
      <c r="F3" s="2845"/>
      <c r="G3" s="2846"/>
      <c r="H3" s="2847"/>
      <c r="I3" s="2848"/>
      <c r="J3" s="3722" t="s">
        <v>2323</v>
      </c>
      <c r="K3" s="3723"/>
      <c r="L3" s="2855"/>
      <c r="M3" s="2855"/>
      <c r="N3" s="2855"/>
      <c r="O3" s="2855"/>
      <c r="P3" s="2855"/>
      <c r="Q3" s="2856"/>
      <c r="R3" s="2857">
        <f>SUM(L3:Q3)</f>
        <v>0</v>
      </c>
      <c r="S3" s="2840"/>
      <c r="T3" s="2840"/>
      <c r="U3" s="2840"/>
      <c r="V3" s="2848"/>
    </row>
    <row r="4" spans="1:22" s="2852" customFormat="1" ht="13.15" customHeight="1">
      <c r="A4" s="2858" t="s">
        <v>2324</v>
      </c>
      <c r="B4" s="2859"/>
      <c r="C4" s="2843"/>
      <c r="D4" s="2843"/>
      <c r="E4" s="2844"/>
      <c r="F4" s="2845"/>
      <c r="G4" s="2846"/>
      <c r="H4" s="2847"/>
      <c r="I4" s="2848"/>
      <c r="J4" s="3722" t="s">
        <v>2325</v>
      </c>
      <c r="K4" s="3723"/>
      <c r="L4" s="2860"/>
      <c r="M4" s="2860"/>
      <c r="N4" s="2860"/>
      <c r="O4" s="2860"/>
      <c r="P4" s="2860"/>
      <c r="Q4" s="2861"/>
      <c r="R4" s="2862">
        <f>SUM(L4:Q4)</f>
        <v>0</v>
      </c>
      <c r="S4" s="2840"/>
      <c r="T4" s="2840"/>
      <c r="U4" s="2840"/>
      <c r="V4" s="2848"/>
    </row>
    <row r="5" spans="1:22" s="2852" customFormat="1" ht="13.15" customHeight="1" thickBot="1">
      <c r="A5" s="2863" t="s">
        <v>2326</v>
      </c>
      <c r="B5" s="2864"/>
      <c r="C5" s="2843"/>
      <c r="D5" s="2865"/>
      <c r="E5" s="2845"/>
      <c r="F5" s="2845"/>
      <c r="G5" s="2846"/>
      <c r="H5" s="2847"/>
      <c r="I5" s="2848"/>
      <c r="J5" s="2866" t="s">
        <v>2327</v>
      </c>
      <c r="K5" s="2867"/>
      <c r="L5" s="2867"/>
      <c r="M5" s="2868"/>
      <c r="N5" s="2868"/>
      <c r="O5" s="2868"/>
      <c r="P5" s="2868"/>
      <c r="Q5" s="2868"/>
      <c r="R5" s="2851">
        <f>SUM(R14,R19,R24,R25,R27,R28)</f>
        <v>0</v>
      </c>
      <c r="S5" s="2840"/>
      <c r="T5" s="2840" t="s">
        <v>2328</v>
      </c>
      <c r="U5" s="2840" t="e">
        <f>ROUND(R5*10000/365/R3,1)</f>
        <v>#DIV/0!</v>
      </c>
      <c r="V5" s="2848"/>
    </row>
    <row r="6" spans="1:22" s="2852" customFormat="1" ht="13.15" customHeight="1" thickBot="1">
      <c r="A6" s="3728" t="s">
        <v>2329</v>
      </c>
      <c r="B6" s="3729"/>
      <c r="C6" s="3730"/>
      <c r="D6" s="2869"/>
      <c r="E6" s="2870"/>
      <c r="F6" s="2871"/>
      <c r="G6" s="2872"/>
      <c r="H6" s="2847"/>
      <c r="I6" s="2848"/>
      <c r="J6" s="3714">
        <v>1</v>
      </c>
      <c r="K6" s="3715" t="s">
        <v>2330</v>
      </c>
      <c r="L6" s="2873" t="s">
        <v>2331</v>
      </c>
      <c r="M6" s="2874" t="s">
        <v>2332</v>
      </c>
      <c r="N6" s="2874" t="s">
        <v>2333</v>
      </c>
      <c r="O6" s="2874" t="s">
        <v>2334</v>
      </c>
      <c r="P6" s="2874" t="s">
        <v>2335</v>
      </c>
      <c r="Q6" s="2874" t="s">
        <v>2336</v>
      </c>
      <c r="R6" s="2857" t="s">
        <v>2337</v>
      </c>
      <c r="S6" s="2840"/>
      <c r="T6" s="2840" t="s">
        <v>2338</v>
      </c>
      <c r="U6" s="2840"/>
      <c r="V6" s="2848"/>
    </row>
    <row r="7" spans="1:22" s="2852" customFormat="1" ht="13.15" customHeight="1">
      <c r="A7" s="2875" t="s">
        <v>2339</v>
      </c>
      <c r="B7" s="2876"/>
      <c r="C7" s="2877"/>
      <c r="D7" s="2878">
        <f>SUM(D9,D10,D11,D17,0)</f>
        <v>0</v>
      </c>
      <c r="E7" s="2879" t="e">
        <f>E9+E10+E11+E17</f>
        <v>#DIV/0!</v>
      </c>
      <c r="F7" s="2880"/>
      <c r="G7" s="2881"/>
      <c r="H7" s="2847"/>
      <c r="I7" s="2848"/>
      <c r="J7" s="3714"/>
      <c r="K7" s="3716"/>
      <c r="L7" s="2882" t="s">
        <v>2340</v>
      </c>
      <c r="M7" s="2883"/>
      <c r="N7" s="2859"/>
      <c r="O7" s="2884"/>
      <c r="P7" s="2884"/>
      <c r="Q7" s="2885">
        <v>365</v>
      </c>
      <c r="R7" s="2886">
        <f>ROUND(M7*N7*O7*P7*Q7/10000,0)</f>
        <v>0</v>
      </c>
      <c r="S7" s="2840"/>
      <c r="T7" s="2840" t="s">
        <v>2341</v>
      </c>
      <c r="U7" s="2840"/>
      <c r="V7" s="2848"/>
    </row>
    <row r="8" spans="1:22" s="2852" customFormat="1" ht="13.15" customHeight="1">
      <c r="A8" s="2887" t="s">
        <v>2342</v>
      </c>
      <c r="B8" s="3731" t="s">
        <v>2343</v>
      </c>
      <c r="C8" s="3732"/>
      <c r="D8" s="2888" t="s">
        <v>2344</v>
      </c>
      <c r="E8" s="2889" t="s">
        <v>2345</v>
      </c>
      <c r="F8" s="2890" t="s">
        <v>2346</v>
      </c>
      <c r="G8" s="2891"/>
      <c r="H8" s="2847"/>
      <c r="I8" s="2848"/>
      <c r="J8" s="3714"/>
      <c r="K8" s="3716"/>
      <c r="L8" s="2882" t="s">
        <v>2347</v>
      </c>
      <c r="M8" s="2883"/>
      <c r="N8" s="2859"/>
      <c r="O8" s="2884"/>
      <c r="P8" s="2884"/>
      <c r="Q8" s="2885">
        <v>365</v>
      </c>
      <c r="R8" s="2886">
        <f t="shared" ref="R8:R13" si="0">ROUND(M8*N8*O8*P8*Q8/10000,0)</f>
        <v>0</v>
      </c>
      <c r="S8" s="2840"/>
      <c r="T8" s="2840" t="s">
        <v>2348</v>
      </c>
      <c r="U8" s="2840"/>
      <c r="V8" s="2848"/>
    </row>
    <row r="9" spans="1:22" s="2852" customFormat="1" ht="13.15" customHeight="1">
      <c r="A9" s="2887">
        <v>1</v>
      </c>
      <c r="B9" s="3731" t="s">
        <v>2349</v>
      </c>
      <c r="C9" s="3732"/>
      <c r="D9" s="2888">
        <f>ROUND(D6*E9,0)</f>
        <v>0</v>
      </c>
      <c r="E9" s="2892"/>
      <c r="F9" s="2893" t="s">
        <v>2350</v>
      </c>
      <c r="G9" s="2872"/>
      <c r="H9" s="2847"/>
      <c r="I9" s="2848"/>
      <c r="J9" s="3714"/>
      <c r="K9" s="3716"/>
      <c r="L9" s="2882" t="s">
        <v>2351</v>
      </c>
      <c r="M9" s="2883"/>
      <c r="N9" s="2859"/>
      <c r="O9" s="2884"/>
      <c r="P9" s="2884"/>
      <c r="Q9" s="2885">
        <v>365</v>
      </c>
      <c r="R9" s="2886">
        <f t="shared" si="0"/>
        <v>0</v>
      </c>
      <c r="S9" s="2840"/>
      <c r="T9" s="2840"/>
      <c r="U9" s="2840"/>
      <c r="V9" s="2848"/>
    </row>
    <row r="10" spans="1:22" s="2852" customFormat="1" ht="13.15" customHeight="1">
      <c r="A10" s="2887">
        <v>2</v>
      </c>
      <c r="B10" s="3731" t="s">
        <v>2352</v>
      </c>
      <c r="C10" s="3732"/>
      <c r="D10" s="2888">
        <f>ROUND(D6*E10,0)</f>
        <v>0</v>
      </c>
      <c r="E10" s="2892"/>
      <c r="F10" s="2893" t="s">
        <v>2353</v>
      </c>
      <c r="G10" s="2872"/>
      <c r="H10" s="2847"/>
      <c r="I10" s="2848"/>
      <c r="J10" s="3714"/>
      <c r="K10" s="3716"/>
      <c r="L10" s="2882" t="s">
        <v>2354</v>
      </c>
      <c r="M10" s="2883"/>
      <c r="N10" s="2859"/>
      <c r="O10" s="2884"/>
      <c r="P10" s="2884"/>
      <c r="Q10" s="2885">
        <v>365</v>
      </c>
      <c r="R10" s="2886">
        <f t="shared" si="0"/>
        <v>0</v>
      </c>
      <c r="S10" s="2840"/>
      <c r="T10" s="2840"/>
      <c r="U10" s="2840"/>
      <c r="V10" s="2848"/>
    </row>
    <row r="11" spans="1:22" s="2852" customFormat="1" ht="13.15" customHeight="1">
      <c r="A11" s="2887">
        <v>3</v>
      </c>
      <c r="B11" s="3731" t="s">
        <v>2355</v>
      </c>
      <c r="C11" s="3732"/>
      <c r="D11" s="2888">
        <f>D12+D14+D15+D16</f>
        <v>0</v>
      </c>
      <c r="E11" s="2894" t="e">
        <f>D11/D6</f>
        <v>#DIV/0!</v>
      </c>
      <c r="F11" s="2890"/>
      <c r="G11" s="2891"/>
      <c r="H11" s="2847"/>
      <c r="I11" s="2848"/>
      <c r="J11" s="3714"/>
      <c r="K11" s="3716"/>
      <c r="L11" s="2882" t="s">
        <v>2356</v>
      </c>
      <c r="M11" s="2883"/>
      <c r="N11" s="2859"/>
      <c r="O11" s="2884"/>
      <c r="P11" s="2884"/>
      <c r="Q11" s="2885">
        <v>365</v>
      </c>
      <c r="R11" s="2886">
        <f t="shared" si="0"/>
        <v>0</v>
      </c>
      <c r="S11" s="2840"/>
      <c r="T11" s="2840"/>
      <c r="U11" s="2840"/>
      <c r="V11" s="2848"/>
    </row>
    <row r="12" spans="1:22" s="2852" customFormat="1" ht="13.15" customHeight="1">
      <c r="A12" s="2895" t="s">
        <v>2357</v>
      </c>
      <c r="B12" s="3724" t="s">
        <v>2358</v>
      </c>
      <c r="C12" s="3725"/>
      <c r="D12" s="2896">
        <f>ROUND(D13*1.2%*(1-30%),0)</f>
        <v>0</v>
      </c>
      <c r="E12" s="2897">
        <v>1.2E-2</v>
      </c>
      <c r="F12" s="2890" t="s">
        <v>2359</v>
      </c>
      <c r="G12" s="2891"/>
      <c r="H12" s="2847"/>
      <c r="I12" s="2848"/>
      <c r="J12" s="3714"/>
      <c r="K12" s="3716"/>
      <c r="L12" s="2882" t="s">
        <v>2360</v>
      </c>
      <c r="M12" s="2883"/>
      <c r="N12" s="2859"/>
      <c r="O12" s="2884"/>
      <c r="P12" s="2884"/>
      <c r="Q12" s="2885">
        <v>365</v>
      </c>
      <c r="R12" s="2886">
        <f t="shared" si="0"/>
        <v>0</v>
      </c>
      <c r="S12" s="2840"/>
      <c r="T12" s="2840"/>
      <c r="U12" s="2840"/>
      <c r="V12" s="2848"/>
    </row>
    <row r="13" spans="1:22" s="2852" customFormat="1" ht="13.15" customHeight="1">
      <c r="A13" s="2895"/>
      <c r="B13" s="2898"/>
      <c r="C13" s="2899" t="s">
        <v>2361</v>
      </c>
      <c r="D13" s="2900"/>
      <c r="E13" s="2901"/>
      <c r="F13" s="2890"/>
      <c r="G13" s="2891"/>
      <c r="H13" s="2847"/>
      <c r="I13" s="2848"/>
      <c r="J13" s="3714"/>
      <c r="K13" s="3716"/>
      <c r="L13" s="2882" t="s">
        <v>2362</v>
      </c>
      <c r="M13" s="2883"/>
      <c r="N13" s="2859"/>
      <c r="O13" s="2884"/>
      <c r="P13" s="2884"/>
      <c r="Q13" s="2885">
        <v>365</v>
      </c>
      <c r="R13" s="2886">
        <f t="shared" si="0"/>
        <v>0</v>
      </c>
      <c r="S13" s="2840"/>
      <c r="T13" s="2840"/>
      <c r="U13" s="2840"/>
      <c r="V13" s="2848"/>
    </row>
    <row r="14" spans="1:22" s="2852" customFormat="1" ht="13.15" customHeight="1">
      <c r="A14" s="2895" t="s">
        <v>2363</v>
      </c>
      <c r="B14" s="3724" t="s">
        <v>2364</v>
      </c>
      <c r="C14" s="3725"/>
      <c r="D14" s="2896">
        <f>ROUND(E14*B5/10000,0)</f>
        <v>0</v>
      </c>
      <c r="E14" s="2885"/>
      <c r="F14" s="2890" t="s">
        <v>2365</v>
      </c>
      <c r="G14" s="2891"/>
      <c r="H14" s="2847"/>
      <c r="I14" s="2848"/>
      <c r="J14" s="3714"/>
      <c r="K14" s="3717"/>
      <c r="L14" s="2902" t="s">
        <v>2366</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2367</v>
      </c>
      <c r="B15" s="3724" t="s">
        <v>2368</v>
      </c>
      <c r="C15" s="3725"/>
      <c r="D15" s="2896">
        <f>ROUND(D6*E15,0)</f>
        <v>0</v>
      </c>
      <c r="E15" s="2897">
        <v>5.5E-2</v>
      </c>
      <c r="F15" s="2890" t="s">
        <v>2369</v>
      </c>
      <c r="G15" s="2872"/>
      <c r="H15" s="2847"/>
      <c r="I15" s="2848"/>
      <c r="J15" s="3714">
        <v>2</v>
      </c>
      <c r="K15" s="3715" t="s">
        <v>2370</v>
      </c>
      <c r="L15" s="2882" t="s">
        <v>2371</v>
      </c>
      <c r="M15" s="2883" t="s">
        <v>2372</v>
      </c>
      <c r="N15" s="2883" t="s">
        <v>2373</v>
      </c>
      <c r="O15" s="2884" t="s">
        <v>2374</v>
      </c>
      <c r="P15" s="2884" t="s">
        <v>2336</v>
      </c>
      <c r="Q15" s="2859" t="s">
        <v>2375</v>
      </c>
      <c r="R15" s="2906" t="s">
        <v>2337</v>
      </c>
      <c r="S15" s="2840"/>
      <c r="T15" s="2840"/>
      <c r="U15" s="2840"/>
      <c r="V15" s="2848"/>
    </row>
    <row r="16" spans="1:22" s="2852" customFormat="1" ht="13.15" customHeight="1">
      <c r="A16" s="2895" t="s">
        <v>2376</v>
      </c>
      <c r="B16" s="3724" t="s">
        <v>2377</v>
      </c>
      <c r="C16" s="3725"/>
      <c r="D16" s="2907">
        <f>D6*E16</f>
        <v>0</v>
      </c>
      <c r="E16" s="2908"/>
      <c r="F16" s="2893" t="s">
        <v>2378</v>
      </c>
      <c r="G16" s="2872"/>
      <c r="H16" s="2847"/>
      <c r="I16" s="2848"/>
      <c r="J16" s="3714"/>
      <c r="K16" s="3716"/>
      <c r="L16" s="2882" t="s">
        <v>2379</v>
      </c>
      <c r="M16" s="2883"/>
      <c r="N16" s="2883"/>
      <c r="O16" s="2884"/>
      <c r="P16" s="2885">
        <v>365</v>
      </c>
      <c r="Q16" s="2859"/>
      <c r="R16" s="2906">
        <f>ROUND(M16*N16*O16*P16/10000,0)</f>
        <v>0</v>
      </c>
      <c r="S16" s="2840"/>
      <c r="T16" s="2840"/>
      <c r="U16" s="2840"/>
      <c r="V16" s="2848"/>
    </row>
    <row r="17" spans="1:22" s="2852" customFormat="1" ht="13.15" customHeight="1" thickBot="1">
      <c r="A17" s="2909">
        <v>4</v>
      </c>
      <c r="B17" s="3726" t="s">
        <v>2380</v>
      </c>
      <c r="C17" s="3727"/>
      <c r="D17" s="2910">
        <f>ROUND(D6*E17,0)</f>
        <v>0</v>
      </c>
      <c r="E17" s="2911"/>
      <c r="F17" s="2912" t="s">
        <v>2381</v>
      </c>
      <c r="G17" s="2872"/>
      <c r="H17" s="2847"/>
      <c r="I17" s="2848"/>
      <c r="J17" s="3714"/>
      <c r="K17" s="3716"/>
      <c r="L17" s="2882" t="s">
        <v>2382</v>
      </c>
      <c r="M17" s="2883"/>
      <c r="N17" s="2883"/>
      <c r="O17" s="2884"/>
      <c r="P17" s="2885">
        <v>365</v>
      </c>
      <c r="Q17" s="2859"/>
      <c r="R17" s="2906">
        <f>ROUND(M17*N17*O17*P17/10000,0)</f>
        <v>0</v>
      </c>
      <c r="S17" s="2840"/>
      <c r="T17" s="2840"/>
      <c r="U17" s="2840"/>
      <c r="V17" s="2848"/>
    </row>
    <row r="18" spans="1:22" s="2852" customFormat="1" ht="13.15" customHeight="1" thickBot="1">
      <c r="A18" s="2875" t="s">
        <v>2383</v>
      </c>
      <c r="B18" s="2876"/>
      <c r="C18" s="2876"/>
      <c r="D18" s="2913">
        <f>ROUND(D6*E18,0)</f>
        <v>0</v>
      </c>
      <c r="E18" s="2914"/>
      <c r="F18" s="2915" t="s">
        <v>2384</v>
      </c>
      <c r="G18" s="2872"/>
      <c r="H18" s="2847"/>
      <c r="I18" s="2848"/>
      <c r="J18" s="3714"/>
      <c r="K18" s="3716"/>
      <c r="L18" s="2882" t="s">
        <v>2385</v>
      </c>
      <c r="M18" s="2883"/>
      <c r="N18" s="2883"/>
      <c r="O18" s="2884"/>
      <c r="P18" s="2885">
        <v>365</v>
      </c>
      <c r="Q18" s="2859"/>
      <c r="R18" s="2906">
        <f>ROUND(M18*N18*O18*P18/10000,0)</f>
        <v>0</v>
      </c>
      <c r="S18" s="2840"/>
      <c r="T18" s="2840"/>
      <c r="U18" s="2840"/>
      <c r="V18" s="2848"/>
    </row>
    <row r="19" spans="1:22" s="2852" customFormat="1" ht="13.15" customHeight="1" thickBot="1">
      <c r="A19" s="2916" t="s">
        <v>2386</v>
      </c>
      <c r="B19" s="2870"/>
      <c r="C19" s="2870"/>
      <c r="D19" s="2870"/>
      <c r="E19" s="2870"/>
      <c r="F19" s="2871"/>
      <c r="G19" s="2891"/>
      <c r="H19" s="2847"/>
      <c r="I19" s="2848"/>
      <c r="J19" s="3714"/>
      <c r="K19" s="3717"/>
      <c r="L19" s="2902" t="s">
        <v>2366</v>
      </c>
      <c r="M19" s="2903"/>
      <c r="N19" s="2903">
        <f>SUM(N16:N18)</f>
        <v>0</v>
      </c>
      <c r="O19" s="2904"/>
      <c r="P19" s="2917" t="s">
        <v>2430</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4">
        <v>3</v>
      </c>
      <c r="K20" s="3715" t="s">
        <v>2387</v>
      </c>
      <c r="L20" s="2882" t="s">
        <v>2388</v>
      </c>
      <c r="M20" s="2883" t="s">
        <v>2389</v>
      </c>
      <c r="N20" s="2920" t="s">
        <v>2390</v>
      </c>
      <c r="O20" s="2884" t="s">
        <v>2391</v>
      </c>
      <c r="P20" s="2885" t="s">
        <v>2392</v>
      </c>
      <c r="Q20" s="2859" t="s">
        <v>2393</v>
      </c>
      <c r="R20" s="2906" t="s">
        <v>2394</v>
      </c>
      <c r="S20" s="2921"/>
      <c r="T20" s="2921"/>
      <c r="U20" s="2921"/>
      <c r="V20" s="2848"/>
    </row>
    <row r="21" spans="1:22" s="2852" customFormat="1" ht="13.15" customHeight="1">
      <c r="A21" s="2875"/>
      <c r="B21" s="2876"/>
      <c r="C21" s="2922" t="s">
        <v>2395</v>
      </c>
      <c r="D21" s="2923" t="s">
        <v>2396</v>
      </c>
      <c r="E21" s="2924" t="s">
        <v>2397</v>
      </c>
      <c r="F21" s="2919"/>
      <c r="G21" s="2891"/>
      <c r="H21" s="2847"/>
      <c r="I21" s="2848"/>
      <c r="J21" s="3714"/>
      <c r="K21" s="3716"/>
      <c r="L21" s="2882" t="s">
        <v>2398</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2399</v>
      </c>
      <c r="D22" s="2927" t="s">
        <v>2400</v>
      </c>
      <c r="E22" s="2928" t="s">
        <v>2401</v>
      </c>
      <c r="F22" s="2919"/>
      <c r="G22" s="2929"/>
      <c r="H22" s="2847"/>
      <c r="I22" s="2848"/>
      <c r="J22" s="3714"/>
      <c r="K22" s="3716"/>
      <c r="L22" s="2882" t="s">
        <v>2402</v>
      </c>
      <c r="M22" s="2883"/>
      <c r="N22" s="2883"/>
      <c r="O22" s="2884"/>
      <c r="P22" s="2885">
        <v>365</v>
      </c>
      <c r="Q22" s="2859"/>
      <c r="R22" s="2925">
        <f>ROUND(M22*N22*O22*P22/10000,0)</f>
        <v>0</v>
      </c>
      <c r="S22" s="2921"/>
      <c r="T22" s="2921"/>
      <c r="U22" s="2921"/>
      <c r="V22" s="2848"/>
    </row>
    <row r="23" spans="1:22" s="2852" customFormat="1" ht="13.15" customHeight="1">
      <c r="A23" s="2930">
        <v>1</v>
      </c>
      <c r="B23" s="2931" t="s">
        <v>2403</v>
      </c>
      <c r="C23" s="2932">
        <f>D6</f>
        <v>0</v>
      </c>
      <c r="D23" s="2933">
        <f>C23*(1+D24)</f>
        <v>0</v>
      </c>
      <c r="E23" s="2934">
        <f>D23*(1+E24)</f>
        <v>0</v>
      </c>
      <c r="F23" s="2935"/>
      <c r="G23" s="2936"/>
      <c r="H23" s="2847"/>
      <c r="I23" s="2848"/>
      <c r="J23" s="3714"/>
      <c r="K23" s="3716"/>
      <c r="L23" s="2882" t="s">
        <v>2404</v>
      </c>
      <c r="M23" s="2883"/>
      <c r="N23" s="2883"/>
      <c r="O23" s="2884"/>
      <c r="P23" s="2885">
        <v>365</v>
      </c>
      <c r="Q23" s="2859"/>
      <c r="R23" s="2925">
        <f>ROUND(M23*N23*O23*P23/10000,0)</f>
        <v>0</v>
      </c>
      <c r="S23" s="2840"/>
      <c r="T23" s="2840"/>
      <c r="U23" s="2840"/>
      <c r="V23" s="2848"/>
    </row>
    <row r="24" spans="1:22" s="2852" customFormat="1" ht="13.15" customHeight="1">
      <c r="A24" s="2937"/>
      <c r="B24" s="2938" t="s">
        <v>2405</v>
      </c>
      <c r="C24" s="2939"/>
      <c r="D24" s="2940"/>
      <c r="E24" s="2941"/>
      <c r="F24" s="2942"/>
      <c r="G24" s="2936"/>
      <c r="H24" s="2847"/>
      <c r="I24" s="2848"/>
      <c r="J24" s="3714"/>
      <c r="K24" s="3717"/>
      <c r="L24" s="2902" t="s">
        <v>2366</v>
      </c>
      <c r="M24" s="2903">
        <f>SUM(M21:M23)</f>
        <v>0</v>
      </c>
      <c r="N24" s="2903"/>
      <c r="O24" s="2904"/>
      <c r="P24" s="2917" t="s">
        <v>2430</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2406</v>
      </c>
      <c r="L25" s="2945"/>
      <c r="M25" s="2945"/>
      <c r="N25" s="2945"/>
      <c r="O25" s="2945"/>
      <c r="P25" s="2946"/>
      <c r="Q25" s="2947">
        <v>0</v>
      </c>
      <c r="R25" s="2918">
        <f>ROUND(R14*Q25,0)</f>
        <v>0</v>
      </c>
      <c r="S25" s="2840"/>
      <c r="T25" s="2840"/>
      <c r="U25" s="2840"/>
      <c r="V25" s="2948"/>
    </row>
    <row r="26" spans="1:22" s="2949" customFormat="1" ht="13.15" customHeight="1">
      <c r="A26" s="2930">
        <v>2</v>
      </c>
      <c r="B26" s="2931" t="s">
        <v>2407</v>
      </c>
      <c r="C26" s="2932">
        <f>D7</f>
        <v>0</v>
      </c>
      <c r="D26" s="2933">
        <f>D23*D27</f>
        <v>0</v>
      </c>
      <c r="E26" s="2934">
        <f>E23*E27</f>
        <v>0</v>
      </c>
      <c r="F26" s="2935"/>
      <c r="G26" s="2936"/>
      <c r="H26" s="2847"/>
      <c r="I26" s="2848"/>
      <c r="J26" s="3718">
        <v>5</v>
      </c>
      <c r="K26" s="2950" t="s">
        <v>2408</v>
      </c>
      <c r="L26" s="2951"/>
      <c r="M26" s="2952"/>
      <c r="N26" s="2953" t="s">
        <v>2409</v>
      </c>
      <c r="O26" s="2953" t="s">
        <v>2410</v>
      </c>
      <c r="P26" s="2954" t="s">
        <v>2411</v>
      </c>
      <c r="Q26" s="2954" t="s">
        <v>2412</v>
      </c>
      <c r="R26" s="2857" t="s">
        <v>2337</v>
      </c>
      <c r="S26" s="2955"/>
      <c r="T26" s="2955"/>
      <c r="U26" s="2955"/>
      <c r="V26" s="2948"/>
    </row>
    <row r="27" spans="1:22" s="2852" customFormat="1" ht="13.15" customHeight="1">
      <c r="A27" s="2937"/>
      <c r="B27" s="2938" t="s">
        <v>2413</v>
      </c>
      <c r="C27" s="2956" t="e">
        <f>E7</f>
        <v>#DIV/0!</v>
      </c>
      <c r="D27" s="2940"/>
      <c r="E27" s="2941"/>
      <c r="F27" s="2942"/>
      <c r="G27" s="2936"/>
      <c r="H27" s="2957"/>
      <c r="I27" s="2948"/>
      <c r="J27" s="3719"/>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2414</v>
      </c>
      <c r="F28" s="2942"/>
      <c r="G28" s="2929"/>
      <c r="H28" s="2957"/>
      <c r="I28" s="2948"/>
      <c r="J28" s="2963">
        <v>6</v>
      </c>
      <c r="K28" s="2964" t="s">
        <v>2415</v>
      </c>
      <c r="L28" s="2965" t="s">
        <v>2416</v>
      </c>
      <c r="M28" s="2966"/>
      <c r="N28" s="2965" t="s">
        <v>2417</v>
      </c>
      <c r="O28" s="2967"/>
      <c r="P28" s="2965" t="s">
        <v>2418</v>
      </c>
      <c r="Q28" s="2968">
        <v>1.4999999999999999E-2</v>
      </c>
      <c r="R28" s="2969"/>
      <c r="S28" s="2921"/>
      <c r="T28" s="2921"/>
      <c r="U28" s="2921"/>
      <c r="V28" s="2948"/>
    </row>
    <row r="29" spans="1:22" s="2949" customFormat="1" ht="13.15" customHeight="1">
      <c r="A29" s="2930">
        <v>3</v>
      </c>
      <c r="B29" s="2931" t="s">
        <v>2419</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2413</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2420</v>
      </c>
      <c r="K31" s="2838"/>
      <c r="L31" s="2838"/>
      <c r="M31" s="2838"/>
      <c r="N31" s="2838"/>
      <c r="O31" s="2838"/>
      <c r="P31" s="2838"/>
      <c r="Q31" s="2838"/>
      <c r="R31" s="2839"/>
      <c r="S31" s="2921"/>
      <c r="T31" s="2840"/>
      <c r="U31" s="2840"/>
      <c r="V31" s="2948"/>
    </row>
    <row r="32" spans="1:22" s="2949" customFormat="1" ht="13.15" customHeight="1">
      <c r="A32" s="2930">
        <v>4</v>
      </c>
      <c r="B32" s="2931" t="s">
        <v>2421</v>
      </c>
      <c r="C32" s="2932">
        <f>C23-C26-C29</f>
        <v>0</v>
      </c>
      <c r="D32" s="2933">
        <f>D23-D26-D29</f>
        <v>0</v>
      </c>
      <c r="E32" s="2934">
        <f>E23-E26-E29</f>
        <v>0</v>
      </c>
      <c r="F32" s="2935"/>
      <c r="G32" s="2929"/>
      <c r="H32" s="2847"/>
      <c r="I32" s="2848"/>
      <c r="J32" s="3720" t="s">
        <v>2313</v>
      </c>
      <c r="K32" s="3721"/>
      <c r="L32" s="2849" t="s">
        <v>2314</v>
      </c>
      <c r="M32" s="2849" t="s">
        <v>2315</v>
      </c>
      <c r="N32" s="2849" t="s">
        <v>2316</v>
      </c>
      <c r="O32" s="2849" t="s">
        <v>2317</v>
      </c>
      <c r="P32" s="2849" t="s">
        <v>2318</v>
      </c>
      <c r="Q32" s="2850" t="s">
        <v>2319</v>
      </c>
      <c r="R32" s="2972" t="s">
        <v>2320</v>
      </c>
      <c r="S32" s="2921"/>
      <c r="T32" s="2840"/>
      <c r="U32" s="2840"/>
      <c r="V32" s="2948"/>
    </row>
    <row r="33" spans="1:23" s="2852" customFormat="1" ht="13.15" customHeight="1">
      <c r="A33" s="2930"/>
      <c r="B33" s="2931"/>
      <c r="C33" s="2932"/>
      <c r="D33" s="2973"/>
      <c r="E33" s="2974"/>
      <c r="F33" s="2935"/>
      <c r="G33" s="2929"/>
      <c r="H33" s="2957"/>
      <c r="I33" s="2948"/>
      <c r="J33" s="3722" t="s">
        <v>2323</v>
      </c>
      <c r="K33" s="3723"/>
      <c r="L33" s="2855"/>
      <c r="M33" s="2855"/>
      <c r="N33" s="2855"/>
      <c r="O33" s="2855"/>
      <c r="P33" s="2855"/>
      <c r="Q33" s="2856"/>
      <c r="R33" s="2975">
        <f>SUM(L33:Q33)</f>
        <v>0</v>
      </c>
      <c r="S33" s="2921"/>
      <c r="T33" s="2840"/>
      <c r="U33" s="2840"/>
      <c r="V33" s="2848"/>
    </row>
    <row r="34" spans="1:23" s="2852" customFormat="1" ht="13.15" customHeight="1">
      <c r="A34" s="2930">
        <v>5</v>
      </c>
      <c r="B34" s="2931" t="s">
        <v>2422</v>
      </c>
      <c r="C34" s="2976"/>
      <c r="D34" s="2977"/>
      <c r="E34" s="2978"/>
      <c r="F34" s="2935"/>
      <c r="G34" s="2929"/>
      <c r="H34" s="2957"/>
      <c r="I34" s="2948"/>
      <c r="J34" s="3722" t="s">
        <v>2325</v>
      </c>
      <c r="K34" s="372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2423</v>
      </c>
      <c r="C35" s="2980"/>
      <c r="D35" s="2981"/>
      <c r="E35" s="2982"/>
      <c r="F35" s="2935"/>
      <c r="G35" s="2983"/>
      <c r="H35" s="2847"/>
      <c r="I35" s="2948"/>
      <c r="J35" s="2866" t="s">
        <v>2327</v>
      </c>
      <c r="K35" s="2867"/>
      <c r="L35" s="2867"/>
      <c r="M35" s="2868"/>
      <c r="N35" s="2868"/>
      <c r="O35" s="2868"/>
      <c r="P35" s="2868"/>
      <c r="Q35" s="2868"/>
      <c r="R35" s="2984">
        <f>R40+R41+R43</f>
        <v>0</v>
      </c>
      <c r="S35" s="2921"/>
      <c r="T35" s="2840" t="s">
        <v>2328</v>
      </c>
      <c r="U35" s="2840"/>
      <c r="V35" s="2848"/>
    </row>
    <row r="36" spans="1:23" s="2852" customFormat="1" ht="13.15" customHeight="1" thickBot="1">
      <c r="A36" s="2930">
        <v>7</v>
      </c>
      <c r="B36" s="2985" t="s">
        <v>2424</v>
      </c>
      <c r="C36" s="2986"/>
      <c r="D36" s="2987"/>
      <c r="E36" s="2988"/>
      <c r="F36" s="2989">
        <f>C36+D36+E36</f>
        <v>0</v>
      </c>
      <c r="G36" s="2929"/>
      <c r="H36" s="2847"/>
      <c r="I36" s="2848"/>
      <c r="J36" s="3714">
        <v>1</v>
      </c>
      <c r="K36" s="3715" t="s">
        <v>2425</v>
      </c>
      <c r="L36" s="2873"/>
      <c r="M36" s="2874"/>
      <c r="N36" s="2874"/>
      <c r="O36" s="2874"/>
      <c r="P36" s="2874"/>
      <c r="Q36" s="2874"/>
      <c r="R36" s="2857" t="s">
        <v>2337</v>
      </c>
      <c r="S36" s="2921"/>
      <c r="T36" s="2840" t="s">
        <v>2338</v>
      </c>
      <c r="U36" s="2840"/>
      <c r="V36" s="2848"/>
    </row>
    <row r="37" spans="1:23" s="2852" customFormat="1" ht="13.15" customHeight="1">
      <c r="A37" s="2930"/>
      <c r="B37" s="2931"/>
      <c r="C37" s="2931"/>
      <c r="D37" s="2931"/>
      <c r="E37" s="2931"/>
      <c r="F37" s="2935"/>
      <c r="G37" s="2929"/>
      <c r="H37" s="2847"/>
      <c r="I37" s="2848"/>
      <c r="J37" s="3714"/>
      <c r="K37" s="3716"/>
      <c r="L37" s="2882"/>
      <c r="M37" s="2883"/>
      <c r="N37" s="2859"/>
      <c r="O37" s="2884"/>
      <c r="P37" s="2884"/>
      <c r="Q37" s="2885"/>
      <c r="R37" s="2886"/>
      <c r="S37" s="2921"/>
      <c r="T37" s="2840" t="s">
        <v>2341</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4"/>
      <c r="K38" s="3716"/>
      <c r="L38" s="2882"/>
      <c r="M38" s="2883"/>
      <c r="N38" s="2859"/>
      <c r="O38" s="2884"/>
      <c r="P38" s="2884"/>
      <c r="Q38" s="2885"/>
      <c r="R38" s="2886"/>
      <c r="S38" s="2921"/>
      <c r="T38" s="2840" t="s">
        <v>2348</v>
      </c>
      <c r="U38" s="2840"/>
      <c r="V38" s="2848"/>
    </row>
    <row r="39" spans="1:23" s="2852" customFormat="1" ht="13.15" customHeight="1">
      <c r="A39" s="2930">
        <v>9</v>
      </c>
      <c r="B39" s="2931" t="s">
        <v>2426</v>
      </c>
      <c r="C39" s="2896" t="e">
        <f>C38</f>
        <v>#DIV/0!</v>
      </c>
      <c r="D39" s="2931">
        <f>D38/(1+D34)^C36</f>
        <v>0</v>
      </c>
      <c r="E39" s="2931">
        <f>E38/(1+E34)^(C36+D36)</f>
        <v>0</v>
      </c>
      <c r="F39" s="2935"/>
      <c r="G39" s="2990"/>
      <c r="H39" s="2847"/>
      <c r="I39" s="2848"/>
      <c r="J39" s="3714"/>
      <c r="K39" s="3716"/>
      <c r="L39" s="2882"/>
      <c r="M39" s="2883"/>
      <c r="N39" s="2859"/>
      <c r="O39" s="2884"/>
      <c r="P39" s="2884"/>
      <c r="Q39" s="2885"/>
      <c r="R39" s="2886"/>
      <c r="S39" s="2921"/>
      <c r="T39" s="2840"/>
      <c r="U39" s="2840"/>
      <c r="V39" s="2848"/>
    </row>
    <row r="40" spans="1:23" s="2852" customFormat="1" ht="13.15" customHeight="1">
      <c r="A40" s="2991">
        <v>10</v>
      </c>
      <c r="B40" s="2931" t="s">
        <v>2427</v>
      </c>
      <c r="C40" s="2992" t="e">
        <f>C39+D39+E39</f>
        <v>#DIV/0!</v>
      </c>
      <c r="D40" s="2993"/>
      <c r="E40" s="2993"/>
      <c r="F40" s="2994"/>
      <c r="G40" s="2929"/>
      <c r="H40" s="2847"/>
      <c r="I40" s="2848"/>
      <c r="J40" s="3714"/>
      <c r="K40" s="3717"/>
      <c r="L40" s="2902" t="s">
        <v>2366</v>
      </c>
      <c r="M40" s="2903"/>
      <c r="N40" s="2903"/>
      <c r="O40" s="2904"/>
      <c r="P40" s="2904"/>
      <c r="Q40" s="2905"/>
      <c r="R40" s="2851">
        <f>SUM(R37:R39)</f>
        <v>0</v>
      </c>
      <c r="S40" s="2921"/>
      <c r="T40" s="2840"/>
      <c r="U40" s="2840"/>
      <c r="V40" s="2848"/>
    </row>
    <row r="41" spans="1:23" s="2852" customFormat="1" ht="13.15" customHeight="1" thickBot="1">
      <c r="A41" s="2995">
        <v>11</v>
      </c>
      <c r="B41" s="2996" t="s">
        <v>2428</v>
      </c>
      <c r="C41" s="2996" t="e">
        <f>ROUND(C40*10000/B4,0)</f>
        <v>#DIV/0!</v>
      </c>
      <c r="D41" s="2997"/>
      <c r="E41" s="2997"/>
      <c r="F41" s="2998"/>
      <c r="G41" s="2999"/>
      <c r="H41" s="2847"/>
      <c r="I41" s="2848"/>
      <c r="J41" s="2943">
        <v>2</v>
      </c>
      <c r="K41" s="2944" t="s">
        <v>2406</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8">
        <v>3</v>
      </c>
      <c r="K42" s="2950" t="s">
        <v>2408</v>
      </c>
      <c r="L42" s="2951"/>
      <c r="M42" s="2952"/>
      <c r="N42" s="2953" t="s">
        <v>2409</v>
      </c>
      <c r="O42" s="2953" t="s">
        <v>2410</v>
      </c>
      <c r="P42" s="2954" t="s">
        <v>2411</v>
      </c>
      <c r="Q42" s="2954" t="s">
        <v>2412</v>
      </c>
      <c r="R42" s="2857" t="s">
        <v>2337</v>
      </c>
      <c r="S42" s="2955"/>
      <c r="T42" s="2955"/>
      <c r="U42" s="2840"/>
      <c r="V42" s="2848"/>
    </row>
    <row r="43" spans="1:23" ht="13.15" customHeight="1">
      <c r="A43" s="2852"/>
      <c r="B43" s="2852"/>
      <c r="C43" s="2852"/>
      <c r="D43" s="2852"/>
      <c r="E43" s="2852"/>
      <c r="F43" s="2852"/>
      <c r="I43" s="2835"/>
      <c r="J43" s="3719"/>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2415</v>
      </c>
      <c r="L44" s="3003" t="s">
        <v>2416</v>
      </c>
      <c r="M44" s="2966"/>
      <c r="N44" s="3003" t="s">
        <v>2417</v>
      </c>
      <c r="O44" s="2966"/>
      <c r="P44" s="3003" t="s">
        <v>2418</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822.14689999999996</v>
      </c>
      <c r="C2" s="1871" t="s">
        <v>1651</v>
      </c>
      <c r="D2" s="1872" t="s">
        <v>1652</v>
      </c>
      <c r="E2" s="2606">
        <f>SUM(E6:E13)</f>
        <v>617</v>
      </c>
      <c r="F2" s="2706"/>
      <c r="G2" s="1488"/>
      <c r="H2" s="1488"/>
      <c r="I2" s="1488"/>
      <c r="J2" s="1488"/>
      <c r="K2" s="1488"/>
      <c r="L2" s="1488"/>
      <c r="M2" s="1488"/>
      <c r="N2" s="1488"/>
      <c r="O2" s="1488"/>
      <c r="P2" s="1488"/>
      <c r="Q2" s="1488"/>
      <c r="R2" s="1488"/>
      <c r="S2" s="1488"/>
    </row>
    <row r="3" spans="1:22" ht="15.75">
      <c r="A3" s="1869" t="s">
        <v>686</v>
      </c>
      <c r="B3" s="2600">
        <f ca="1">ROUND(B2*10000/E2,0)</f>
        <v>13325</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33" t="s">
        <v>1654</v>
      </c>
      <c r="C5" s="3734"/>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822.14689999999996</v>
      </c>
      <c r="C6" s="1871" t="s">
        <v>1651</v>
      </c>
      <c r="D6" s="2708"/>
      <c r="E6" s="2605">
        <f>IF(OR(A6=0,F6="否"),0,'数据-取费表'!K6+'数据-取费表'!S6)</f>
        <v>617</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617</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86" t="s">
        <v>1667</v>
      </c>
      <c r="D4" s="3687"/>
      <c r="E4" s="3688" t="s">
        <v>1668</v>
      </c>
      <c r="F4" s="3689"/>
      <c r="G4" s="3686" t="s">
        <v>1669</v>
      </c>
      <c r="H4" s="3687"/>
      <c r="I4" s="3686" t="s">
        <v>1670</v>
      </c>
      <c r="J4" s="3687"/>
      <c r="K4" s="1888" t="s">
        <v>1671</v>
      </c>
      <c r="L4" s="2714"/>
      <c r="M4" s="2715"/>
      <c r="N4" s="2715"/>
      <c r="O4" s="2715"/>
      <c r="P4" s="3690" t="s">
        <v>1672</v>
      </c>
      <c r="Q4" s="3691"/>
      <c r="R4" s="3696" t="s">
        <v>1668</v>
      </c>
      <c r="S4" s="3697"/>
      <c r="T4" s="3696" t="s">
        <v>1669</v>
      </c>
      <c r="U4" s="3697"/>
      <c r="V4" s="3681" t="s">
        <v>1670</v>
      </c>
      <c r="W4" s="3681"/>
      <c r="X4" s="1354"/>
      <c r="Y4" s="3696" t="s">
        <v>1672</v>
      </c>
      <c r="Z4" s="3697"/>
      <c r="AA4" s="3683" t="s">
        <v>1668</v>
      </c>
      <c r="AB4" s="3683" t="s">
        <v>1669</v>
      </c>
      <c r="AC4" s="3683" t="s">
        <v>1670</v>
      </c>
    </row>
    <row r="5" spans="1:29" ht="15">
      <c r="A5" s="358"/>
      <c r="B5" s="359"/>
      <c r="C5" s="3709" t="s">
        <v>1673</v>
      </c>
      <c r="D5" s="3710"/>
      <c r="E5" s="3735" t="s">
        <v>1674</v>
      </c>
      <c r="F5" s="3705"/>
      <c r="G5" s="3709" t="s">
        <v>1675</v>
      </c>
      <c r="H5" s="3710"/>
      <c r="I5" s="3709" t="s">
        <v>1676</v>
      </c>
      <c r="J5" s="3710"/>
      <c r="K5" s="1889"/>
      <c r="L5" s="2714"/>
      <c r="M5" s="2715"/>
      <c r="N5" s="2715"/>
      <c r="O5" s="2715"/>
      <c r="P5" s="3692"/>
      <c r="Q5" s="3693"/>
      <c r="R5" s="3698"/>
      <c r="S5" s="3699"/>
      <c r="T5" s="3698"/>
      <c r="U5" s="3699"/>
      <c r="V5" s="3681"/>
      <c r="W5" s="3681"/>
      <c r="X5" s="1354"/>
      <c r="Y5" s="3698"/>
      <c r="Z5" s="3699"/>
      <c r="AA5" s="3684"/>
      <c r="AB5" s="3684"/>
      <c r="AC5" s="3684"/>
    </row>
    <row r="6" spans="1:29" ht="15.75" thickBot="1">
      <c r="A6" s="360"/>
      <c r="B6" s="361"/>
      <c r="C6" s="3702" t="s">
        <v>1677</v>
      </c>
      <c r="D6" s="3703"/>
      <c r="E6" s="3712" t="s">
        <v>1677</v>
      </c>
      <c r="F6" s="3713"/>
      <c r="G6" s="3702" t="s">
        <v>1677</v>
      </c>
      <c r="H6" s="3703"/>
      <c r="I6" s="3702" t="s">
        <v>1677</v>
      </c>
      <c r="J6" s="3703"/>
      <c r="K6" s="1889" t="s">
        <v>1678</v>
      </c>
      <c r="L6" s="2714"/>
      <c r="M6" s="2715"/>
      <c r="N6" s="2715"/>
      <c r="O6" s="2715"/>
      <c r="P6" s="3694"/>
      <c r="Q6" s="3695"/>
      <c r="R6" s="3698"/>
      <c r="S6" s="3699"/>
      <c r="T6" s="3700"/>
      <c r="U6" s="3701"/>
      <c r="V6" s="3681"/>
      <c r="W6" s="3681"/>
      <c r="X6" s="1354"/>
      <c r="Y6" s="3700"/>
      <c r="Z6" s="3701"/>
      <c r="AA6" s="3685"/>
      <c r="AB6" s="3685"/>
      <c r="AC6" s="3685"/>
    </row>
    <row r="7" spans="1:29" s="108" customFormat="1" ht="15.75" thickBot="1">
      <c r="A7" s="362" t="s">
        <v>1679</v>
      </c>
      <c r="B7" s="363"/>
      <c r="C7" s="364">
        <f>'数据-取费表'!B2</f>
        <v>45765</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06" t="s">
        <v>1680</v>
      </c>
      <c r="Q7" s="3708"/>
      <c r="R7" s="700" t="s">
        <v>20</v>
      </c>
      <c r="S7" s="701">
        <f t="shared" ref="S7:S15" si="0">F7</f>
        <v>0</v>
      </c>
      <c r="T7" s="700" t="s">
        <v>20</v>
      </c>
      <c r="U7" s="701">
        <f t="shared" ref="U7:U15" si="1">H7</f>
        <v>0</v>
      </c>
      <c r="V7" s="700" t="s">
        <v>20</v>
      </c>
      <c r="W7" s="701">
        <f t="shared" ref="W7:W15" si="2">J7</f>
        <v>0</v>
      </c>
      <c r="X7" s="702"/>
      <c r="Y7" s="3706" t="s">
        <v>1680</v>
      </c>
      <c r="Z7" s="3707"/>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06" t="s">
        <v>1683</v>
      </c>
      <c r="Q8" s="3707"/>
      <c r="R8" s="700" t="s">
        <v>20</v>
      </c>
      <c r="S8" s="701">
        <f t="shared" si="0"/>
        <v>100</v>
      </c>
      <c r="T8" s="700" t="s">
        <v>20</v>
      </c>
      <c r="U8" s="701">
        <f t="shared" si="1"/>
        <v>100</v>
      </c>
      <c r="V8" s="700" t="s">
        <v>20</v>
      </c>
      <c r="W8" s="701">
        <f t="shared" si="2"/>
        <v>100</v>
      </c>
      <c r="X8" s="702"/>
      <c r="Y8" s="3706" t="s">
        <v>1683</v>
      </c>
      <c r="Z8" s="3707"/>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2" t="s">
        <v>1686</v>
      </c>
      <c r="Q9" s="1342" t="str">
        <f t="shared" ref="Q9:Q15" si="6">B9</f>
        <v>用途</v>
      </c>
      <c r="R9" s="700" t="s">
        <v>14</v>
      </c>
      <c r="S9" s="701">
        <f t="shared" si="0"/>
        <v>100</v>
      </c>
      <c r="T9" s="700" t="s">
        <v>14</v>
      </c>
      <c r="U9" s="701">
        <f t="shared" si="1"/>
        <v>100</v>
      </c>
      <c r="V9" s="700" t="s">
        <v>14</v>
      </c>
      <c r="W9" s="701">
        <f t="shared" si="2"/>
        <v>100</v>
      </c>
      <c r="X9" s="702"/>
      <c r="Y9" s="3566"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82"/>
      <c r="Q10" s="1342" t="str">
        <f t="shared" si="6"/>
        <v>土地使用年限（年）</v>
      </c>
      <c r="R10" s="700" t="s">
        <v>14</v>
      </c>
      <c r="S10" s="701">
        <f t="shared" si="0"/>
        <v>100</v>
      </c>
      <c r="T10" s="700" t="s">
        <v>14</v>
      </c>
      <c r="U10" s="701">
        <f t="shared" si="1"/>
        <v>100</v>
      </c>
      <c r="V10" s="700" t="s">
        <v>14</v>
      </c>
      <c r="W10" s="701">
        <f t="shared" si="2"/>
        <v>100</v>
      </c>
      <c r="X10" s="702"/>
      <c r="Y10" s="3566"/>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2"/>
      <c r="Q11" s="1342" t="str">
        <f t="shared" si="6"/>
        <v>容积率</v>
      </c>
      <c r="R11" s="700" t="s">
        <v>18</v>
      </c>
      <c r="S11" s="701" t="e">
        <f t="shared" si="0"/>
        <v>#N/A</v>
      </c>
      <c r="T11" s="700" t="s">
        <v>18</v>
      </c>
      <c r="U11" s="701" t="e">
        <f t="shared" si="1"/>
        <v>#N/A</v>
      </c>
      <c r="V11" s="700" t="s">
        <v>18</v>
      </c>
      <c r="W11" s="701" t="e">
        <f t="shared" si="2"/>
        <v>#N/A</v>
      </c>
      <c r="X11" s="702"/>
      <c r="Y11" s="3566"/>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2"/>
      <c r="Q12" s="1342">
        <f t="shared" si="6"/>
        <v>111</v>
      </c>
      <c r="R12" s="700" t="s">
        <v>18</v>
      </c>
      <c r="S12" s="701">
        <f t="shared" si="0"/>
        <v>100</v>
      </c>
      <c r="T12" s="700" t="s">
        <v>18</v>
      </c>
      <c r="U12" s="701">
        <f t="shared" si="1"/>
        <v>100</v>
      </c>
      <c r="V12" s="700" t="s">
        <v>18</v>
      </c>
      <c r="W12" s="701">
        <f t="shared" si="2"/>
        <v>100</v>
      </c>
      <c r="X12" s="702"/>
      <c r="Y12" s="356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2"/>
      <c r="Q13" s="1342">
        <f t="shared" si="6"/>
        <v>111</v>
      </c>
      <c r="R13" s="700" t="s">
        <v>18</v>
      </c>
      <c r="S13" s="701">
        <f t="shared" si="0"/>
        <v>100</v>
      </c>
      <c r="T13" s="700" t="s">
        <v>18</v>
      </c>
      <c r="U13" s="701">
        <f t="shared" si="1"/>
        <v>100</v>
      </c>
      <c r="V13" s="700" t="s">
        <v>18</v>
      </c>
      <c r="W13" s="701">
        <f t="shared" si="2"/>
        <v>100</v>
      </c>
      <c r="X13" s="702"/>
      <c r="Y13" s="3566"/>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2"/>
      <c r="Q14" s="1342">
        <f t="shared" si="6"/>
        <v>111</v>
      </c>
      <c r="R14" s="700" t="s">
        <v>18</v>
      </c>
      <c r="S14" s="701">
        <f t="shared" si="0"/>
        <v>100</v>
      </c>
      <c r="T14" s="700" t="s">
        <v>18</v>
      </c>
      <c r="U14" s="701">
        <f t="shared" si="1"/>
        <v>100</v>
      </c>
      <c r="V14" s="700" t="s">
        <v>18</v>
      </c>
      <c r="W14" s="701">
        <f t="shared" si="2"/>
        <v>100</v>
      </c>
      <c r="X14" s="702"/>
      <c r="Y14" s="3566"/>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2" t="s">
        <v>1691</v>
      </c>
      <c r="Q15" s="1351" t="str">
        <f t="shared" si="6"/>
        <v>居住社区成熟度</v>
      </c>
      <c r="R15" s="704" t="s">
        <v>18</v>
      </c>
      <c r="S15" s="705">
        <f t="shared" si="0"/>
        <v>100</v>
      </c>
      <c r="T15" s="704" t="s">
        <v>18</v>
      </c>
      <c r="U15" s="705">
        <f t="shared" si="1"/>
        <v>100</v>
      </c>
      <c r="V15" s="704" t="s">
        <v>18</v>
      </c>
      <c r="W15" s="705">
        <f t="shared" si="2"/>
        <v>100</v>
      </c>
      <c r="X15" s="1354"/>
      <c r="Y15" s="3674"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73"/>
      <c r="Q16" s="1351"/>
      <c r="R16" s="704"/>
      <c r="S16" s="705"/>
      <c r="T16" s="704"/>
      <c r="U16" s="705"/>
      <c r="V16" s="704"/>
      <c r="W16" s="705"/>
      <c r="X16" s="1354"/>
      <c r="Y16" s="3675"/>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73"/>
      <c r="Q17" s="1351" t="str">
        <f>B17</f>
        <v>交通便捷度</v>
      </c>
      <c r="R17" s="704" t="s">
        <v>18</v>
      </c>
      <c r="S17" s="705">
        <f>F17</f>
        <v>100</v>
      </c>
      <c r="T17" s="704" t="s">
        <v>18</v>
      </c>
      <c r="U17" s="705">
        <f>H17</f>
        <v>100</v>
      </c>
      <c r="V17" s="704" t="s">
        <v>18</v>
      </c>
      <c r="W17" s="705">
        <f>J17</f>
        <v>100</v>
      </c>
      <c r="X17" s="1354"/>
      <c r="Y17" s="3675"/>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73"/>
      <c r="Q18" s="1351"/>
      <c r="R18" s="704"/>
      <c r="S18" s="705"/>
      <c r="T18" s="704"/>
      <c r="U18" s="705"/>
      <c r="V18" s="704"/>
      <c r="W18" s="705"/>
      <c r="X18" s="1354"/>
      <c r="Y18" s="3675"/>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73"/>
      <c r="Q19" s="1351" t="str">
        <f>B19</f>
        <v>公共配套设施</v>
      </c>
      <c r="R19" s="704" t="s">
        <v>18</v>
      </c>
      <c r="S19" s="705">
        <f>F19</f>
        <v>100</v>
      </c>
      <c r="T19" s="704" t="s">
        <v>18</v>
      </c>
      <c r="U19" s="705">
        <f>H19</f>
        <v>100</v>
      </c>
      <c r="V19" s="704" t="s">
        <v>18</v>
      </c>
      <c r="W19" s="705">
        <f>J19</f>
        <v>100</v>
      </c>
      <c r="X19" s="1354"/>
      <c r="Y19" s="3675"/>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73"/>
      <c r="Q20" s="1351"/>
      <c r="R20" s="704"/>
      <c r="S20" s="705"/>
      <c r="T20" s="704"/>
      <c r="U20" s="705"/>
      <c r="V20" s="704"/>
      <c r="W20" s="705"/>
      <c r="X20" s="1354"/>
      <c r="Y20" s="3675"/>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73"/>
      <c r="Q21" s="1351" t="str">
        <f>B21</f>
        <v>基础设施水平</v>
      </c>
      <c r="R21" s="704" t="s">
        <v>14</v>
      </c>
      <c r="S21" s="705">
        <f>F21</f>
        <v>100</v>
      </c>
      <c r="T21" s="704" t="s">
        <v>14</v>
      </c>
      <c r="U21" s="705">
        <f>H21</f>
        <v>100</v>
      </c>
      <c r="V21" s="704" t="s">
        <v>14</v>
      </c>
      <c r="W21" s="705">
        <f>J21</f>
        <v>100</v>
      </c>
      <c r="X21" s="1354"/>
      <c r="Y21" s="367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73"/>
      <c r="Q22" s="1351"/>
      <c r="R22" s="704"/>
      <c r="S22" s="705"/>
      <c r="T22" s="704"/>
      <c r="U22" s="705"/>
      <c r="V22" s="704"/>
      <c r="W22" s="705"/>
      <c r="X22" s="1354"/>
      <c r="Y22" s="3675"/>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73"/>
      <c r="Q23" s="1351" t="str">
        <f>B23</f>
        <v>自然及人文环境</v>
      </c>
      <c r="R23" s="704" t="s">
        <v>18</v>
      </c>
      <c r="S23" s="705">
        <f>F23</f>
        <v>100</v>
      </c>
      <c r="T23" s="704" t="s">
        <v>18</v>
      </c>
      <c r="U23" s="705">
        <f>H23</f>
        <v>100</v>
      </c>
      <c r="V23" s="704" t="s">
        <v>18</v>
      </c>
      <c r="W23" s="705">
        <f>J23</f>
        <v>100</v>
      </c>
      <c r="X23" s="1354"/>
      <c r="Y23" s="3675"/>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73"/>
      <c r="Q24" s="1351"/>
      <c r="R24" s="704"/>
      <c r="S24" s="705"/>
      <c r="T24" s="704"/>
      <c r="U24" s="705"/>
      <c r="V24" s="704"/>
      <c r="W24" s="705"/>
      <c r="X24" s="1354"/>
      <c r="Y24" s="3675"/>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73"/>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75"/>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73"/>
      <c r="Q26" s="1351" t="str">
        <f t="shared" si="11"/>
        <v>朝向</v>
      </c>
      <c r="R26" s="704" t="s">
        <v>18</v>
      </c>
      <c r="S26" s="705">
        <f t="shared" si="12"/>
        <v>100</v>
      </c>
      <c r="T26" s="704" t="s">
        <v>18</v>
      </c>
      <c r="U26" s="705">
        <f t="shared" si="13"/>
        <v>100</v>
      </c>
      <c r="V26" s="704" t="s">
        <v>18</v>
      </c>
      <c r="W26" s="705">
        <f t="shared" si="14"/>
        <v>100</v>
      </c>
      <c r="X26" s="1354"/>
      <c r="Y26" s="3675"/>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73"/>
      <c r="Q27" s="1342">
        <f t="shared" si="11"/>
        <v>111</v>
      </c>
      <c r="R27" s="700" t="s">
        <v>18</v>
      </c>
      <c r="S27" s="701">
        <f t="shared" si="12"/>
        <v>100</v>
      </c>
      <c r="T27" s="700" t="s">
        <v>18</v>
      </c>
      <c r="U27" s="701">
        <f t="shared" si="13"/>
        <v>100</v>
      </c>
      <c r="V27" s="700" t="s">
        <v>18</v>
      </c>
      <c r="W27" s="701">
        <f t="shared" si="14"/>
        <v>100</v>
      </c>
      <c r="X27" s="702"/>
      <c r="Y27" s="3675"/>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73"/>
      <c r="Q28" s="1351">
        <f t="shared" si="11"/>
        <v>111</v>
      </c>
      <c r="R28" s="704" t="s">
        <v>18</v>
      </c>
      <c r="S28" s="705">
        <f t="shared" si="12"/>
        <v>100</v>
      </c>
      <c r="T28" s="704" t="s">
        <v>18</v>
      </c>
      <c r="U28" s="705">
        <f t="shared" si="13"/>
        <v>100</v>
      </c>
      <c r="V28" s="704" t="s">
        <v>18</v>
      </c>
      <c r="W28" s="705">
        <f t="shared" si="14"/>
        <v>100</v>
      </c>
      <c r="X28" s="1354"/>
      <c r="Y28" s="3675"/>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73"/>
      <c r="Q29" s="1351">
        <f t="shared" si="11"/>
        <v>111</v>
      </c>
      <c r="R29" s="704" t="s">
        <v>18</v>
      </c>
      <c r="S29" s="705">
        <f t="shared" si="12"/>
        <v>100</v>
      </c>
      <c r="T29" s="704" t="s">
        <v>18</v>
      </c>
      <c r="U29" s="705">
        <f t="shared" si="13"/>
        <v>100</v>
      </c>
      <c r="V29" s="704" t="s">
        <v>18</v>
      </c>
      <c r="W29" s="705">
        <f t="shared" si="14"/>
        <v>100</v>
      </c>
      <c r="X29" s="1354"/>
      <c r="Y29" s="3675"/>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73"/>
      <c r="Q30" s="1351">
        <f t="shared" si="11"/>
        <v>111</v>
      </c>
      <c r="R30" s="704" t="s">
        <v>18</v>
      </c>
      <c r="S30" s="705">
        <f t="shared" si="12"/>
        <v>100</v>
      </c>
      <c r="T30" s="704" t="s">
        <v>18</v>
      </c>
      <c r="U30" s="705">
        <f t="shared" si="13"/>
        <v>100</v>
      </c>
      <c r="V30" s="704" t="s">
        <v>18</v>
      </c>
      <c r="W30" s="705">
        <f t="shared" si="14"/>
        <v>100</v>
      </c>
      <c r="X30" s="1354"/>
      <c r="Y30" s="3675"/>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73"/>
      <c r="Q31" s="1351">
        <f t="shared" si="11"/>
        <v>111</v>
      </c>
      <c r="R31" s="704" t="s">
        <v>18</v>
      </c>
      <c r="S31" s="705">
        <f t="shared" si="12"/>
        <v>100</v>
      </c>
      <c r="T31" s="704" t="s">
        <v>18</v>
      </c>
      <c r="U31" s="705">
        <f t="shared" si="13"/>
        <v>100</v>
      </c>
      <c r="V31" s="704" t="s">
        <v>18</v>
      </c>
      <c r="W31" s="705">
        <f t="shared" si="14"/>
        <v>100</v>
      </c>
      <c r="X31" s="1354"/>
      <c r="Y31" s="3675"/>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76" t="s">
        <v>1696</v>
      </c>
      <c r="Q32" s="1351" t="str">
        <f t="shared" si="11"/>
        <v>建筑类型</v>
      </c>
      <c r="R32" s="704" t="s">
        <v>18</v>
      </c>
      <c r="S32" s="705">
        <f t="shared" si="12"/>
        <v>100</v>
      </c>
      <c r="T32" s="704" t="s">
        <v>18</v>
      </c>
      <c r="U32" s="705">
        <f t="shared" si="13"/>
        <v>100</v>
      </c>
      <c r="V32" s="704" t="s">
        <v>18</v>
      </c>
      <c r="W32" s="705">
        <f t="shared" si="14"/>
        <v>100</v>
      </c>
      <c r="X32" s="1354"/>
      <c r="Y32" s="3679"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77"/>
      <c r="Q33" s="706" t="str">
        <f t="shared" si="11"/>
        <v>项目建筑规模</v>
      </c>
      <c r="R33" s="707" t="s">
        <v>18</v>
      </c>
      <c r="S33" s="708" t="e">
        <f t="shared" si="12"/>
        <v>#N/A</v>
      </c>
      <c r="T33" s="707" t="s">
        <v>18</v>
      </c>
      <c r="U33" s="708" t="e">
        <f t="shared" si="13"/>
        <v>#N/A</v>
      </c>
      <c r="V33" s="707" t="s">
        <v>18</v>
      </c>
      <c r="W33" s="708" t="e">
        <f t="shared" si="14"/>
        <v>#N/A</v>
      </c>
      <c r="X33" s="709"/>
      <c r="Y33" s="3679"/>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77"/>
      <c r="Q34" s="1351" t="str">
        <f t="shared" si="11"/>
        <v>建筑结构</v>
      </c>
      <c r="R34" s="704" t="s">
        <v>18</v>
      </c>
      <c r="S34" s="705">
        <f t="shared" si="12"/>
        <v>100</v>
      </c>
      <c r="T34" s="704" t="s">
        <v>18</v>
      </c>
      <c r="U34" s="705">
        <f t="shared" si="13"/>
        <v>100</v>
      </c>
      <c r="V34" s="704" t="s">
        <v>18</v>
      </c>
      <c r="W34" s="705">
        <f t="shared" si="14"/>
        <v>100</v>
      </c>
      <c r="X34" s="1354"/>
      <c r="Y34" s="3679"/>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77"/>
      <c r="Q35" s="1351" t="str">
        <f t="shared" si="11"/>
        <v>建筑品质</v>
      </c>
      <c r="R35" s="704" t="s">
        <v>18</v>
      </c>
      <c r="S35" s="705">
        <f t="shared" si="12"/>
        <v>100</v>
      </c>
      <c r="T35" s="704" t="s">
        <v>18</v>
      </c>
      <c r="U35" s="705">
        <f t="shared" si="13"/>
        <v>100</v>
      </c>
      <c r="V35" s="704" t="s">
        <v>18</v>
      </c>
      <c r="W35" s="705">
        <f t="shared" si="14"/>
        <v>100</v>
      </c>
      <c r="X35" s="1354"/>
      <c r="Y35" s="3679"/>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77"/>
      <c r="Q36" s="1351" t="str">
        <f t="shared" si="11"/>
        <v>公共部分装修</v>
      </c>
      <c r="R36" s="704" t="s">
        <v>18</v>
      </c>
      <c r="S36" s="705">
        <f t="shared" si="12"/>
        <v>100</v>
      </c>
      <c r="T36" s="704" t="s">
        <v>18</v>
      </c>
      <c r="U36" s="705">
        <f t="shared" si="13"/>
        <v>100</v>
      </c>
      <c r="V36" s="704" t="s">
        <v>18</v>
      </c>
      <c r="W36" s="705">
        <f t="shared" si="14"/>
        <v>100</v>
      </c>
      <c r="X36" s="1354"/>
      <c r="Y36" s="3679"/>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7"/>
      <c r="Q37" s="1342" t="str">
        <f t="shared" si="11"/>
        <v>成新度</v>
      </c>
      <c r="R37" s="700" t="s">
        <v>18</v>
      </c>
      <c r="S37" s="701" t="e">
        <f t="shared" si="12"/>
        <v>#N/A</v>
      </c>
      <c r="T37" s="700" t="s">
        <v>18</v>
      </c>
      <c r="U37" s="701" t="e">
        <f t="shared" si="13"/>
        <v>#N/A</v>
      </c>
      <c r="V37" s="700" t="s">
        <v>18</v>
      </c>
      <c r="W37" s="701" t="e">
        <f t="shared" si="14"/>
        <v>#N/A</v>
      </c>
      <c r="X37" s="702"/>
      <c r="Y37" s="3679"/>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77" t="s">
        <v>1696</v>
      </c>
      <c r="Q38" s="1351" t="str">
        <f t="shared" si="11"/>
        <v>物业管理</v>
      </c>
      <c r="R38" s="704" t="s">
        <v>18</v>
      </c>
      <c r="S38" s="705">
        <f t="shared" si="12"/>
        <v>100</v>
      </c>
      <c r="T38" s="704" t="s">
        <v>18</v>
      </c>
      <c r="U38" s="705">
        <f t="shared" si="13"/>
        <v>100</v>
      </c>
      <c r="V38" s="704" t="s">
        <v>18</v>
      </c>
      <c r="W38" s="705">
        <f t="shared" si="14"/>
        <v>100</v>
      </c>
      <c r="X38" s="1354"/>
      <c r="Y38" s="3679"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77"/>
      <c r="Q39" s="1351" t="str">
        <f t="shared" si="11"/>
        <v>市政基础设施</v>
      </c>
      <c r="R39" s="704" t="s">
        <v>18</v>
      </c>
      <c r="S39" s="705">
        <f t="shared" si="12"/>
        <v>100</v>
      </c>
      <c r="T39" s="704" t="s">
        <v>18</v>
      </c>
      <c r="U39" s="705">
        <f t="shared" si="13"/>
        <v>100</v>
      </c>
      <c r="V39" s="704" t="s">
        <v>18</v>
      </c>
      <c r="W39" s="705">
        <f t="shared" si="14"/>
        <v>100</v>
      </c>
      <c r="X39" s="1354"/>
      <c r="Y39" s="3679"/>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77"/>
      <c r="Q40" s="1351" t="str">
        <f t="shared" si="11"/>
        <v>房型</v>
      </c>
      <c r="R40" s="704" t="s">
        <v>18</v>
      </c>
      <c r="S40" s="705">
        <f t="shared" si="12"/>
        <v>100</v>
      </c>
      <c r="T40" s="704" t="s">
        <v>18</v>
      </c>
      <c r="U40" s="705">
        <f t="shared" si="13"/>
        <v>100</v>
      </c>
      <c r="V40" s="704" t="s">
        <v>18</v>
      </c>
      <c r="W40" s="705">
        <f t="shared" si="14"/>
        <v>100</v>
      </c>
      <c r="X40" s="1354"/>
      <c r="Y40" s="3679"/>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77"/>
      <c r="Q41" s="706" t="str">
        <f t="shared" si="11"/>
        <v>单套/主力户型建筑面积</v>
      </c>
      <c r="R41" s="707" t="s">
        <v>18</v>
      </c>
      <c r="S41" s="708">
        <f t="shared" si="12"/>
        <v>100</v>
      </c>
      <c r="T41" s="707" t="s">
        <v>18</v>
      </c>
      <c r="U41" s="708">
        <f t="shared" si="13"/>
        <v>100</v>
      </c>
      <c r="V41" s="707" t="s">
        <v>18</v>
      </c>
      <c r="W41" s="708">
        <f t="shared" si="14"/>
        <v>100</v>
      </c>
      <c r="X41" s="709"/>
      <c r="Y41" s="3679"/>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77"/>
      <c r="Q42" s="1351" t="str">
        <f t="shared" si="11"/>
        <v>内部装修</v>
      </c>
      <c r="R42" s="704" t="s">
        <v>18</v>
      </c>
      <c r="S42" s="705">
        <f t="shared" si="12"/>
        <v>100</v>
      </c>
      <c r="T42" s="704" t="s">
        <v>18</v>
      </c>
      <c r="U42" s="705">
        <f t="shared" si="13"/>
        <v>100</v>
      </c>
      <c r="V42" s="704" t="s">
        <v>18</v>
      </c>
      <c r="W42" s="705">
        <f t="shared" si="14"/>
        <v>100</v>
      </c>
      <c r="X42" s="1354"/>
      <c r="Y42" s="3679"/>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77"/>
      <c r="Q43" s="1351" t="str">
        <f t="shared" si="11"/>
        <v>内部装修维护情况</v>
      </c>
      <c r="R43" s="704" t="s">
        <v>18</v>
      </c>
      <c r="S43" s="705">
        <f t="shared" si="12"/>
        <v>100</v>
      </c>
      <c r="T43" s="704" t="s">
        <v>18</v>
      </c>
      <c r="U43" s="705">
        <f t="shared" si="13"/>
        <v>100</v>
      </c>
      <c r="V43" s="704" t="s">
        <v>18</v>
      </c>
      <c r="W43" s="705">
        <f t="shared" si="14"/>
        <v>100</v>
      </c>
      <c r="X43" s="1354"/>
      <c r="Y43" s="3679"/>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77"/>
      <c r="Q44" s="1342">
        <f t="shared" si="11"/>
        <v>111</v>
      </c>
      <c r="R44" s="700" t="s">
        <v>18</v>
      </c>
      <c r="S44" s="701">
        <f t="shared" si="12"/>
        <v>100</v>
      </c>
      <c r="T44" s="700" t="s">
        <v>18</v>
      </c>
      <c r="U44" s="701">
        <f t="shared" si="13"/>
        <v>100</v>
      </c>
      <c r="V44" s="700" t="s">
        <v>18</v>
      </c>
      <c r="W44" s="701">
        <f t="shared" si="14"/>
        <v>100</v>
      </c>
      <c r="X44" s="702"/>
      <c r="Y44" s="3679"/>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77"/>
      <c r="Q45" s="1351">
        <f t="shared" si="11"/>
        <v>111</v>
      </c>
      <c r="R45" s="704" t="s">
        <v>18</v>
      </c>
      <c r="S45" s="705">
        <f t="shared" si="12"/>
        <v>100</v>
      </c>
      <c r="T45" s="704" t="s">
        <v>18</v>
      </c>
      <c r="U45" s="705">
        <f t="shared" si="13"/>
        <v>100</v>
      </c>
      <c r="V45" s="704" t="s">
        <v>18</v>
      </c>
      <c r="W45" s="705">
        <f t="shared" si="14"/>
        <v>100</v>
      </c>
      <c r="X45" s="1354"/>
      <c r="Y45" s="3679"/>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78"/>
      <c r="Q46" s="1351">
        <f t="shared" si="11"/>
        <v>111</v>
      </c>
      <c r="R46" s="704" t="s">
        <v>17</v>
      </c>
      <c r="S46" s="705">
        <f t="shared" si="12"/>
        <v>100</v>
      </c>
      <c r="T46" s="704" t="s">
        <v>17</v>
      </c>
      <c r="U46" s="705">
        <f t="shared" si="13"/>
        <v>100</v>
      </c>
      <c r="V46" s="704" t="s">
        <v>17</v>
      </c>
      <c r="W46" s="705">
        <f t="shared" si="14"/>
        <v>100</v>
      </c>
      <c r="X46" s="1354"/>
      <c r="Y46" s="3680"/>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67" t="str">
        <f>A47</f>
        <v>成交单价（元/平方米）</v>
      </c>
      <c r="Q47" s="3667"/>
      <c r="R47" s="3668">
        <f>E47</f>
        <v>0</v>
      </c>
      <c r="S47" s="3668"/>
      <c r="T47" s="3668">
        <f>G47</f>
        <v>0</v>
      </c>
      <c r="U47" s="3668"/>
      <c r="V47" s="3668">
        <f>I47</f>
        <v>0</v>
      </c>
      <c r="W47" s="3668"/>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67" t="str">
        <f>A48</f>
        <v>比较价值（元/平方米）</v>
      </c>
      <c r="Q48" s="3667"/>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2025-4</v>
      </c>
      <c r="D58" s="1184">
        <f>EDATE(C58,-1)</f>
        <v>45717</v>
      </c>
      <c r="E58" s="1184">
        <f>EDATE(D58,-1)</f>
        <v>45689</v>
      </c>
      <c r="F58" s="1184">
        <f t="shared" ref="F58:O58" si="19">EDATE(E58,-1)</f>
        <v>45658</v>
      </c>
      <c r="G58" s="1184">
        <f t="shared" si="19"/>
        <v>45627</v>
      </c>
      <c r="H58" s="1184">
        <f t="shared" si="19"/>
        <v>45597</v>
      </c>
      <c r="I58" s="1184">
        <f t="shared" si="19"/>
        <v>45566</v>
      </c>
      <c r="J58" s="1184">
        <f t="shared" si="19"/>
        <v>45536</v>
      </c>
      <c r="K58" s="1184">
        <f t="shared" si="19"/>
        <v>45505</v>
      </c>
      <c r="L58" s="1184">
        <f t="shared" si="19"/>
        <v>45474</v>
      </c>
      <c r="M58" s="1184">
        <f t="shared" si="19"/>
        <v>45444</v>
      </c>
      <c r="N58" s="1184">
        <f t="shared" si="19"/>
        <v>45413</v>
      </c>
      <c r="O58" s="1184">
        <f t="shared" si="19"/>
        <v>45383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617</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86" t="s">
        <v>1770</v>
      </c>
      <c r="D4" s="3687"/>
      <c r="E4" s="3688" t="s">
        <v>1771</v>
      </c>
      <c r="F4" s="3689"/>
      <c r="G4" s="3686" t="s">
        <v>1772</v>
      </c>
      <c r="H4" s="3687"/>
      <c r="I4" s="3686" t="s">
        <v>1773</v>
      </c>
      <c r="J4" s="3687"/>
      <c r="K4" s="559" t="s">
        <v>1774</v>
      </c>
      <c r="L4" s="2714"/>
      <c r="M4" s="2715"/>
      <c r="N4" s="2715"/>
      <c r="O4" s="2715"/>
      <c r="P4" s="3742" t="s">
        <v>1775</v>
      </c>
      <c r="Q4" s="3743"/>
      <c r="R4" s="3746" t="s">
        <v>1771</v>
      </c>
      <c r="S4" s="3747"/>
      <c r="T4" s="3746" t="s">
        <v>1772</v>
      </c>
      <c r="U4" s="3747"/>
      <c r="V4" s="3748" t="s">
        <v>1773</v>
      </c>
      <c r="W4" s="3748"/>
      <c r="X4" s="1957"/>
      <c r="Y4" s="3746" t="s">
        <v>1775</v>
      </c>
      <c r="Z4" s="3747"/>
      <c r="AA4" s="3750" t="s">
        <v>1771</v>
      </c>
      <c r="AB4" s="3750" t="s">
        <v>1772</v>
      </c>
      <c r="AC4" s="3739" t="s">
        <v>1773</v>
      </c>
    </row>
    <row r="5" spans="1:29" ht="15">
      <c r="A5" s="358"/>
      <c r="B5" s="359"/>
      <c r="C5" s="3709" t="s">
        <v>1673</v>
      </c>
      <c r="D5" s="3710"/>
      <c r="E5" s="3735" t="s">
        <v>1674</v>
      </c>
      <c r="F5" s="3705"/>
      <c r="G5" s="3709" t="s">
        <v>1675</v>
      </c>
      <c r="H5" s="3710"/>
      <c r="I5" s="3709" t="s">
        <v>1676</v>
      </c>
      <c r="J5" s="3710"/>
      <c r="K5" s="559"/>
      <c r="L5" s="2714"/>
      <c r="M5" s="2715"/>
      <c r="N5" s="2715"/>
      <c r="O5" s="2715"/>
      <c r="P5" s="3744"/>
      <c r="Q5" s="3693"/>
      <c r="R5" s="3698"/>
      <c r="S5" s="3699"/>
      <c r="T5" s="3698"/>
      <c r="U5" s="3699"/>
      <c r="V5" s="3681"/>
      <c r="W5" s="3681"/>
      <c r="X5" s="1354"/>
      <c r="Y5" s="3698"/>
      <c r="Z5" s="3699"/>
      <c r="AA5" s="3684"/>
      <c r="AB5" s="3684"/>
      <c r="AC5" s="3740"/>
    </row>
    <row r="6" spans="1:29" ht="15.75" thickBot="1">
      <c r="A6" s="360"/>
      <c r="B6" s="361"/>
      <c r="C6" s="3702" t="s">
        <v>1677</v>
      </c>
      <c r="D6" s="3703"/>
      <c r="E6" s="3712" t="s">
        <v>1677</v>
      </c>
      <c r="F6" s="3713"/>
      <c r="G6" s="3702" t="s">
        <v>1677</v>
      </c>
      <c r="H6" s="3703"/>
      <c r="I6" s="3702" t="s">
        <v>1677</v>
      </c>
      <c r="J6" s="3703"/>
      <c r="K6" s="559" t="s">
        <v>1678</v>
      </c>
      <c r="L6" s="2714"/>
      <c r="M6" s="2715"/>
      <c r="N6" s="2715"/>
      <c r="O6" s="2715"/>
      <c r="P6" s="3745"/>
      <c r="Q6" s="3695"/>
      <c r="R6" s="3698"/>
      <c r="S6" s="3699"/>
      <c r="T6" s="3700"/>
      <c r="U6" s="3701"/>
      <c r="V6" s="3681"/>
      <c r="W6" s="3681"/>
      <c r="X6" s="1354"/>
      <c r="Y6" s="3700"/>
      <c r="Z6" s="3701"/>
      <c r="AA6" s="3685"/>
      <c r="AB6" s="3685"/>
      <c r="AC6" s="3741"/>
    </row>
    <row r="7" spans="1:29" s="108" customFormat="1" ht="15.75" thickBot="1">
      <c r="A7" s="362" t="s">
        <v>1679</v>
      </c>
      <c r="B7" s="363"/>
      <c r="C7" s="364">
        <f>'数据-取费表'!B2</f>
        <v>45765</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9" t="s">
        <v>1680</v>
      </c>
      <c r="Q7" s="3708"/>
      <c r="R7" s="700" t="s">
        <v>14</v>
      </c>
      <c r="S7" s="701">
        <f t="shared" ref="S7:S15" si="0">F7</f>
        <v>0</v>
      </c>
      <c r="T7" s="700" t="s">
        <v>14</v>
      </c>
      <c r="U7" s="701">
        <f t="shared" ref="U7:U15" si="1">H7</f>
        <v>0</v>
      </c>
      <c r="V7" s="700" t="s">
        <v>14</v>
      </c>
      <c r="W7" s="701">
        <f t="shared" ref="W7:W15" si="2">J7</f>
        <v>0</v>
      </c>
      <c r="X7" s="702"/>
      <c r="Y7" s="3706" t="s">
        <v>1680</v>
      </c>
      <c r="Z7" s="3707"/>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9" t="s">
        <v>1683</v>
      </c>
      <c r="Q8" s="3707"/>
      <c r="R8" s="700" t="s">
        <v>14</v>
      </c>
      <c r="S8" s="701">
        <f t="shared" si="0"/>
        <v>100</v>
      </c>
      <c r="T8" s="700" t="s">
        <v>14</v>
      </c>
      <c r="U8" s="701">
        <f t="shared" si="1"/>
        <v>100</v>
      </c>
      <c r="V8" s="700" t="s">
        <v>14</v>
      </c>
      <c r="W8" s="701">
        <f t="shared" si="2"/>
        <v>100</v>
      </c>
      <c r="X8" s="702"/>
      <c r="Y8" s="3706" t="s">
        <v>1683</v>
      </c>
      <c r="Z8" s="3707"/>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2" t="s">
        <v>1686</v>
      </c>
      <c r="Q9" s="1342" t="str">
        <f t="shared" ref="Q9:Q15" si="6">B9</f>
        <v>用途</v>
      </c>
      <c r="R9" s="700" t="s">
        <v>14</v>
      </c>
      <c r="S9" s="701">
        <f t="shared" si="0"/>
        <v>100</v>
      </c>
      <c r="T9" s="700" t="s">
        <v>14</v>
      </c>
      <c r="U9" s="701">
        <f t="shared" si="1"/>
        <v>100</v>
      </c>
      <c r="V9" s="700" t="s">
        <v>14</v>
      </c>
      <c r="W9" s="701">
        <f t="shared" si="2"/>
        <v>100</v>
      </c>
      <c r="X9" s="702"/>
      <c r="Y9" s="3566"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2"/>
      <c r="Q10" s="1342" t="str">
        <f t="shared" si="6"/>
        <v>土地使用年限（年）</v>
      </c>
      <c r="R10" s="700" t="s">
        <v>14</v>
      </c>
      <c r="S10" s="701">
        <f t="shared" si="0"/>
        <v>100</v>
      </c>
      <c r="T10" s="700" t="s">
        <v>14</v>
      </c>
      <c r="U10" s="701">
        <f t="shared" si="1"/>
        <v>100</v>
      </c>
      <c r="V10" s="700" t="s">
        <v>14</v>
      </c>
      <c r="W10" s="701">
        <f t="shared" si="2"/>
        <v>100</v>
      </c>
      <c r="X10" s="702"/>
      <c r="Y10" s="3566"/>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2"/>
      <c r="Q11" s="1342" t="str">
        <f t="shared" si="6"/>
        <v>容积率</v>
      </c>
      <c r="R11" s="700" t="s">
        <v>14</v>
      </c>
      <c r="S11" s="701">
        <f t="shared" si="0"/>
        <v>100</v>
      </c>
      <c r="T11" s="700" t="s">
        <v>14</v>
      </c>
      <c r="U11" s="701">
        <f t="shared" si="1"/>
        <v>100</v>
      </c>
      <c r="V11" s="700" t="s">
        <v>14</v>
      </c>
      <c r="W11" s="701">
        <f t="shared" si="2"/>
        <v>100</v>
      </c>
      <c r="X11" s="702"/>
      <c r="Y11" s="3566"/>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2"/>
      <c r="Q12" s="1342">
        <f t="shared" si="6"/>
        <v>111</v>
      </c>
      <c r="R12" s="700" t="s">
        <v>14</v>
      </c>
      <c r="S12" s="701">
        <f t="shared" si="0"/>
        <v>100</v>
      </c>
      <c r="T12" s="700" t="s">
        <v>14</v>
      </c>
      <c r="U12" s="701">
        <f t="shared" si="1"/>
        <v>100</v>
      </c>
      <c r="V12" s="700" t="s">
        <v>14</v>
      </c>
      <c r="W12" s="701">
        <f t="shared" si="2"/>
        <v>100</v>
      </c>
      <c r="X12" s="702"/>
      <c r="Y12" s="3566"/>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2"/>
      <c r="Q13" s="1342">
        <f t="shared" si="6"/>
        <v>111</v>
      </c>
      <c r="R13" s="700" t="s">
        <v>14</v>
      </c>
      <c r="S13" s="701">
        <f t="shared" si="0"/>
        <v>100</v>
      </c>
      <c r="T13" s="700" t="s">
        <v>14</v>
      </c>
      <c r="U13" s="701">
        <f t="shared" si="1"/>
        <v>100</v>
      </c>
      <c r="V13" s="700" t="s">
        <v>14</v>
      </c>
      <c r="W13" s="701">
        <f t="shared" si="2"/>
        <v>100</v>
      </c>
      <c r="X13" s="702"/>
      <c r="Y13" s="3566"/>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82"/>
      <c r="Q14" s="1342">
        <f t="shared" si="6"/>
        <v>111</v>
      </c>
      <c r="R14" s="700" t="s">
        <v>14</v>
      </c>
      <c r="S14" s="701">
        <f t="shared" si="0"/>
        <v>100</v>
      </c>
      <c r="T14" s="700" t="s">
        <v>14</v>
      </c>
      <c r="U14" s="701">
        <f t="shared" si="1"/>
        <v>100</v>
      </c>
      <c r="V14" s="700" t="s">
        <v>14</v>
      </c>
      <c r="W14" s="701">
        <f t="shared" si="2"/>
        <v>100</v>
      </c>
      <c r="X14" s="702"/>
      <c r="Y14" s="3566"/>
      <c r="Z14" s="52">
        <f t="shared" si="7"/>
        <v>111</v>
      </c>
      <c r="AA14" s="703">
        <f t="shared" si="3"/>
        <v>1</v>
      </c>
      <c r="AB14" s="703">
        <f t="shared" si="4"/>
        <v>1</v>
      </c>
      <c r="AC14" s="1958">
        <f t="shared" si="5"/>
        <v>1</v>
      </c>
    </row>
    <row r="15" spans="1:29" ht="15">
      <c r="A15" s="391" t="s">
        <v>1690</v>
      </c>
      <c r="B15" s="576"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2" t="s">
        <v>1691</v>
      </c>
      <c r="Q15" s="1351" t="str">
        <f t="shared" si="6"/>
        <v>办公集聚程度</v>
      </c>
      <c r="R15" s="704" t="s">
        <v>14</v>
      </c>
      <c r="S15" s="705">
        <f t="shared" si="0"/>
        <v>100</v>
      </c>
      <c r="T15" s="704" t="s">
        <v>14</v>
      </c>
      <c r="U15" s="705">
        <f t="shared" si="1"/>
        <v>100</v>
      </c>
      <c r="V15" s="704" t="s">
        <v>14</v>
      </c>
      <c r="W15" s="705">
        <f t="shared" si="2"/>
        <v>100</v>
      </c>
      <c r="X15" s="1354"/>
      <c r="Y15" s="3674"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73"/>
      <c r="Q16" s="1351"/>
      <c r="R16" s="704"/>
      <c r="S16" s="705"/>
      <c r="T16" s="704"/>
      <c r="U16" s="705"/>
      <c r="V16" s="704"/>
      <c r="W16" s="705"/>
      <c r="X16" s="1354"/>
      <c r="Y16" s="3675"/>
      <c r="Z16" s="1355"/>
      <c r="AA16" s="1352">
        <v>1</v>
      </c>
      <c r="AB16" s="1352">
        <v>1</v>
      </c>
      <c r="AC16" s="1961">
        <v>1</v>
      </c>
    </row>
    <row r="17" spans="1:29" ht="15">
      <c r="A17" s="379"/>
      <c r="B17" s="578"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73"/>
      <c r="Q17" s="1351" t="str">
        <f>B17</f>
        <v>交通便捷度</v>
      </c>
      <c r="R17" s="704" t="s">
        <v>14</v>
      </c>
      <c r="S17" s="705">
        <f>F17</f>
        <v>100</v>
      </c>
      <c r="T17" s="704" t="s">
        <v>14</v>
      </c>
      <c r="U17" s="705">
        <f>H17</f>
        <v>100</v>
      </c>
      <c r="V17" s="704" t="s">
        <v>14</v>
      </c>
      <c r="W17" s="705">
        <f>J17</f>
        <v>100</v>
      </c>
      <c r="X17" s="1354"/>
      <c r="Y17" s="3675"/>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73"/>
      <c r="Q18" s="1351"/>
      <c r="R18" s="704"/>
      <c r="S18" s="705"/>
      <c r="T18" s="704"/>
      <c r="U18" s="705"/>
      <c r="V18" s="704"/>
      <c r="W18" s="705"/>
      <c r="X18" s="1354"/>
      <c r="Y18" s="3675"/>
      <c r="Z18" s="1355"/>
      <c r="AA18" s="1352">
        <v>1</v>
      </c>
      <c r="AB18" s="1352">
        <v>1</v>
      </c>
      <c r="AC18" s="1961">
        <v>1</v>
      </c>
    </row>
    <row r="19" spans="1:29" ht="15">
      <c r="A19" s="379"/>
      <c r="B19" s="578"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73"/>
      <c r="Q19" s="1351" t="str">
        <f>B19</f>
        <v>公共配套设施</v>
      </c>
      <c r="R19" s="704" t="s">
        <v>14</v>
      </c>
      <c r="S19" s="705">
        <f>F19</f>
        <v>100</v>
      </c>
      <c r="T19" s="704" t="s">
        <v>14</v>
      </c>
      <c r="U19" s="705">
        <f>H19</f>
        <v>100</v>
      </c>
      <c r="V19" s="704" t="s">
        <v>14</v>
      </c>
      <c r="W19" s="705">
        <f>J19</f>
        <v>100</v>
      </c>
      <c r="X19" s="1354"/>
      <c r="Y19" s="3675"/>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73"/>
      <c r="Q20" s="1351"/>
      <c r="R20" s="704"/>
      <c r="S20" s="705"/>
      <c r="T20" s="704"/>
      <c r="U20" s="705"/>
      <c r="V20" s="704"/>
      <c r="W20" s="705"/>
      <c r="X20" s="1354"/>
      <c r="Y20" s="3675"/>
      <c r="Z20" s="1355"/>
      <c r="AA20" s="1352">
        <v>1</v>
      </c>
      <c r="AB20" s="1352">
        <v>1</v>
      </c>
      <c r="AC20" s="1961">
        <v>1</v>
      </c>
    </row>
    <row r="21" spans="1:29" ht="15">
      <c r="A21" s="379"/>
      <c r="B21" s="580"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73"/>
      <c r="Q21" s="1351" t="str">
        <f>B21</f>
        <v>基础设施水平</v>
      </c>
      <c r="R21" s="704" t="s">
        <v>14</v>
      </c>
      <c r="S21" s="705">
        <f>F21</f>
        <v>100</v>
      </c>
      <c r="T21" s="704" t="s">
        <v>14</v>
      </c>
      <c r="U21" s="705">
        <f>H21</f>
        <v>100</v>
      </c>
      <c r="V21" s="704" t="s">
        <v>14</v>
      </c>
      <c r="W21" s="705">
        <f>J21</f>
        <v>100</v>
      </c>
      <c r="X21" s="1354"/>
      <c r="Y21" s="3675"/>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73"/>
      <c r="Q22" s="1351"/>
      <c r="R22" s="704"/>
      <c r="S22" s="705"/>
      <c r="T22" s="704"/>
      <c r="U22" s="705"/>
      <c r="V22" s="704"/>
      <c r="W22" s="705"/>
      <c r="X22" s="1354"/>
      <c r="Y22" s="3675"/>
      <c r="Z22" s="1355"/>
      <c r="AA22" s="1352">
        <v>1</v>
      </c>
      <c r="AB22" s="1352">
        <v>1</v>
      </c>
      <c r="AC22" s="1961">
        <v>1</v>
      </c>
    </row>
    <row r="23" spans="1:29" ht="15">
      <c r="A23" s="379"/>
      <c r="B23" s="578"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73"/>
      <c r="Q23" s="1351" t="str">
        <f>B23</f>
        <v>环境质量</v>
      </c>
      <c r="R23" s="704" t="s">
        <v>14</v>
      </c>
      <c r="S23" s="705">
        <f>F23</f>
        <v>100</v>
      </c>
      <c r="T23" s="704" t="s">
        <v>14</v>
      </c>
      <c r="U23" s="705">
        <f>H23</f>
        <v>100</v>
      </c>
      <c r="V23" s="704" t="s">
        <v>14</v>
      </c>
      <c r="W23" s="705">
        <f>J23</f>
        <v>100</v>
      </c>
      <c r="X23" s="1354"/>
      <c r="Y23" s="3675"/>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73"/>
      <c r="Q24" s="1351"/>
      <c r="R24" s="704"/>
      <c r="S24" s="705"/>
      <c r="T24" s="704"/>
      <c r="U24" s="705"/>
      <c r="V24" s="704"/>
      <c r="W24" s="705"/>
      <c r="X24" s="1354"/>
      <c r="Y24" s="3675"/>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73"/>
      <c r="Q25" s="1351" t="str">
        <f>B25</f>
        <v>毗邻道路的类型与等级</v>
      </c>
      <c r="R25" s="704" t="s">
        <v>14</v>
      </c>
      <c r="S25" s="705">
        <f>F25</f>
        <v>100</v>
      </c>
      <c r="T25" s="704" t="s">
        <v>14</v>
      </c>
      <c r="U25" s="705">
        <f>H25</f>
        <v>100</v>
      </c>
      <c r="V25" s="704" t="s">
        <v>14</v>
      </c>
      <c r="W25" s="705">
        <f>J25</f>
        <v>100</v>
      </c>
      <c r="X25" s="1354"/>
      <c r="Y25" s="3675"/>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73"/>
      <c r="Q26" s="1351"/>
      <c r="R26" s="704"/>
      <c r="S26" s="705"/>
      <c r="T26" s="704"/>
      <c r="U26" s="705"/>
      <c r="V26" s="704"/>
      <c r="W26" s="705"/>
      <c r="X26" s="1354"/>
      <c r="Y26" s="3675"/>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73"/>
      <c r="Q27" s="1351" t="str">
        <f t="shared" ref="Q27:Q47" si="11">B27</f>
        <v>楼层</v>
      </c>
      <c r="R27" s="704" t="s">
        <v>14</v>
      </c>
      <c r="S27" s="705">
        <f>F27</f>
        <v>100</v>
      </c>
      <c r="T27" s="704" t="s">
        <v>14</v>
      </c>
      <c r="U27" s="705">
        <f>H27</f>
        <v>100</v>
      </c>
      <c r="V27" s="704" t="s">
        <v>14</v>
      </c>
      <c r="W27" s="705">
        <f>J27</f>
        <v>100</v>
      </c>
      <c r="X27" s="1354"/>
      <c r="Y27" s="3675"/>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73"/>
      <c r="Q28" s="1342" t="str">
        <f t="shared" si="11"/>
        <v>朝向</v>
      </c>
      <c r="R28" s="700" t="s">
        <v>14</v>
      </c>
      <c r="S28" s="701">
        <f>F28</f>
        <v>100</v>
      </c>
      <c r="T28" s="700" t="s">
        <v>14</v>
      </c>
      <c r="U28" s="701">
        <f>H28</f>
        <v>100</v>
      </c>
      <c r="V28" s="700" t="s">
        <v>14</v>
      </c>
      <c r="W28" s="701">
        <f>J28</f>
        <v>100</v>
      </c>
      <c r="X28" s="702"/>
      <c r="Y28" s="3675"/>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73"/>
      <c r="Q29" s="1351">
        <f t="shared" si="11"/>
        <v>111</v>
      </c>
      <c r="R29" s="704" t="s">
        <v>14</v>
      </c>
      <c r="S29" s="705">
        <f t="shared" ref="S29:S47" si="12">F29</f>
        <v>100</v>
      </c>
      <c r="T29" s="704" t="s">
        <v>14</v>
      </c>
      <c r="U29" s="705">
        <f t="shared" ref="U29:U47" si="13">H29</f>
        <v>100</v>
      </c>
      <c r="V29" s="704" t="s">
        <v>14</v>
      </c>
      <c r="W29" s="705">
        <f t="shared" ref="W29:W47" si="14">J29</f>
        <v>100</v>
      </c>
      <c r="X29" s="1354"/>
      <c r="Y29" s="3675"/>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73"/>
      <c r="Q30" s="1351">
        <f t="shared" si="11"/>
        <v>111</v>
      </c>
      <c r="R30" s="704" t="s">
        <v>14</v>
      </c>
      <c r="S30" s="705">
        <f t="shared" si="12"/>
        <v>100</v>
      </c>
      <c r="T30" s="704" t="s">
        <v>14</v>
      </c>
      <c r="U30" s="705">
        <f t="shared" si="13"/>
        <v>100</v>
      </c>
      <c r="V30" s="704" t="s">
        <v>14</v>
      </c>
      <c r="W30" s="705">
        <f t="shared" si="14"/>
        <v>100</v>
      </c>
      <c r="X30" s="1354"/>
      <c r="Y30" s="3675"/>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73"/>
      <c r="Q31" s="1351">
        <f t="shared" si="11"/>
        <v>111</v>
      </c>
      <c r="R31" s="704" t="s">
        <v>14</v>
      </c>
      <c r="S31" s="705">
        <f t="shared" si="12"/>
        <v>100</v>
      </c>
      <c r="T31" s="704" t="s">
        <v>14</v>
      </c>
      <c r="U31" s="705">
        <f t="shared" si="13"/>
        <v>100</v>
      </c>
      <c r="V31" s="704" t="s">
        <v>14</v>
      </c>
      <c r="W31" s="705">
        <f t="shared" si="14"/>
        <v>100</v>
      </c>
      <c r="X31" s="1354"/>
      <c r="Y31" s="3675"/>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73"/>
      <c r="Q32" s="1351">
        <f t="shared" si="11"/>
        <v>111</v>
      </c>
      <c r="R32" s="704" t="s">
        <v>14</v>
      </c>
      <c r="S32" s="705">
        <f t="shared" si="12"/>
        <v>100</v>
      </c>
      <c r="T32" s="704" t="s">
        <v>14</v>
      </c>
      <c r="U32" s="705">
        <f t="shared" si="13"/>
        <v>100</v>
      </c>
      <c r="V32" s="704" t="s">
        <v>14</v>
      </c>
      <c r="W32" s="705">
        <f t="shared" si="14"/>
        <v>100</v>
      </c>
      <c r="X32" s="1354"/>
      <c r="Y32" s="3675"/>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76" t="s">
        <v>1696</v>
      </c>
      <c r="Q33" s="1351" t="str">
        <f t="shared" si="11"/>
        <v>建筑类型</v>
      </c>
      <c r="R33" s="704" t="s">
        <v>14</v>
      </c>
      <c r="S33" s="705">
        <f t="shared" si="12"/>
        <v>100</v>
      </c>
      <c r="T33" s="704" t="s">
        <v>14</v>
      </c>
      <c r="U33" s="705">
        <f t="shared" si="13"/>
        <v>100</v>
      </c>
      <c r="V33" s="704" t="s">
        <v>14</v>
      </c>
      <c r="W33" s="705">
        <f t="shared" si="14"/>
        <v>100</v>
      </c>
      <c r="X33" s="1354"/>
      <c r="Y33" s="3679"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7"/>
      <c r="Q34" s="706" t="str">
        <f t="shared" si="11"/>
        <v>项目建筑规模</v>
      </c>
      <c r="R34" s="707" t="s">
        <v>14</v>
      </c>
      <c r="S34" s="708" t="e">
        <f t="shared" si="12"/>
        <v>#N/A</v>
      </c>
      <c r="T34" s="707" t="s">
        <v>14</v>
      </c>
      <c r="U34" s="708" t="e">
        <f t="shared" si="13"/>
        <v>#N/A</v>
      </c>
      <c r="V34" s="707" t="s">
        <v>14</v>
      </c>
      <c r="W34" s="708" t="e">
        <f t="shared" si="14"/>
        <v>#N/A</v>
      </c>
      <c r="X34" s="709"/>
      <c r="Y34" s="3679"/>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7"/>
      <c r="Q35" s="1351" t="str">
        <f t="shared" si="11"/>
        <v>建筑结构</v>
      </c>
      <c r="R35" s="704" t="s">
        <v>14</v>
      </c>
      <c r="S35" s="705">
        <f t="shared" si="12"/>
        <v>100</v>
      </c>
      <c r="T35" s="704" t="s">
        <v>14</v>
      </c>
      <c r="U35" s="705">
        <f t="shared" si="13"/>
        <v>100</v>
      </c>
      <c r="V35" s="704" t="s">
        <v>14</v>
      </c>
      <c r="W35" s="705">
        <f t="shared" si="14"/>
        <v>100</v>
      </c>
      <c r="X35" s="1354"/>
      <c r="Y35" s="3679"/>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7"/>
      <c r="Q36" s="1351" t="str">
        <f t="shared" si="11"/>
        <v>公共部分装修</v>
      </c>
      <c r="R36" s="704" t="s">
        <v>14</v>
      </c>
      <c r="S36" s="705">
        <f t="shared" si="12"/>
        <v>100</v>
      </c>
      <c r="T36" s="704" t="s">
        <v>14</v>
      </c>
      <c r="U36" s="705">
        <f t="shared" si="13"/>
        <v>100</v>
      </c>
      <c r="V36" s="704" t="s">
        <v>14</v>
      </c>
      <c r="W36" s="705">
        <f t="shared" si="14"/>
        <v>100</v>
      </c>
      <c r="X36" s="1354"/>
      <c r="Y36" s="3679"/>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7"/>
      <c r="Q37" s="1351" t="str">
        <f t="shared" si="11"/>
        <v>成新度</v>
      </c>
      <c r="R37" s="704" t="s">
        <v>14</v>
      </c>
      <c r="S37" s="705" t="e">
        <f t="shared" si="12"/>
        <v>#N/A</v>
      </c>
      <c r="T37" s="704" t="s">
        <v>14</v>
      </c>
      <c r="U37" s="705" t="e">
        <f t="shared" si="13"/>
        <v>#N/A</v>
      </c>
      <c r="V37" s="704" t="s">
        <v>14</v>
      </c>
      <c r="W37" s="705" t="e">
        <f t="shared" si="14"/>
        <v>#N/A</v>
      </c>
      <c r="X37" s="1354"/>
      <c r="Y37" s="3679"/>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7"/>
      <c r="Q38" s="1342" t="str">
        <f t="shared" si="11"/>
        <v>写字楼等级</v>
      </c>
      <c r="R38" s="700" t="s">
        <v>14</v>
      </c>
      <c r="S38" s="701">
        <f t="shared" si="12"/>
        <v>100</v>
      </c>
      <c r="T38" s="700" t="s">
        <v>14</v>
      </c>
      <c r="U38" s="701">
        <f t="shared" si="13"/>
        <v>100</v>
      </c>
      <c r="V38" s="700" t="s">
        <v>14</v>
      </c>
      <c r="W38" s="701">
        <f t="shared" si="14"/>
        <v>100</v>
      </c>
      <c r="X38" s="702"/>
      <c r="Y38" s="3679"/>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7" t="s">
        <v>1696</v>
      </c>
      <c r="Q39" s="1351" t="str">
        <f t="shared" si="11"/>
        <v>物业管理</v>
      </c>
      <c r="R39" s="704" t="s">
        <v>14</v>
      </c>
      <c r="S39" s="705">
        <f t="shared" si="12"/>
        <v>100</v>
      </c>
      <c r="T39" s="704" t="s">
        <v>14</v>
      </c>
      <c r="U39" s="705">
        <f t="shared" si="13"/>
        <v>100</v>
      </c>
      <c r="V39" s="704" t="s">
        <v>14</v>
      </c>
      <c r="W39" s="705">
        <f t="shared" si="14"/>
        <v>100</v>
      </c>
      <c r="X39" s="1354"/>
      <c r="Y39" s="3679"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7"/>
      <c r="Q40" s="1351" t="str">
        <f t="shared" si="11"/>
        <v>市政基础设施</v>
      </c>
      <c r="R40" s="704" t="s">
        <v>14</v>
      </c>
      <c r="S40" s="705">
        <f t="shared" si="12"/>
        <v>100</v>
      </c>
      <c r="T40" s="704" t="s">
        <v>14</v>
      </c>
      <c r="U40" s="705">
        <f t="shared" si="13"/>
        <v>100</v>
      </c>
      <c r="V40" s="704" t="s">
        <v>14</v>
      </c>
      <c r="W40" s="705">
        <f t="shared" si="14"/>
        <v>100</v>
      </c>
      <c r="X40" s="1354"/>
      <c r="Y40" s="3679"/>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7"/>
      <c r="Q41" s="1351" t="str">
        <f t="shared" si="11"/>
        <v>层高</v>
      </c>
      <c r="R41" s="704" t="s">
        <v>14</v>
      </c>
      <c r="S41" s="705">
        <f t="shared" si="12"/>
        <v>100</v>
      </c>
      <c r="T41" s="704" t="s">
        <v>14</v>
      </c>
      <c r="U41" s="705">
        <f t="shared" si="13"/>
        <v>100</v>
      </c>
      <c r="V41" s="704" t="s">
        <v>14</v>
      </c>
      <c r="W41" s="705">
        <f t="shared" si="14"/>
        <v>100</v>
      </c>
      <c r="X41" s="1354"/>
      <c r="Y41" s="3679"/>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7"/>
      <c r="Q42" s="706" t="str">
        <f t="shared" si="11"/>
        <v>单套建筑面积</v>
      </c>
      <c r="R42" s="707" t="s">
        <v>14</v>
      </c>
      <c r="S42" s="708">
        <f t="shared" si="12"/>
        <v>100</v>
      </c>
      <c r="T42" s="707" t="s">
        <v>14</v>
      </c>
      <c r="U42" s="708">
        <f t="shared" si="13"/>
        <v>100</v>
      </c>
      <c r="V42" s="707" t="s">
        <v>14</v>
      </c>
      <c r="W42" s="708">
        <f t="shared" si="14"/>
        <v>100</v>
      </c>
      <c r="X42" s="709"/>
      <c r="Y42" s="3679"/>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7"/>
      <c r="Q43" s="1351" t="str">
        <f t="shared" si="11"/>
        <v>内部装修</v>
      </c>
      <c r="R43" s="704" t="s">
        <v>14</v>
      </c>
      <c r="S43" s="705">
        <f t="shared" si="12"/>
        <v>100</v>
      </c>
      <c r="T43" s="704" t="s">
        <v>14</v>
      </c>
      <c r="U43" s="705">
        <f t="shared" si="13"/>
        <v>100</v>
      </c>
      <c r="V43" s="704" t="s">
        <v>14</v>
      </c>
      <c r="W43" s="705">
        <f t="shared" si="14"/>
        <v>100</v>
      </c>
      <c r="X43" s="1354"/>
      <c r="Y43" s="3679"/>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77"/>
      <c r="Q44" s="1351" t="str">
        <f t="shared" si="11"/>
        <v>内部装修维护情况</v>
      </c>
      <c r="R44" s="704" t="s">
        <v>14</v>
      </c>
      <c r="S44" s="705">
        <f t="shared" si="12"/>
        <v>100</v>
      </c>
      <c r="T44" s="704" t="s">
        <v>14</v>
      </c>
      <c r="U44" s="705">
        <f t="shared" si="13"/>
        <v>100</v>
      </c>
      <c r="V44" s="704" t="s">
        <v>14</v>
      </c>
      <c r="W44" s="705">
        <f t="shared" si="14"/>
        <v>100</v>
      </c>
      <c r="X44" s="1354"/>
      <c r="Y44" s="3679"/>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7"/>
      <c r="Q45" s="1342">
        <f t="shared" si="11"/>
        <v>111</v>
      </c>
      <c r="R45" s="700" t="s">
        <v>14</v>
      </c>
      <c r="S45" s="701">
        <f t="shared" si="12"/>
        <v>100</v>
      </c>
      <c r="T45" s="700" t="s">
        <v>14</v>
      </c>
      <c r="U45" s="701">
        <f t="shared" si="13"/>
        <v>100</v>
      </c>
      <c r="V45" s="700" t="s">
        <v>14</v>
      </c>
      <c r="W45" s="701">
        <f t="shared" si="14"/>
        <v>100</v>
      </c>
      <c r="X45" s="702"/>
      <c r="Y45" s="3679"/>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7"/>
      <c r="Q46" s="1351">
        <f t="shared" si="11"/>
        <v>111</v>
      </c>
      <c r="R46" s="704" t="s">
        <v>14</v>
      </c>
      <c r="S46" s="705">
        <f t="shared" si="12"/>
        <v>100</v>
      </c>
      <c r="T46" s="704" t="s">
        <v>14</v>
      </c>
      <c r="U46" s="705">
        <f t="shared" si="13"/>
        <v>100</v>
      </c>
      <c r="V46" s="704" t="s">
        <v>14</v>
      </c>
      <c r="W46" s="705">
        <f t="shared" si="14"/>
        <v>100</v>
      </c>
      <c r="X46" s="1354"/>
      <c r="Y46" s="3679"/>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8"/>
      <c r="Q47" s="1351">
        <f t="shared" si="11"/>
        <v>111</v>
      </c>
      <c r="R47" s="704" t="s">
        <v>14</v>
      </c>
      <c r="S47" s="705">
        <f t="shared" si="12"/>
        <v>100</v>
      </c>
      <c r="T47" s="704" t="s">
        <v>14</v>
      </c>
      <c r="U47" s="705">
        <f t="shared" si="13"/>
        <v>100</v>
      </c>
      <c r="V47" s="704" t="s">
        <v>14</v>
      </c>
      <c r="W47" s="705">
        <f t="shared" si="14"/>
        <v>100</v>
      </c>
      <c r="X47" s="1354"/>
      <c r="Y47" s="3680"/>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82" t="str">
        <f>A48</f>
        <v>成交单价（元/平方米）</v>
      </c>
      <c r="Q48" s="3667"/>
      <c r="R48" s="3668">
        <f>E48</f>
        <v>0</v>
      </c>
      <c r="S48" s="3668"/>
      <c r="T48" s="3668">
        <f>G48</f>
        <v>0</v>
      </c>
      <c r="U48" s="3668"/>
      <c r="V48" s="3668">
        <f>I48</f>
        <v>0</v>
      </c>
      <c r="W48" s="3668"/>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82" t="str">
        <f>A49</f>
        <v>比较价值（元/平方米）</v>
      </c>
      <c r="Q49" s="3667"/>
      <c r="R49" s="3668" t="e">
        <f>IF(F1="售价",ROUND(PRODUCT(R48,AA7:AA47),0),ROUND(PRODUCT(R48,AA7:AA47),1))</f>
        <v>#DIV/0!</v>
      </c>
      <c r="S49" s="3668"/>
      <c r="T49" s="3668" t="e">
        <f>IF(F1="售价",ROUND(PRODUCT(T48,AB7:AB47),0),ROUND(PRODUCT(T48,AB7:AB47),1))</f>
        <v>#DIV/0!</v>
      </c>
      <c r="U49" s="3668"/>
      <c r="V49" s="3668" t="e">
        <f>IF(F1="售价",ROUND(PRODUCT(V48,AC7:AC47),0),ROUND(PRODUCT(V48,AC7:AC47),1))</f>
        <v>#DIV/0!</v>
      </c>
      <c r="W49" s="3668"/>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2025-4</v>
      </c>
      <c r="D59" s="1184">
        <f>EDATE(C59,-1)</f>
        <v>45717</v>
      </c>
      <c r="E59" s="1184">
        <f>EDATE(D59,-1)</f>
        <v>45689</v>
      </c>
      <c r="F59" s="1184">
        <f t="shared" ref="F59:O59" si="16">EDATE(E59,-1)</f>
        <v>45658</v>
      </c>
      <c r="G59" s="1184">
        <f t="shared" si="16"/>
        <v>45627</v>
      </c>
      <c r="H59" s="1184">
        <f t="shared" si="16"/>
        <v>45597</v>
      </c>
      <c r="I59" s="1184">
        <f t="shared" si="16"/>
        <v>45566</v>
      </c>
      <c r="J59" s="1184">
        <f t="shared" si="16"/>
        <v>45536</v>
      </c>
      <c r="K59" s="1184">
        <f t="shared" si="16"/>
        <v>45505</v>
      </c>
      <c r="L59" s="1184">
        <f t="shared" si="16"/>
        <v>45474</v>
      </c>
      <c r="M59" s="1184">
        <f t="shared" si="16"/>
        <v>45444</v>
      </c>
      <c r="N59" s="1184">
        <f t="shared" si="16"/>
        <v>45413</v>
      </c>
      <c r="O59" s="1184">
        <f t="shared" si="16"/>
        <v>45383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617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86" t="s">
        <v>1770</v>
      </c>
      <c r="D4" s="3687"/>
      <c r="E4" s="3688" t="s">
        <v>1771</v>
      </c>
      <c r="F4" s="3689"/>
      <c r="G4" s="3686" t="s">
        <v>1772</v>
      </c>
      <c r="H4" s="3687"/>
      <c r="I4" s="3686" t="s">
        <v>1773</v>
      </c>
      <c r="J4" s="3687"/>
      <c r="K4" s="559" t="s">
        <v>1774</v>
      </c>
      <c r="L4" s="912"/>
      <c r="M4" s="913"/>
      <c r="N4" s="913"/>
      <c r="O4" s="913"/>
      <c r="P4" s="3690" t="s">
        <v>1775</v>
      </c>
      <c r="Q4" s="3691"/>
      <c r="R4" s="3696" t="s">
        <v>1771</v>
      </c>
      <c r="S4" s="3697"/>
      <c r="T4" s="3696" t="s">
        <v>1772</v>
      </c>
      <c r="U4" s="3697"/>
      <c r="V4" s="3681" t="s">
        <v>1773</v>
      </c>
      <c r="W4" s="3681"/>
      <c r="X4" s="1354"/>
      <c r="Y4" s="3696" t="s">
        <v>1775</v>
      </c>
      <c r="Z4" s="3697"/>
      <c r="AA4" s="3683" t="s">
        <v>1771</v>
      </c>
      <c r="AB4" s="3684" t="s">
        <v>1772</v>
      </c>
      <c r="AC4" s="3683" t="s">
        <v>1773</v>
      </c>
    </row>
    <row r="5" spans="1:29" ht="15">
      <c r="A5" s="358"/>
      <c r="B5" s="359"/>
      <c r="C5" s="3709" t="s">
        <v>1673</v>
      </c>
      <c r="D5" s="3710"/>
      <c r="E5" s="3735" t="s">
        <v>1674</v>
      </c>
      <c r="F5" s="3705"/>
      <c r="G5" s="3709" t="s">
        <v>1675</v>
      </c>
      <c r="H5" s="3710"/>
      <c r="I5" s="3709" t="s">
        <v>1676</v>
      </c>
      <c r="J5" s="3710"/>
      <c r="K5" s="559"/>
      <c r="L5" s="912"/>
      <c r="M5" s="913"/>
      <c r="N5" s="913"/>
      <c r="O5" s="913"/>
      <c r="P5" s="3692"/>
      <c r="Q5" s="3693"/>
      <c r="R5" s="3698"/>
      <c r="S5" s="3699"/>
      <c r="T5" s="3698"/>
      <c r="U5" s="3699"/>
      <c r="V5" s="3681"/>
      <c r="W5" s="3681"/>
      <c r="X5" s="1354"/>
      <c r="Y5" s="3698"/>
      <c r="Z5" s="3699"/>
      <c r="AA5" s="3684"/>
      <c r="AB5" s="3684"/>
      <c r="AC5" s="3684"/>
    </row>
    <row r="6" spans="1:29" ht="15.75" thickBot="1">
      <c r="A6" s="360"/>
      <c r="B6" s="361"/>
      <c r="C6" s="3702" t="s">
        <v>1677</v>
      </c>
      <c r="D6" s="3703"/>
      <c r="E6" s="3712" t="s">
        <v>1677</v>
      </c>
      <c r="F6" s="3713"/>
      <c r="G6" s="3702" t="s">
        <v>1677</v>
      </c>
      <c r="H6" s="3703"/>
      <c r="I6" s="3702" t="s">
        <v>1677</v>
      </c>
      <c r="J6" s="3703"/>
      <c r="K6" s="559" t="s">
        <v>1678</v>
      </c>
      <c r="L6" s="912"/>
      <c r="M6" s="913"/>
      <c r="N6" s="913"/>
      <c r="O6" s="913"/>
      <c r="P6" s="3694"/>
      <c r="Q6" s="3695"/>
      <c r="R6" s="3698"/>
      <c r="S6" s="3699"/>
      <c r="T6" s="3700"/>
      <c r="U6" s="3701"/>
      <c r="V6" s="3681"/>
      <c r="W6" s="3681"/>
      <c r="X6" s="1354"/>
      <c r="Y6" s="3700"/>
      <c r="Z6" s="3701"/>
      <c r="AA6" s="3685"/>
      <c r="AB6" s="3685"/>
      <c r="AC6" s="3685"/>
    </row>
    <row r="7" spans="1:29" s="108" customFormat="1" ht="15.75" thickBot="1">
      <c r="A7" s="362" t="s">
        <v>1679</v>
      </c>
      <c r="B7" s="363"/>
      <c r="C7" s="364">
        <f>'数据-取费表'!B2</f>
        <v>45765</v>
      </c>
      <c r="D7" s="365">
        <v>100</v>
      </c>
      <c r="E7" s="366"/>
      <c r="F7" s="367">
        <f>SUMIF(52:52,YEAR(E7)&amp;"-"&amp;MONTH(E7),53:53)</f>
        <v>0</v>
      </c>
      <c r="G7" s="366"/>
      <c r="H7" s="365">
        <f>SUMIF(52:52,YEAR(G7)&amp;"-"&amp;MONTH(G7),53:53)</f>
        <v>0</v>
      </c>
      <c r="I7" s="366"/>
      <c r="J7" s="365">
        <f>SUMIF(52:52,YEAR(I7)&amp;"-"&amp;MONTH(I7),53:53)</f>
        <v>0</v>
      </c>
      <c r="K7" s="560"/>
      <c r="L7" s="914"/>
      <c r="M7" s="915"/>
      <c r="N7" s="915"/>
      <c r="O7" s="915"/>
      <c r="P7" s="3706" t="s">
        <v>1680</v>
      </c>
      <c r="Q7" s="3708"/>
      <c r="R7" s="700" t="s">
        <v>14</v>
      </c>
      <c r="S7" s="701">
        <f t="shared" ref="S7:S15" si="0">F7</f>
        <v>0</v>
      </c>
      <c r="T7" s="700" t="s">
        <v>14</v>
      </c>
      <c r="U7" s="701">
        <f t="shared" ref="U7:U15" si="1">H7</f>
        <v>0</v>
      </c>
      <c r="V7" s="700" t="s">
        <v>14</v>
      </c>
      <c r="W7" s="701">
        <f t="shared" ref="W7:W15" si="2">J7</f>
        <v>0</v>
      </c>
      <c r="X7" s="702"/>
      <c r="Y7" s="3706" t="s">
        <v>1680</v>
      </c>
      <c r="Z7" s="3707"/>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06" t="s">
        <v>1683</v>
      </c>
      <c r="Q8" s="3707"/>
      <c r="R8" s="700" t="s">
        <v>14</v>
      </c>
      <c r="S8" s="701">
        <f t="shared" si="0"/>
        <v>100</v>
      </c>
      <c r="T8" s="700" t="s">
        <v>14</v>
      </c>
      <c r="U8" s="701">
        <f t="shared" si="1"/>
        <v>100</v>
      </c>
      <c r="V8" s="700" t="s">
        <v>14</v>
      </c>
      <c r="W8" s="701">
        <f t="shared" si="2"/>
        <v>100</v>
      </c>
      <c r="X8" s="702"/>
      <c r="Y8" s="3706" t="s">
        <v>1683</v>
      </c>
      <c r="Z8" s="3707"/>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67" t="s">
        <v>1686</v>
      </c>
      <c r="Q9" s="1342" t="str">
        <f t="shared" ref="Q9:Q15" si="6">B9</f>
        <v>用途</v>
      </c>
      <c r="R9" s="700" t="s">
        <v>14</v>
      </c>
      <c r="S9" s="701">
        <f t="shared" si="0"/>
        <v>100</v>
      </c>
      <c r="T9" s="700" t="s">
        <v>14</v>
      </c>
      <c r="U9" s="701">
        <f t="shared" si="1"/>
        <v>100</v>
      </c>
      <c r="V9" s="700" t="s">
        <v>14</v>
      </c>
      <c r="W9" s="701">
        <f t="shared" si="2"/>
        <v>100</v>
      </c>
      <c r="X9" s="702"/>
      <c r="Y9" s="3566"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67"/>
      <c r="Q10" s="1342" t="str">
        <f t="shared" si="6"/>
        <v>土地使用年限（年）</v>
      </c>
      <c r="R10" s="700" t="s">
        <v>14</v>
      </c>
      <c r="S10" s="701">
        <f t="shared" si="0"/>
        <v>100</v>
      </c>
      <c r="T10" s="700" t="s">
        <v>14</v>
      </c>
      <c r="U10" s="701">
        <f t="shared" si="1"/>
        <v>100</v>
      </c>
      <c r="V10" s="700" t="s">
        <v>14</v>
      </c>
      <c r="W10" s="701">
        <f t="shared" si="2"/>
        <v>100</v>
      </c>
      <c r="X10" s="702"/>
      <c r="Y10" s="3566"/>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67"/>
      <c r="Q11" s="1342" t="str">
        <f t="shared" si="6"/>
        <v>容积率</v>
      </c>
      <c r="R11" s="700" t="s">
        <v>14</v>
      </c>
      <c r="S11" s="701">
        <f t="shared" si="0"/>
        <v>100</v>
      </c>
      <c r="T11" s="700" t="s">
        <v>14</v>
      </c>
      <c r="U11" s="701">
        <f t="shared" si="1"/>
        <v>100</v>
      </c>
      <c r="V11" s="700" t="s">
        <v>14</v>
      </c>
      <c r="W11" s="701">
        <f t="shared" si="2"/>
        <v>100</v>
      </c>
      <c r="X11" s="702"/>
      <c r="Y11" s="3566"/>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67"/>
      <c r="Q12" s="1342">
        <f t="shared" si="6"/>
        <v>111</v>
      </c>
      <c r="R12" s="700" t="s">
        <v>14</v>
      </c>
      <c r="S12" s="701">
        <f t="shared" si="0"/>
        <v>100</v>
      </c>
      <c r="T12" s="700" t="s">
        <v>14</v>
      </c>
      <c r="U12" s="701">
        <f t="shared" si="1"/>
        <v>100</v>
      </c>
      <c r="V12" s="700" t="s">
        <v>14</v>
      </c>
      <c r="W12" s="701">
        <f t="shared" si="2"/>
        <v>100</v>
      </c>
      <c r="X12" s="702"/>
      <c r="Y12" s="3566"/>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67"/>
      <c r="Q13" s="1342">
        <f t="shared" si="6"/>
        <v>111</v>
      </c>
      <c r="R13" s="700" t="s">
        <v>14</v>
      </c>
      <c r="S13" s="701">
        <f t="shared" si="0"/>
        <v>100</v>
      </c>
      <c r="T13" s="700" t="s">
        <v>14</v>
      </c>
      <c r="U13" s="701">
        <f t="shared" si="1"/>
        <v>100</v>
      </c>
      <c r="V13" s="700" t="s">
        <v>14</v>
      </c>
      <c r="W13" s="701">
        <f t="shared" si="2"/>
        <v>100</v>
      </c>
      <c r="X13" s="702"/>
      <c r="Y13" s="3566"/>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67"/>
      <c r="Q14" s="1342">
        <f t="shared" si="6"/>
        <v>111</v>
      </c>
      <c r="R14" s="700" t="s">
        <v>14</v>
      </c>
      <c r="S14" s="701">
        <f t="shared" si="0"/>
        <v>100</v>
      </c>
      <c r="T14" s="700" t="s">
        <v>14</v>
      </c>
      <c r="U14" s="701">
        <f t="shared" si="1"/>
        <v>100</v>
      </c>
      <c r="V14" s="700" t="s">
        <v>14</v>
      </c>
      <c r="W14" s="701">
        <f t="shared" si="2"/>
        <v>100</v>
      </c>
      <c r="X14" s="702"/>
      <c r="Y14" s="3566"/>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74" t="s">
        <v>1691</v>
      </c>
      <c r="Q15" s="1351" t="str">
        <f t="shared" si="6"/>
        <v>产业集聚程度</v>
      </c>
      <c r="R15" s="704" t="s">
        <v>14</v>
      </c>
      <c r="S15" s="705">
        <f t="shared" si="0"/>
        <v>100</v>
      </c>
      <c r="T15" s="704" t="s">
        <v>14</v>
      </c>
      <c r="U15" s="705">
        <f t="shared" si="1"/>
        <v>100</v>
      </c>
      <c r="V15" s="704" t="s">
        <v>14</v>
      </c>
      <c r="W15" s="705">
        <f t="shared" si="2"/>
        <v>100</v>
      </c>
      <c r="X15" s="1354"/>
      <c r="Y15" s="367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75"/>
      <c r="Q16" s="1351"/>
      <c r="R16" s="704"/>
      <c r="S16" s="705"/>
      <c r="T16" s="704"/>
      <c r="U16" s="705"/>
      <c r="V16" s="704"/>
      <c r="W16" s="705"/>
      <c r="X16" s="1354"/>
      <c r="Y16" s="3675"/>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75"/>
      <c r="Q17" s="1351" t="str">
        <f>B17</f>
        <v>交通便捷度</v>
      </c>
      <c r="R17" s="704" t="s">
        <v>14</v>
      </c>
      <c r="S17" s="705">
        <f>F17</f>
        <v>100</v>
      </c>
      <c r="T17" s="704" t="s">
        <v>14</v>
      </c>
      <c r="U17" s="705">
        <f>H17</f>
        <v>100</v>
      </c>
      <c r="V17" s="704" t="s">
        <v>14</v>
      </c>
      <c r="W17" s="705">
        <f>J17</f>
        <v>100</v>
      </c>
      <c r="X17" s="1354"/>
      <c r="Y17" s="367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75"/>
      <c r="Q18" s="1351"/>
      <c r="R18" s="704"/>
      <c r="S18" s="705"/>
      <c r="T18" s="704"/>
      <c r="U18" s="705"/>
      <c r="V18" s="704"/>
      <c r="W18" s="705"/>
      <c r="X18" s="1354"/>
      <c r="Y18" s="3675"/>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75"/>
      <c r="Q19" s="1351" t="str">
        <f>B19</f>
        <v>公共配套设施</v>
      </c>
      <c r="R19" s="704" t="s">
        <v>14</v>
      </c>
      <c r="S19" s="705">
        <f>F19</f>
        <v>100</v>
      </c>
      <c r="T19" s="704" t="s">
        <v>14</v>
      </c>
      <c r="U19" s="705">
        <f>H19</f>
        <v>100</v>
      </c>
      <c r="V19" s="704" t="s">
        <v>14</v>
      </c>
      <c r="W19" s="705">
        <f>J19</f>
        <v>100</v>
      </c>
      <c r="X19" s="1354"/>
      <c r="Y19" s="367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75"/>
      <c r="Q20" s="1351"/>
      <c r="R20" s="704"/>
      <c r="S20" s="705"/>
      <c r="T20" s="704"/>
      <c r="U20" s="705"/>
      <c r="V20" s="704"/>
      <c r="W20" s="705"/>
      <c r="X20" s="1354"/>
      <c r="Y20" s="3675"/>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75"/>
      <c r="Q21" s="1351" t="str">
        <f>B21</f>
        <v>基础设施水平</v>
      </c>
      <c r="R21" s="704" t="s">
        <v>14</v>
      </c>
      <c r="S21" s="705">
        <f>F21</f>
        <v>100</v>
      </c>
      <c r="T21" s="704" t="s">
        <v>14</v>
      </c>
      <c r="U21" s="705">
        <f>H21</f>
        <v>100</v>
      </c>
      <c r="V21" s="704" t="s">
        <v>14</v>
      </c>
      <c r="W21" s="705">
        <f>J21</f>
        <v>100</v>
      </c>
      <c r="X21" s="1354"/>
      <c r="Y21" s="367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75"/>
      <c r="Q22" s="1351"/>
      <c r="R22" s="704"/>
      <c r="S22" s="705"/>
      <c r="T22" s="704"/>
      <c r="U22" s="705"/>
      <c r="V22" s="704"/>
      <c r="W22" s="705"/>
      <c r="X22" s="1354"/>
      <c r="Y22" s="3675"/>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75"/>
      <c r="Q23" s="1351" t="str">
        <f>B23</f>
        <v>环境质量</v>
      </c>
      <c r="R23" s="704" t="s">
        <v>14</v>
      </c>
      <c r="S23" s="705">
        <f>F23</f>
        <v>100</v>
      </c>
      <c r="T23" s="704" t="s">
        <v>14</v>
      </c>
      <c r="U23" s="705">
        <f>H23</f>
        <v>100</v>
      </c>
      <c r="V23" s="704" t="s">
        <v>14</v>
      </c>
      <c r="W23" s="705">
        <f>J23</f>
        <v>100</v>
      </c>
      <c r="X23" s="1354"/>
      <c r="Y23" s="3675"/>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75"/>
      <c r="Q24" s="1351"/>
      <c r="R24" s="704"/>
      <c r="S24" s="705"/>
      <c r="T24" s="704"/>
      <c r="U24" s="705"/>
      <c r="V24" s="704"/>
      <c r="W24" s="705"/>
      <c r="X24" s="1354"/>
      <c r="Y24" s="3675"/>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75"/>
      <c r="Q25" s="1351">
        <f>B25</f>
        <v>111</v>
      </c>
      <c r="R25" s="704" t="s">
        <v>14</v>
      </c>
      <c r="S25" s="705">
        <f>F25</f>
        <v>100</v>
      </c>
      <c r="T25" s="704" t="s">
        <v>14</v>
      </c>
      <c r="U25" s="705">
        <f>H25</f>
        <v>100</v>
      </c>
      <c r="V25" s="704" t="s">
        <v>14</v>
      </c>
      <c r="W25" s="705">
        <f>J25</f>
        <v>100</v>
      </c>
      <c r="X25" s="1354"/>
      <c r="Y25" s="3675"/>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75"/>
      <c r="Q26" s="1351">
        <f t="shared" ref="Q26:Q40" si="11">B26</f>
        <v>111</v>
      </c>
      <c r="R26" s="704" t="s">
        <v>14</v>
      </c>
      <c r="S26" s="705">
        <f>F26</f>
        <v>100</v>
      </c>
      <c r="T26" s="704" t="s">
        <v>14</v>
      </c>
      <c r="U26" s="705">
        <f>H26</f>
        <v>100</v>
      </c>
      <c r="V26" s="704" t="s">
        <v>14</v>
      </c>
      <c r="W26" s="705">
        <f>J26</f>
        <v>100</v>
      </c>
      <c r="X26" s="1354"/>
      <c r="Y26" s="3675"/>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75"/>
      <c r="Q27" s="1342">
        <f t="shared" si="11"/>
        <v>111</v>
      </c>
      <c r="R27" s="700" t="s">
        <v>14</v>
      </c>
      <c r="S27" s="701">
        <f>F27</f>
        <v>100</v>
      </c>
      <c r="T27" s="700" t="s">
        <v>14</v>
      </c>
      <c r="U27" s="701">
        <f>H27</f>
        <v>100</v>
      </c>
      <c r="V27" s="700" t="s">
        <v>14</v>
      </c>
      <c r="W27" s="701">
        <f>J27</f>
        <v>100</v>
      </c>
      <c r="X27" s="702"/>
      <c r="Y27" s="3675"/>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75"/>
      <c r="Q28" s="1351">
        <f t="shared" si="11"/>
        <v>111</v>
      </c>
      <c r="R28" s="704" t="s">
        <v>14</v>
      </c>
      <c r="S28" s="705">
        <f t="shared" ref="S28:S40" si="12">F28</f>
        <v>100</v>
      </c>
      <c r="T28" s="704" t="s">
        <v>14</v>
      </c>
      <c r="U28" s="705">
        <f t="shared" ref="U28:U40" si="13">H28</f>
        <v>100</v>
      </c>
      <c r="V28" s="704" t="s">
        <v>14</v>
      </c>
      <c r="W28" s="705">
        <f t="shared" ref="W28:W40" si="14">J28</f>
        <v>100</v>
      </c>
      <c r="X28" s="1354"/>
      <c r="Y28" s="3675"/>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51" t="s">
        <v>1696</v>
      </c>
      <c r="Q29" s="1351" t="str">
        <f t="shared" si="11"/>
        <v>建筑类型</v>
      </c>
      <c r="R29" s="704" t="s">
        <v>14</v>
      </c>
      <c r="S29" s="705">
        <f t="shared" si="12"/>
        <v>100</v>
      </c>
      <c r="T29" s="704" t="s">
        <v>14</v>
      </c>
      <c r="U29" s="705">
        <f t="shared" si="13"/>
        <v>100</v>
      </c>
      <c r="V29" s="704" t="s">
        <v>14</v>
      </c>
      <c r="W29" s="705">
        <f t="shared" si="14"/>
        <v>100</v>
      </c>
      <c r="X29" s="1354"/>
      <c r="Y29" s="367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79"/>
      <c r="Q30" s="706" t="str">
        <f t="shared" si="11"/>
        <v>项目建筑规模</v>
      </c>
      <c r="R30" s="707" t="s">
        <v>14</v>
      </c>
      <c r="S30" s="708" t="e">
        <f t="shared" si="12"/>
        <v>#N/A</v>
      </c>
      <c r="T30" s="707" t="s">
        <v>14</v>
      </c>
      <c r="U30" s="708" t="e">
        <f t="shared" si="13"/>
        <v>#N/A</v>
      </c>
      <c r="V30" s="707" t="s">
        <v>14</v>
      </c>
      <c r="W30" s="708" t="e">
        <f t="shared" si="14"/>
        <v>#N/A</v>
      </c>
      <c r="X30" s="709"/>
      <c r="Y30" s="3679"/>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79"/>
      <c r="Q31" s="1351" t="str">
        <f t="shared" si="11"/>
        <v>建筑结构</v>
      </c>
      <c r="R31" s="704" t="s">
        <v>14</v>
      </c>
      <c r="S31" s="705">
        <f t="shared" si="12"/>
        <v>100</v>
      </c>
      <c r="T31" s="704" t="s">
        <v>14</v>
      </c>
      <c r="U31" s="705">
        <f t="shared" si="13"/>
        <v>100</v>
      </c>
      <c r="V31" s="704" t="s">
        <v>14</v>
      </c>
      <c r="W31" s="705">
        <f t="shared" si="14"/>
        <v>100</v>
      </c>
      <c r="X31" s="1354"/>
      <c r="Y31" s="367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79"/>
      <c r="Q32" s="1351" t="str">
        <f t="shared" si="11"/>
        <v>公共部分装修</v>
      </c>
      <c r="R32" s="704" t="s">
        <v>14</v>
      </c>
      <c r="S32" s="705">
        <f t="shared" si="12"/>
        <v>100</v>
      </c>
      <c r="T32" s="704" t="s">
        <v>14</v>
      </c>
      <c r="U32" s="705">
        <f t="shared" si="13"/>
        <v>100</v>
      </c>
      <c r="V32" s="704" t="s">
        <v>14</v>
      </c>
      <c r="W32" s="705">
        <f t="shared" si="14"/>
        <v>100</v>
      </c>
      <c r="X32" s="1354"/>
      <c r="Y32" s="367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79"/>
      <c r="Q33" s="1351" t="str">
        <f t="shared" si="11"/>
        <v>成新度</v>
      </c>
      <c r="R33" s="704" t="s">
        <v>14</v>
      </c>
      <c r="S33" s="705" t="e">
        <f t="shared" si="12"/>
        <v>#N/A</v>
      </c>
      <c r="T33" s="704" t="s">
        <v>14</v>
      </c>
      <c r="U33" s="705" t="e">
        <f t="shared" si="13"/>
        <v>#N/A</v>
      </c>
      <c r="V33" s="704" t="s">
        <v>14</v>
      </c>
      <c r="W33" s="705" t="e">
        <f t="shared" si="14"/>
        <v>#N/A</v>
      </c>
      <c r="X33" s="1354"/>
      <c r="Y33" s="367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79"/>
      <c r="Q34" s="1342" t="str">
        <f t="shared" si="11"/>
        <v>物业管理</v>
      </c>
      <c r="R34" s="700" t="s">
        <v>14</v>
      </c>
      <c r="S34" s="701">
        <f t="shared" si="12"/>
        <v>100</v>
      </c>
      <c r="T34" s="700" t="s">
        <v>14</v>
      </c>
      <c r="U34" s="701">
        <f t="shared" si="13"/>
        <v>100</v>
      </c>
      <c r="V34" s="700" t="s">
        <v>14</v>
      </c>
      <c r="W34" s="701">
        <f t="shared" si="14"/>
        <v>100</v>
      </c>
      <c r="X34" s="702"/>
      <c r="Y34" s="3679"/>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79" t="s">
        <v>1696</v>
      </c>
      <c r="Q35" s="1351" t="str">
        <f t="shared" si="11"/>
        <v>市政基础设施</v>
      </c>
      <c r="R35" s="704" t="s">
        <v>14</v>
      </c>
      <c r="S35" s="705">
        <f t="shared" si="12"/>
        <v>100</v>
      </c>
      <c r="T35" s="704" t="s">
        <v>14</v>
      </c>
      <c r="U35" s="705">
        <f t="shared" si="13"/>
        <v>100</v>
      </c>
      <c r="V35" s="704" t="s">
        <v>14</v>
      </c>
      <c r="W35" s="705">
        <f t="shared" si="14"/>
        <v>100</v>
      </c>
      <c r="X35" s="1354"/>
      <c r="Y35" s="367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79"/>
      <c r="Q36" s="1351" t="str">
        <f t="shared" si="11"/>
        <v>内部装修</v>
      </c>
      <c r="R36" s="704" t="s">
        <v>14</v>
      </c>
      <c r="S36" s="705">
        <f t="shared" si="12"/>
        <v>100</v>
      </c>
      <c r="T36" s="704" t="s">
        <v>14</v>
      </c>
      <c r="U36" s="705">
        <f t="shared" si="13"/>
        <v>100</v>
      </c>
      <c r="V36" s="704" t="s">
        <v>14</v>
      </c>
      <c r="W36" s="705">
        <f t="shared" si="14"/>
        <v>100</v>
      </c>
      <c r="X36" s="1354"/>
      <c r="Y36" s="367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79"/>
      <c r="Q37" s="1351" t="str">
        <f t="shared" si="11"/>
        <v>内部装修状况</v>
      </c>
      <c r="R37" s="704" t="s">
        <v>14</v>
      </c>
      <c r="S37" s="705">
        <f t="shared" si="12"/>
        <v>100</v>
      </c>
      <c r="T37" s="704" t="s">
        <v>14</v>
      </c>
      <c r="U37" s="705">
        <f t="shared" si="13"/>
        <v>100</v>
      </c>
      <c r="V37" s="704" t="s">
        <v>14</v>
      </c>
      <c r="W37" s="705">
        <f t="shared" si="14"/>
        <v>100</v>
      </c>
      <c r="X37" s="1354"/>
      <c r="Y37" s="3679"/>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79"/>
      <c r="Q38" s="706">
        <f t="shared" si="11"/>
        <v>111</v>
      </c>
      <c r="R38" s="707" t="s">
        <v>14</v>
      </c>
      <c r="S38" s="708">
        <f t="shared" si="12"/>
        <v>100</v>
      </c>
      <c r="T38" s="707" t="s">
        <v>14</v>
      </c>
      <c r="U38" s="708">
        <f t="shared" si="13"/>
        <v>100</v>
      </c>
      <c r="V38" s="707" t="s">
        <v>14</v>
      </c>
      <c r="W38" s="708">
        <f t="shared" si="14"/>
        <v>100</v>
      </c>
      <c r="X38" s="709"/>
      <c r="Y38" s="3679"/>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79"/>
      <c r="Q39" s="1351">
        <f t="shared" si="11"/>
        <v>111</v>
      </c>
      <c r="R39" s="704" t="s">
        <v>14</v>
      </c>
      <c r="S39" s="705">
        <f t="shared" si="12"/>
        <v>100</v>
      </c>
      <c r="T39" s="704" t="s">
        <v>14</v>
      </c>
      <c r="U39" s="705">
        <f t="shared" si="13"/>
        <v>100</v>
      </c>
      <c r="V39" s="704" t="s">
        <v>14</v>
      </c>
      <c r="W39" s="705">
        <f t="shared" si="14"/>
        <v>100</v>
      </c>
      <c r="X39" s="1354"/>
      <c r="Y39" s="367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80"/>
      <c r="Q40" s="1351">
        <f t="shared" si="11"/>
        <v>111</v>
      </c>
      <c r="R40" s="704" t="s">
        <v>14</v>
      </c>
      <c r="S40" s="705">
        <f t="shared" si="12"/>
        <v>100</v>
      </c>
      <c r="T40" s="704" t="s">
        <v>14</v>
      </c>
      <c r="U40" s="705">
        <f t="shared" si="13"/>
        <v>100</v>
      </c>
      <c r="V40" s="704" t="s">
        <v>14</v>
      </c>
      <c r="W40" s="705">
        <f t="shared" si="14"/>
        <v>100</v>
      </c>
      <c r="X40" s="1354"/>
      <c r="Y40" s="3680"/>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67" t="str">
        <f>A41</f>
        <v>成交单价（元/平方米）</v>
      </c>
      <c r="Q41" s="3667"/>
      <c r="R41" s="3668">
        <f>E41</f>
        <v>0</v>
      </c>
      <c r="S41" s="3668"/>
      <c r="T41" s="3668">
        <f>G41</f>
        <v>0</v>
      </c>
      <c r="U41" s="3668"/>
      <c r="V41" s="3668">
        <f>I41</f>
        <v>0</v>
      </c>
      <c r="W41" s="3668"/>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67" t="str">
        <f>A42</f>
        <v>比较价值（元/平方米）</v>
      </c>
      <c r="Q42" s="3667"/>
      <c r="R42" s="3668" t="e">
        <f>IF(F1="售价",ROUND(PRODUCT(R41,AA7:AA40),0),ROUND(PRODUCT(R41,AA7:AA40),1))</f>
        <v>#DIV/0!</v>
      </c>
      <c r="S42" s="3668"/>
      <c r="T42" s="3668" t="e">
        <f>IF(F1="售价",ROUND(PRODUCT(T41,AB7:AB40),0),ROUND(PRODUCT(T41,AB7:AB40),1))</f>
        <v>#DIV/0!</v>
      </c>
      <c r="U42" s="3668"/>
      <c r="V42" s="3668" t="e">
        <f>IF(F1="售价",ROUND(PRODUCT(V41,AC7:AC40),0),ROUND(PRODUCT(V41,AC7:AC40),1))</f>
        <v>#DIV/0!</v>
      </c>
      <c r="W42" s="3668"/>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69" t="str">
        <f>A43</f>
        <v>估价对象XX用房的比较价值（楼面单价，元/平方米）</v>
      </c>
      <c r="Q43" s="3670"/>
      <c r="R43" s="3671" t="e">
        <f>IF(F1="售价",ROUND(IF(D42="简单平均",AVERAGE(R42:V42),R42*F42+T42*H42+V42*J42),0),ROUND(IF(D42="简单平均",AVERAGE(R42:V42),R42*F42+T42*H42+V42*J42),1))</f>
        <v>#DIV/0!</v>
      </c>
      <c r="S43" s="3671"/>
      <c r="T43" s="3671"/>
      <c r="U43" s="3671"/>
      <c r="V43" s="3671"/>
      <c r="W43" s="3671"/>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2025-4</v>
      </c>
      <c r="D52" s="1184">
        <f>EDATE(C52,-1)</f>
        <v>45717</v>
      </c>
      <c r="E52" s="1184">
        <f t="shared" ref="E52:O52" si="16">EDATE(D52,-1)</f>
        <v>45689</v>
      </c>
      <c r="F52" s="1184">
        <f t="shared" si="16"/>
        <v>45658</v>
      </c>
      <c r="G52" s="1184">
        <f t="shared" si="16"/>
        <v>45627</v>
      </c>
      <c r="H52" s="1184">
        <f t="shared" si="16"/>
        <v>45597</v>
      </c>
      <c r="I52" s="1184">
        <f t="shared" si="16"/>
        <v>45566</v>
      </c>
      <c r="J52" s="1184">
        <f t="shared" si="16"/>
        <v>45536</v>
      </c>
      <c r="K52" s="1184">
        <f t="shared" si="16"/>
        <v>45505</v>
      </c>
      <c r="L52" s="1184">
        <f t="shared" si="16"/>
        <v>45474</v>
      </c>
      <c r="M52" s="1184">
        <f t="shared" si="16"/>
        <v>45444</v>
      </c>
      <c r="N52" s="1184">
        <f t="shared" si="16"/>
        <v>45413</v>
      </c>
      <c r="O52" s="1184">
        <f t="shared" si="16"/>
        <v>45383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2025年4月18日（评估专业人员实地查勘之日）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86" t="s">
        <v>1770</v>
      </c>
      <c r="D4" s="3687"/>
      <c r="E4" s="3688" t="s">
        <v>1771</v>
      </c>
      <c r="F4" s="3689"/>
      <c r="G4" s="3686" t="s">
        <v>1772</v>
      </c>
      <c r="H4" s="3687"/>
      <c r="I4" s="3686" t="s">
        <v>1773</v>
      </c>
      <c r="J4" s="3687"/>
      <c r="K4" s="559" t="s">
        <v>1774</v>
      </c>
      <c r="L4" s="2714"/>
      <c r="M4" s="2715"/>
      <c r="N4" s="2715"/>
      <c r="O4" s="2715"/>
      <c r="P4" s="3690" t="s">
        <v>1775</v>
      </c>
      <c r="Q4" s="3691"/>
      <c r="R4" s="3696" t="s">
        <v>1771</v>
      </c>
      <c r="S4" s="3697"/>
      <c r="T4" s="3696" t="s">
        <v>1772</v>
      </c>
      <c r="U4" s="3697"/>
      <c r="V4" s="3681" t="s">
        <v>1773</v>
      </c>
      <c r="W4" s="3681"/>
      <c r="X4" s="1354"/>
      <c r="Y4" s="3696" t="s">
        <v>1775</v>
      </c>
      <c r="Z4" s="3697"/>
      <c r="AA4" s="3683" t="s">
        <v>1771</v>
      </c>
      <c r="AB4" s="3684" t="s">
        <v>1772</v>
      </c>
      <c r="AC4" s="3683" t="s">
        <v>1773</v>
      </c>
    </row>
    <row r="5" spans="1:29" ht="15">
      <c r="A5" s="358"/>
      <c r="B5" s="359"/>
      <c r="C5" s="3709" t="s">
        <v>1673</v>
      </c>
      <c r="D5" s="3710"/>
      <c r="E5" s="3735" t="s">
        <v>1674</v>
      </c>
      <c r="F5" s="3705"/>
      <c r="G5" s="3709" t="s">
        <v>1675</v>
      </c>
      <c r="H5" s="3710"/>
      <c r="I5" s="3709" t="s">
        <v>1676</v>
      </c>
      <c r="J5" s="3710"/>
      <c r="K5" s="559"/>
      <c r="L5" s="2714"/>
      <c r="M5" s="2715"/>
      <c r="N5" s="2715"/>
      <c r="O5" s="2715"/>
      <c r="P5" s="3692"/>
      <c r="Q5" s="3693"/>
      <c r="R5" s="3698"/>
      <c r="S5" s="3699"/>
      <c r="T5" s="3698"/>
      <c r="U5" s="3699"/>
      <c r="V5" s="3681"/>
      <c r="W5" s="3681"/>
      <c r="X5" s="1354"/>
      <c r="Y5" s="3698"/>
      <c r="Z5" s="3699"/>
      <c r="AA5" s="3684"/>
      <c r="AB5" s="3684"/>
      <c r="AC5" s="3684"/>
    </row>
    <row r="6" spans="1:29" ht="15.75" thickBot="1">
      <c r="A6" s="360"/>
      <c r="B6" s="361"/>
      <c r="C6" s="3702" t="s">
        <v>1677</v>
      </c>
      <c r="D6" s="3703"/>
      <c r="E6" s="3712" t="s">
        <v>1677</v>
      </c>
      <c r="F6" s="3713"/>
      <c r="G6" s="3702" t="s">
        <v>1677</v>
      </c>
      <c r="H6" s="3703"/>
      <c r="I6" s="3702" t="s">
        <v>1677</v>
      </c>
      <c r="J6" s="3703"/>
      <c r="K6" s="559" t="s">
        <v>1678</v>
      </c>
      <c r="L6" s="2714"/>
      <c r="M6" s="2715"/>
      <c r="N6" s="2715"/>
      <c r="O6" s="2715"/>
      <c r="P6" s="3694"/>
      <c r="Q6" s="3695"/>
      <c r="R6" s="3698"/>
      <c r="S6" s="3699"/>
      <c r="T6" s="3700"/>
      <c r="U6" s="3701"/>
      <c r="V6" s="3681"/>
      <c r="W6" s="3681"/>
      <c r="X6" s="1354"/>
      <c r="Y6" s="3700"/>
      <c r="Z6" s="3701"/>
      <c r="AA6" s="3685"/>
      <c r="AB6" s="3685"/>
      <c r="AC6" s="3685"/>
    </row>
    <row r="7" spans="1:29" s="108" customFormat="1" ht="15.75" thickBot="1">
      <c r="A7" s="362" t="s">
        <v>1679</v>
      </c>
      <c r="B7" s="363"/>
      <c r="C7" s="364">
        <f>'数据-取费表'!B2</f>
        <v>45765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6" t="s">
        <v>1680</v>
      </c>
      <c r="Q7" s="3708"/>
      <c r="R7" s="700" t="s">
        <v>14</v>
      </c>
      <c r="S7" s="701">
        <f t="shared" ref="S7:S14" si="0">F7</f>
        <v>0</v>
      </c>
      <c r="T7" s="700" t="s">
        <v>14</v>
      </c>
      <c r="U7" s="701">
        <f t="shared" ref="U7:U14" si="1">H7</f>
        <v>0</v>
      </c>
      <c r="V7" s="700" t="s">
        <v>14</v>
      </c>
      <c r="W7" s="701">
        <f t="shared" ref="W7:W14" si="2">J7</f>
        <v>0</v>
      </c>
      <c r="X7" s="702"/>
      <c r="Y7" s="3706" t="s">
        <v>1680</v>
      </c>
      <c r="Z7" s="3707"/>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6" t="s">
        <v>1683</v>
      </c>
      <c r="Q8" s="3707"/>
      <c r="R8" s="700" t="s">
        <v>14</v>
      </c>
      <c r="S8" s="701">
        <f t="shared" si="0"/>
        <v>100</v>
      </c>
      <c r="T8" s="700" t="s">
        <v>14</v>
      </c>
      <c r="U8" s="701">
        <f t="shared" si="1"/>
        <v>100</v>
      </c>
      <c r="V8" s="700" t="s">
        <v>14</v>
      </c>
      <c r="W8" s="701">
        <f t="shared" si="2"/>
        <v>100</v>
      </c>
      <c r="X8" s="702"/>
      <c r="Y8" s="3706" t="s">
        <v>1683</v>
      </c>
      <c r="Z8" s="3707"/>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7" t="s">
        <v>1686</v>
      </c>
      <c r="Q9" s="1342" t="str">
        <f t="shared" ref="Q9:Q14" si="6">B9</f>
        <v>用途</v>
      </c>
      <c r="R9" s="700" t="s">
        <v>14</v>
      </c>
      <c r="S9" s="701">
        <f t="shared" si="0"/>
        <v>100</v>
      </c>
      <c r="T9" s="700" t="s">
        <v>14</v>
      </c>
      <c r="U9" s="701">
        <f t="shared" si="1"/>
        <v>100</v>
      </c>
      <c r="V9" s="700" t="s">
        <v>14</v>
      </c>
      <c r="W9" s="701">
        <f t="shared" si="2"/>
        <v>100</v>
      </c>
      <c r="X9" s="702"/>
      <c r="Y9" s="3566"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7"/>
      <c r="Q10" s="1342" t="str">
        <f t="shared" si="6"/>
        <v>土地使用年限（年）</v>
      </c>
      <c r="R10" s="700" t="s">
        <v>14</v>
      </c>
      <c r="S10" s="701">
        <f t="shared" si="0"/>
        <v>100</v>
      </c>
      <c r="T10" s="700" t="s">
        <v>14</v>
      </c>
      <c r="U10" s="701">
        <f t="shared" si="1"/>
        <v>100</v>
      </c>
      <c r="V10" s="700" t="s">
        <v>14</v>
      </c>
      <c r="W10" s="701">
        <f t="shared" si="2"/>
        <v>100</v>
      </c>
      <c r="X10" s="702"/>
      <c r="Y10" s="3566"/>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7"/>
      <c r="Q11" s="1342">
        <f t="shared" si="6"/>
        <v>111</v>
      </c>
      <c r="R11" s="700" t="s">
        <v>14</v>
      </c>
      <c r="S11" s="701">
        <f t="shared" si="0"/>
        <v>100</v>
      </c>
      <c r="T11" s="700" t="s">
        <v>14</v>
      </c>
      <c r="U11" s="701">
        <f t="shared" si="1"/>
        <v>100</v>
      </c>
      <c r="V11" s="700" t="s">
        <v>14</v>
      </c>
      <c r="W11" s="701">
        <f t="shared" si="2"/>
        <v>100</v>
      </c>
      <c r="X11" s="702"/>
      <c r="Y11" s="3566"/>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7"/>
      <c r="Q12" s="1342">
        <f t="shared" si="6"/>
        <v>111</v>
      </c>
      <c r="R12" s="700" t="s">
        <v>14</v>
      </c>
      <c r="S12" s="701">
        <f t="shared" si="0"/>
        <v>100</v>
      </c>
      <c r="T12" s="700" t="s">
        <v>14</v>
      </c>
      <c r="U12" s="701">
        <f t="shared" si="1"/>
        <v>100</v>
      </c>
      <c r="V12" s="700" t="s">
        <v>14</v>
      </c>
      <c r="W12" s="701">
        <f t="shared" si="2"/>
        <v>100</v>
      </c>
      <c r="X12" s="702"/>
      <c r="Y12" s="3566"/>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7"/>
      <c r="Q13" s="1342">
        <f t="shared" si="6"/>
        <v>111</v>
      </c>
      <c r="R13" s="700" t="s">
        <v>14</v>
      </c>
      <c r="S13" s="701">
        <f t="shared" si="0"/>
        <v>100</v>
      </c>
      <c r="T13" s="700" t="s">
        <v>14</v>
      </c>
      <c r="U13" s="701">
        <f t="shared" si="1"/>
        <v>100</v>
      </c>
      <c r="V13" s="700" t="s">
        <v>14</v>
      </c>
      <c r="W13" s="701">
        <f t="shared" si="2"/>
        <v>100</v>
      </c>
      <c r="X13" s="702"/>
      <c r="Y13" s="3566"/>
      <c r="Z13" s="52">
        <f t="shared" si="7"/>
        <v>111</v>
      </c>
      <c r="AA13" s="703">
        <f t="shared" si="3"/>
        <v>1</v>
      </c>
      <c r="AB13" s="703">
        <f t="shared" si="4"/>
        <v>1</v>
      </c>
      <c r="AC13" s="703">
        <f t="shared" si="5"/>
        <v>1</v>
      </c>
    </row>
    <row r="14" spans="1:29" ht="15">
      <c r="A14" s="355" t="s">
        <v>1690</v>
      </c>
      <c r="B14" s="576"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4" t="s">
        <v>1691</v>
      </c>
      <c r="Q14" s="1351" t="str">
        <f t="shared" si="6"/>
        <v>交通便捷度</v>
      </c>
      <c r="R14" s="704" t="s">
        <v>14</v>
      </c>
      <c r="S14" s="705">
        <f t="shared" si="0"/>
        <v>100</v>
      </c>
      <c r="T14" s="704" t="s">
        <v>14</v>
      </c>
      <c r="U14" s="705">
        <f t="shared" si="1"/>
        <v>100</v>
      </c>
      <c r="V14" s="704" t="s">
        <v>14</v>
      </c>
      <c r="W14" s="705">
        <f t="shared" si="2"/>
        <v>100</v>
      </c>
      <c r="X14" s="1354"/>
      <c r="Y14" s="3674"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75"/>
      <c r="Q15" s="1351"/>
      <c r="R15" s="704"/>
      <c r="S15" s="705"/>
      <c r="T15" s="704"/>
      <c r="U15" s="705"/>
      <c r="V15" s="704"/>
      <c r="W15" s="705"/>
      <c r="X15" s="1354"/>
      <c r="Y15" s="3675"/>
      <c r="Z15" s="1355"/>
      <c r="AA15" s="1352">
        <v>1</v>
      </c>
      <c r="AB15" s="1352">
        <v>1</v>
      </c>
      <c r="AC15" s="1352">
        <v>1</v>
      </c>
    </row>
    <row r="16" spans="1:29" ht="15">
      <c r="A16" s="358"/>
      <c r="B16" s="578"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5"/>
      <c r="Q16" s="1351" t="str">
        <f>B16</f>
        <v>公共配套设施</v>
      </c>
      <c r="R16" s="704" t="s">
        <v>14</v>
      </c>
      <c r="S16" s="705">
        <f>F16</f>
        <v>100</v>
      </c>
      <c r="T16" s="704" t="s">
        <v>14</v>
      </c>
      <c r="U16" s="705">
        <f>H16</f>
        <v>100</v>
      </c>
      <c r="V16" s="704" t="s">
        <v>14</v>
      </c>
      <c r="W16" s="705">
        <f>J16</f>
        <v>100</v>
      </c>
      <c r="X16" s="1354"/>
      <c r="Y16" s="3675"/>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75"/>
      <c r="Q17" s="1351"/>
      <c r="R17" s="704"/>
      <c r="S17" s="705"/>
      <c r="T17" s="704"/>
      <c r="U17" s="705"/>
      <c r="V17" s="704"/>
      <c r="W17" s="705"/>
      <c r="X17" s="1354"/>
      <c r="Y17" s="3675"/>
      <c r="Z17" s="1355"/>
      <c r="AA17" s="1352">
        <v>1</v>
      </c>
      <c r="AB17" s="1352">
        <v>1</v>
      </c>
      <c r="AC17" s="1352">
        <v>1</v>
      </c>
    </row>
    <row r="18" spans="1:29" ht="15">
      <c r="A18" s="358"/>
      <c r="B18" s="580"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5"/>
      <c r="Q18" s="1351" t="str">
        <f>B18</f>
        <v>基础设施水平</v>
      </c>
      <c r="R18" s="704" t="s">
        <v>14</v>
      </c>
      <c r="S18" s="705">
        <f>F18</f>
        <v>100</v>
      </c>
      <c r="T18" s="704" t="s">
        <v>14</v>
      </c>
      <c r="U18" s="705">
        <f>H18</f>
        <v>100</v>
      </c>
      <c r="V18" s="704" t="s">
        <v>14</v>
      </c>
      <c r="W18" s="705">
        <f>J18</f>
        <v>100</v>
      </c>
      <c r="X18" s="1354"/>
      <c r="Y18" s="3675"/>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75"/>
      <c r="Q19" s="1351"/>
      <c r="R19" s="704"/>
      <c r="S19" s="705"/>
      <c r="T19" s="704"/>
      <c r="U19" s="705"/>
      <c r="V19" s="704"/>
      <c r="W19" s="705"/>
      <c r="X19" s="1354"/>
      <c r="Y19" s="3675"/>
      <c r="Z19" s="1355"/>
      <c r="AA19" s="1352">
        <v>1</v>
      </c>
      <c r="AB19" s="1352">
        <v>1</v>
      </c>
      <c r="AC19" s="1352">
        <v>1</v>
      </c>
    </row>
    <row r="20" spans="1:29" ht="15">
      <c r="A20" s="358"/>
      <c r="B20" s="578"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5"/>
      <c r="Q20" s="1351" t="str">
        <f>B20</f>
        <v>自然及人文环境</v>
      </c>
      <c r="R20" s="704" t="s">
        <v>14</v>
      </c>
      <c r="S20" s="705">
        <f>F20</f>
        <v>100</v>
      </c>
      <c r="T20" s="704" t="s">
        <v>14</v>
      </c>
      <c r="U20" s="705">
        <f>H20</f>
        <v>100</v>
      </c>
      <c r="V20" s="704" t="s">
        <v>14</v>
      </c>
      <c r="W20" s="705">
        <f>J20</f>
        <v>100</v>
      </c>
      <c r="X20" s="1354"/>
      <c r="Y20" s="3675"/>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75"/>
      <c r="Q21" s="1351"/>
      <c r="R21" s="704"/>
      <c r="S21" s="705"/>
      <c r="T21" s="704"/>
      <c r="U21" s="705"/>
      <c r="V21" s="704"/>
      <c r="W21" s="705"/>
      <c r="X21" s="1354"/>
      <c r="Y21" s="3675"/>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5"/>
      <c r="Q22" s="1351" t="str">
        <f>B22</f>
        <v>楼层</v>
      </c>
      <c r="R22" s="704" t="s">
        <v>14</v>
      </c>
      <c r="S22" s="705">
        <f>F22</f>
        <v>100</v>
      </c>
      <c r="T22" s="704" t="s">
        <v>14</v>
      </c>
      <c r="U22" s="705">
        <f>H22</f>
        <v>100</v>
      </c>
      <c r="V22" s="704" t="s">
        <v>14</v>
      </c>
      <c r="W22" s="705">
        <f>J22</f>
        <v>100</v>
      </c>
      <c r="X22" s="1354"/>
      <c r="Y22" s="3675"/>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5"/>
      <c r="Q23" s="1351">
        <f>B23</f>
        <v>111</v>
      </c>
      <c r="R23" s="704" t="s">
        <v>14</v>
      </c>
      <c r="S23" s="705">
        <f>F23</f>
        <v>100</v>
      </c>
      <c r="T23" s="704" t="s">
        <v>14</v>
      </c>
      <c r="U23" s="705">
        <f>H23</f>
        <v>100</v>
      </c>
      <c r="V23" s="704" t="s">
        <v>14</v>
      </c>
      <c r="W23" s="705">
        <f>J23</f>
        <v>100</v>
      </c>
      <c r="X23" s="1354"/>
      <c r="Y23" s="3675"/>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5"/>
      <c r="Q24" s="1351">
        <f t="shared" ref="Q24:Q36" si="11">B24</f>
        <v>111</v>
      </c>
      <c r="R24" s="704" t="s">
        <v>14</v>
      </c>
      <c r="S24" s="705">
        <f>F24</f>
        <v>100</v>
      </c>
      <c r="T24" s="704" t="s">
        <v>14</v>
      </c>
      <c r="U24" s="705">
        <f>H24</f>
        <v>100</v>
      </c>
      <c r="V24" s="704" t="s">
        <v>14</v>
      </c>
      <c r="W24" s="705">
        <f>J24</f>
        <v>100</v>
      </c>
      <c r="X24" s="1354"/>
      <c r="Y24" s="3675"/>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75"/>
      <c r="Q25" s="1342">
        <f t="shared" si="11"/>
        <v>111</v>
      </c>
      <c r="R25" s="700" t="s">
        <v>14</v>
      </c>
      <c r="S25" s="701">
        <f>F25</f>
        <v>100</v>
      </c>
      <c r="T25" s="700" t="s">
        <v>14</v>
      </c>
      <c r="U25" s="701">
        <f>H25</f>
        <v>100</v>
      </c>
      <c r="V25" s="700" t="s">
        <v>14</v>
      </c>
      <c r="W25" s="701">
        <f>J25</f>
        <v>100</v>
      </c>
      <c r="X25" s="702"/>
      <c r="Y25" s="3675"/>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1"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79"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79"/>
      <c r="Q27" s="706" t="str">
        <f t="shared" si="11"/>
        <v>项目停车位配比</v>
      </c>
      <c r="R27" s="707" t="s">
        <v>14</v>
      </c>
      <c r="S27" s="708">
        <f t="shared" si="12"/>
        <v>100</v>
      </c>
      <c r="T27" s="707" t="s">
        <v>14</v>
      </c>
      <c r="U27" s="708">
        <f t="shared" si="13"/>
        <v>100</v>
      </c>
      <c r="V27" s="707" t="s">
        <v>14</v>
      </c>
      <c r="W27" s="708">
        <f t="shared" si="14"/>
        <v>100</v>
      </c>
      <c r="X27" s="709"/>
      <c r="Y27" s="3679"/>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9"/>
      <c r="Q28" s="1351" t="str">
        <f t="shared" si="11"/>
        <v>公共部分装修</v>
      </c>
      <c r="R28" s="704" t="s">
        <v>14</v>
      </c>
      <c r="S28" s="705">
        <f t="shared" si="12"/>
        <v>100</v>
      </c>
      <c r="T28" s="704" t="s">
        <v>14</v>
      </c>
      <c r="U28" s="705">
        <f t="shared" si="13"/>
        <v>100</v>
      </c>
      <c r="V28" s="704" t="s">
        <v>14</v>
      </c>
      <c r="W28" s="705">
        <f t="shared" si="14"/>
        <v>100</v>
      </c>
      <c r="X28" s="1354"/>
      <c r="Y28" s="3679"/>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9"/>
      <c r="Q29" s="1351" t="str">
        <f t="shared" si="11"/>
        <v>成新率</v>
      </c>
      <c r="R29" s="704" t="s">
        <v>14</v>
      </c>
      <c r="S29" s="705" t="e">
        <f t="shared" si="12"/>
        <v>#N/A</v>
      </c>
      <c r="T29" s="704" t="s">
        <v>14</v>
      </c>
      <c r="U29" s="705" t="e">
        <f t="shared" si="13"/>
        <v>#N/A</v>
      </c>
      <c r="V29" s="704" t="s">
        <v>14</v>
      </c>
      <c r="W29" s="705" t="e">
        <f t="shared" si="14"/>
        <v>#N/A</v>
      </c>
      <c r="X29" s="1354"/>
      <c r="Y29" s="3679"/>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79"/>
      <c r="Q30" s="1351" t="str">
        <f t="shared" si="11"/>
        <v>物业等级</v>
      </c>
      <c r="R30" s="704" t="s">
        <v>14</v>
      </c>
      <c r="S30" s="705">
        <f t="shared" si="12"/>
        <v>100</v>
      </c>
      <c r="T30" s="704" t="s">
        <v>14</v>
      </c>
      <c r="U30" s="705">
        <f t="shared" si="13"/>
        <v>100</v>
      </c>
      <c r="V30" s="704" t="s">
        <v>14</v>
      </c>
      <c r="W30" s="705">
        <f t="shared" si="14"/>
        <v>100</v>
      </c>
      <c r="X30" s="1354"/>
      <c r="Y30" s="3679"/>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9"/>
      <c r="Q31" s="1342" t="str">
        <f t="shared" si="11"/>
        <v>停车位面积</v>
      </c>
      <c r="R31" s="700" t="s">
        <v>14</v>
      </c>
      <c r="S31" s="701" t="e">
        <f t="shared" si="12"/>
        <v>#N/A</v>
      </c>
      <c r="T31" s="700" t="s">
        <v>14</v>
      </c>
      <c r="U31" s="701" t="e">
        <f t="shared" si="13"/>
        <v>#N/A</v>
      </c>
      <c r="V31" s="700" t="s">
        <v>14</v>
      </c>
      <c r="W31" s="701" t="e">
        <f t="shared" si="14"/>
        <v>#N/A</v>
      </c>
      <c r="X31" s="702"/>
      <c r="Y31" s="3679"/>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9" t="s">
        <v>1696</v>
      </c>
      <c r="Q32" s="1351" t="str">
        <f t="shared" si="11"/>
        <v>车位类型</v>
      </c>
      <c r="R32" s="704" t="s">
        <v>14</v>
      </c>
      <c r="S32" s="705">
        <f t="shared" si="12"/>
        <v>100</v>
      </c>
      <c r="T32" s="704" t="s">
        <v>14</v>
      </c>
      <c r="U32" s="705">
        <f t="shared" si="13"/>
        <v>100</v>
      </c>
      <c r="V32" s="704" t="s">
        <v>14</v>
      </c>
      <c r="W32" s="705">
        <f t="shared" si="14"/>
        <v>100</v>
      </c>
      <c r="X32" s="1354"/>
      <c r="Y32" s="3679"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9"/>
      <c r="Q33" s="1351" t="str">
        <f t="shared" si="11"/>
        <v>是否直接入户</v>
      </c>
      <c r="R33" s="704" t="s">
        <v>14</v>
      </c>
      <c r="S33" s="705">
        <f t="shared" si="12"/>
        <v>100</v>
      </c>
      <c r="T33" s="704" t="s">
        <v>14</v>
      </c>
      <c r="U33" s="705">
        <f t="shared" si="13"/>
        <v>100</v>
      </c>
      <c r="V33" s="704" t="s">
        <v>14</v>
      </c>
      <c r="W33" s="705">
        <f t="shared" si="14"/>
        <v>100</v>
      </c>
      <c r="X33" s="1354"/>
      <c r="Y33" s="3679"/>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9"/>
      <c r="Q34" s="1351">
        <f t="shared" si="11"/>
        <v>111</v>
      </c>
      <c r="R34" s="704" t="s">
        <v>14</v>
      </c>
      <c r="S34" s="705">
        <f t="shared" si="12"/>
        <v>100</v>
      </c>
      <c r="T34" s="704" t="s">
        <v>14</v>
      </c>
      <c r="U34" s="705">
        <f t="shared" si="13"/>
        <v>100</v>
      </c>
      <c r="V34" s="704" t="s">
        <v>14</v>
      </c>
      <c r="W34" s="705">
        <f t="shared" si="14"/>
        <v>100</v>
      </c>
      <c r="X34" s="1354"/>
      <c r="Y34" s="3679"/>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9"/>
      <c r="Q35" s="706">
        <f t="shared" si="11"/>
        <v>111</v>
      </c>
      <c r="R35" s="707" t="s">
        <v>14</v>
      </c>
      <c r="S35" s="708">
        <f t="shared" si="12"/>
        <v>100</v>
      </c>
      <c r="T35" s="707" t="s">
        <v>14</v>
      </c>
      <c r="U35" s="708">
        <f t="shared" si="13"/>
        <v>100</v>
      </c>
      <c r="V35" s="707" t="s">
        <v>14</v>
      </c>
      <c r="W35" s="708">
        <f t="shared" si="14"/>
        <v>100</v>
      </c>
      <c r="X35" s="709"/>
      <c r="Y35" s="3679"/>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9"/>
      <c r="Q36" s="1351">
        <f t="shared" si="11"/>
        <v>111</v>
      </c>
      <c r="R36" s="704" t="s">
        <v>14</v>
      </c>
      <c r="S36" s="705">
        <f t="shared" si="12"/>
        <v>100</v>
      </c>
      <c r="T36" s="704" t="s">
        <v>14</v>
      </c>
      <c r="U36" s="705">
        <f t="shared" si="13"/>
        <v>100</v>
      </c>
      <c r="V36" s="704" t="s">
        <v>14</v>
      </c>
      <c r="W36" s="705">
        <f t="shared" si="14"/>
        <v>100</v>
      </c>
      <c r="X36" s="1354"/>
      <c r="Y36" s="3679"/>
      <c r="Z36" s="1355">
        <f t="shared" si="15"/>
        <v>111</v>
      </c>
      <c r="AA36" s="1352">
        <f t="shared" si="3"/>
        <v>1</v>
      </c>
      <c r="AB36" s="1352">
        <f t="shared" si="4"/>
        <v>1</v>
      </c>
      <c r="AC36" s="1352">
        <f t="shared" si="5"/>
        <v>1</v>
      </c>
    </row>
    <row r="37" spans="1:29" ht="15">
      <c r="A37" s="430" t="s">
        <v>1844</v>
      </c>
      <c r="B37" s="1972" t="s">
        <v>3350</v>
      </c>
      <c r="C37" s="1153" t="s">
        <v>0</v>
      </c>
      <c r="D37" s="1154"/>
      <c r="E37" s="1155"/>
      <c r="F37" s="1156"/>
      <c r="G37" s="1157"/>
      <c r="H37" s="1158"/>
      <c r="I37" s="1155"/>
      <c r="J37" s="1158"/>
      <c r="K37" s="567"/>
      <c r="L37" s="2723"/>
      <c r="M37" s="2724"/>
      <c r="N37" s="2715"/>
      <c r="O37" s="2724"/>
      <c r="P37" s="3667" t="str">
        <f>A37</f>
        <v>成交单价</v>
      </c>
      <c r="Q37" s="3667"/>
      <c r="R37" s="3668">
        <f>E37</f>
        <v>0</v>
      </c>
      <c r="S37" s="3668"/>
      <c r="T37" s="3668">
        <f>G37</f>
        <v>0</v>
      </c>
      <c r="U37" s="3668"/>
      <c r="V37" s="3668">
        <f>I37</f>
        <v>0</v>
      </c>
      <c r="W37" s="3668"/>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67" t="str">
        <f>A38</f>
        <v>比较价值（元/平方米）</v>
      </c>
      <c r="Q38" s="3667"/>
      <c r="R38" s="3668" t="e">
        <f>IF(F1="售价",ROUND(PRODUCT(R37,AA7:AA36),0),ROUND(PRODUCT(R37,AA7:AA36),1))</f>
        <v>#DIV/0!</v>
      </c>
      <c r="S38" s="3668"/>
      <c r="T38" s="3668" t="e">
        <f>IF(F1="售价",ROUND(PRODUCT(T37,AB7:AB36),0),ROUND(PRODUCT(T37,AB7:AB36),1))</f>
        <v>#DIV/0!</v>
      </c>
      <c r="U38" s="3668"/>
      <c r="V38" s="3668" t="e">
        <f>IF(F1="售价",ROUND(PRODUCT(V37,AC7:AC36),0),ROUND(PRODUCT(V37,AC7:AC36),1))</f>
        <v>#DIV/0!</v>
      </c>
      <c r="W38" s="3668"/>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69" t="str">
        <f>A39</f>
        <v>估价对象XX用房的比较价值（楼面单价，元/平方米）</v>
      </c>
      <c r="Q39" s="3670"/>
      <c r="R39" s="3752" t="e">
        <f>IF(F1="售价",ROUND(IF(D38="简单平均",AVERAGE(R38:W38),R38*F38+T38*H38+V38*J38),0),ROUND(IF(D38="简单平均",AVERAGE(R38:V38),R38*F38+T38*H38+V38*J38),1))</f>
        <v>#DIV/0!</v>
      </c>
      <c r="S39" s="3752"/>
      <c r="T39" s="3752"/>
      <c r="U39" s="3752"/>
      <c r="V39" s="3752"/>
      <c r="W39" s="3752"/>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2025-4</v>
      </c>
      <c r="D48" s="1184">
        <f>EDATE(C48,-1)</f>
        <v>45717</v>
      </c>
      <c r="E48" s="1184">
        <f t="shared" ref="E48:O48" si="16">EDATE(D48,-1)</f>
        <v>45689</v>
      </c>
      <c r="F48" s="1184">
        <f t="shared" si="16"/>
        <v>45658</v>
      </c>
      <c r="G48" s="1184">
        <f t="shared" si="16"/>
        <v>45627</v>
      </c>
      <c r="H48" s="1184">
        <f t="shared" si="16"/>
        <v>45597</v>
      </c>
      <c r="I48" s="1184">
        <f t="shared" si="16"/>
        <v>45566</v>
      </c>
      <c r="J48" s="1184">
        <f t="shared" si="16"/>
        <v>45536</v>
      </c>
      <c r="K48" s="1184">
        <f t="shared" si="16"/>
        <v>45505</v>
      </c>
      <c r="L48" s="1184">
        <f t="shared" si="16"/>
        <v>45474</v>
      </c>
      <c r="M48" s="1184">
        <f t="shared" si="16"/>
        <v>45444</v>
      </c>
      <c r="N48" s="1184">
        <f t="shared" si="16"/>
        <v>45413</v>
      </c>
      <c r="O48" s="1184">
        <f t="shared" si="16"/>
        <v>45383</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6" t="s">
        <v>1770</v>
      </c>
      <c r="D4" s="3687"/>
      <c r="E4" s="3688" t="s">
        <v>1771</v>
      </c>
      <c r="F4" s="3689"/>
      <c r="G4" s="3686" t="s">
        <v>1772</v>
      </c>
      <c r="H4" s="3687"/>
      <c r="I4" s="3686" t="s">
        <v>1773</v>
      </c>
      <c r="J4" s="3687"/>
      <c r="K4" s="559" t="s">
        <v>1774</v>
      </c>
      <c r="L4" s="2714"/>
      <c r="M4" s="2715"/>
      <c r="N4" s="2715"/>
      <c r="O4" s="2715"/>
      <c r="P4" s="3690" t="s">
        <v>1775</v>
      </c>
      <c r="Q4" s="3691"/>
      <c r="R4" s="3696" t="s">
        <v>1771</v>
      </c>
      <c r="S4" s="3697"/>
      <c r="T4" s="3696" t="s">
        <v>1772</v>
      </c>
      <c r="U4" s="3697"/>
      <c r="V4" s="3681" t="s">
        <v>1773</v>
      </c>
      <c r="W4" s="3681"/>
      <c r="X4" s="1354"/>
      <c r="Y4" s="3696" t="s">
        <v>1775</v>
      </c>
      <c r="Z4" s="3697"/>
      <c r="AA4" s="3683" t="s">
        <v>1771</v>
      </c>
      <c r="AB4" s="3684" t="s">
        <v>1772</v>
      </c>
      <c r="AC4" s="3683" t="s">
        <v>1773</v>
      </c>
    </row>
    <row r="5" spans="1:29" ht="15">
      <c r="A5" s="358"/>
      <c r="B5" s="359"/>
      <c r="C5" s="3709" t="s">
        <v>1673</v>
      </c>
      <c r="D5" s="3710"/>
      <c r="E5" s="3735" t="s">
        <v>1674</v>
      </c>
      <c r="F5" s="3705"/>
      <c r="G5" s="3709" t="s">
        <v>1675</v>
      </c>
      <c r="H5" s="3710"/>
      <c r="I5" s="3709" t="s">
        <v>1676</v>
      </c>
      <c r="J5" s="3710"/>
      <c r="K5" s="559"/>
      <c r="L5" s="2714"/>
      <c r="M5" s="2715"/>
      <c r="N5" s="2715"/>
      <c r="O5" s="2715"/>
      <c r="P5" s="3692"/>
      <c r="Q5" s="3693"/>
      <c r="R5" s="3698"/>
      <c r="S5" s="3699"/>
      <c r="T5" s="3698"/>
      <c r="U5" s="3699"/>
      <c r="V5" s="3681"/>
      <c r="W5" s="3681"/>
      <c r="X5" s="1354"/>
      <c r="Y5" s="3698"/>
      <c r="Z5" s="3699"/>
      <c r="AA5" s="3684"/>
      <c r="AB5" s="3684"/>
      <c r="AC5" s="3684"/>
    </row>
    <row r="6" spans="1:29" ht="15.75" thickBot="1">
      <c r="A6" s="360"/>
      <c r="B6" s="361"/>
      <c r="C6" s="3702" t="s">
        <v>1677</v>
      </c>
      <c r="D6" s="3703"/>
      <c r="E6" s="3712" t="s">
        <v>1677</v>
      </c>
      <c r="F6" s="3713"/>
      <c r="G6" s="3702" t="s">
        <v>1677</v>
      </c>
      <c r="H6" s="3703"/>
      <c r="I6" s="3702" t="s">
        <v>1677</v>
      </c>
      <c r="J6" s="3703"/>
      <c r="K6" s="559" t="s">
        <v>1678</v>
      </c>
      <c r="L6" s="2714"/>
      <c r="M6" s="2715"/>
      <c r="N6" s="2715"/>
      <c r="O6" s="2715"/>
      <c r="P6" s="3694"/>
      <c r="Q6" s="3695"/>
      <c r="R6" s="3698"/>
      <c r="S6" s="3699"/>
      <c r="T6" s="3700"/>
      <c r="U6" s="3701"/>
      <c r="V6" s="3681"/>
      <c r="W6" s="3681"/>
      <c r="X6" s="1354"/>
      <c r="Y6" s="3700"/>
      <c r="Z6" s="3701"/>
      <c r="AA6" s="3685"/>
      <c r="AB6" s="3685"/>
      <c r="AC6" s="3685"/>
    </row>
    <row r="7" spans="1:29" s="108" customFormat="1" ht="15.75" thickBot="1">
      <c r="A7" s="362" t="s">
        <v>1679</v>
      </c>
      <c r="B7" s="363"/>
      <c r="C7" s="364">
        <f>'数据-取费表'!B2</f>
        <v>45765</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06" t="s">
        <v>1680</v>
      </c>
      <c r="Q7" s="3708"/>
      <c r="R7" s="700" t="s">
        <v>14</v>
      </c>
      <c r="S7" s="701">
        <f t="shared" ref="S7:S14" si="0">F7</f>
        <v>0</v>
      </c>
      <c r="T7" s="700" t="s">
        <v>14</v>
      </c>
      <c r="U7" s="701">
        <f t="shared" ref="U7:U14" si="1">H7</f>
        <v>0</v>
      </c>
      <c r="V7" s="700" t="s">
        <v>14</v>
      </c>
      <c r="W7" s="701">
        <f t="shared" ref="W7:W14" si="2">J7</f>
        <v>0</v>
      </c>
      <c r="X7" s="702"/>
      <c r="Y7" s="3706" t="s">
        <v>1680</v>
      </c>
      <c r="Z7" s="3707"/>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6" t="s">
        <v>1683</v>
      </c>
      <c r="Q8" s="3707"/>
      <c r="R8" s="700" t="s">
        <v>14</v>
      </c>
      <c r="S8" s="701">
        <f t="shared" si="0"/>
        <v>100</v>
      </c>
      <c r="T8" s="700" t="s">
        <v>14</v>
      </c>
      <c r="U8" s="701">
        <f t="shared" si="1"/>
        <v>100</v>
      </c>
      <c r="V8" s="700" t="s">
        <v>14</v>
      </c>
      <c r="W8" s="701">
        <f t="shared" si="2"/>
        <v>100</v>
      </c>
      <c r="X8" s="702"/>
      <c r="Y8" s="3706" t="s">
        <v>1683</v>
      </c>
      <c r="Z8" s="3707"/>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7" t="s">
        <v>1686</v>
      </c>
      <c r="Q9" s="1342" t="str">
        <f t="shared" ref="Q9:Q14" si="6">B9</f>
        <v>用途</v>
      </c>
      <c r="R9" s="700" t="s">
        <v>14</v>
      </c>
      <c r="S9" s="701">
        <f t="shared" si="0"/>
        <v>100</v>
      </c>
      <c r="T9" s="700" t="s">
        <v>14</v>
      </c>
      <c r="U9" s="701">
        <f t="shared" si="1"/>
        <v>100</v>
      </c>
      <c r="V9" s="700" t="s">
        <v>14</v>
      </c>
      <c r="W9" s="701">
        <f t="shared" si="2"/>
        <v>100</v>
      </c>
      <c r="X9" s="702"/>
      <c r="Y9" s="3566"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7"/>
      <c r="Q10" s="1342" t="str">
        <f t="shared" si="6"/>
        <v>土地使用年限（年）</v>
      </c>
      <c r="R10" s="700" t="s">
        <v>14</v>
      </c>
      <c r="S10" s="701">
        <f t="shared" si="0"/>
        <v>100</v>
      </c>
      <c r="T10" s="700" t="s">
        <v>14</v>
      </c>
      <c r="U10" s="701">
        <f t="shared" si="1"/>
        <v>100</v>
      </c>
      <c r="V10" s="700" t="s">
        <v>14</v>
      </c>
      <c r="W10" s="701">
        <f t="shared" si="2"/>
        <v>100</v>
      </c>
      <c r="X10" s="702"/>
      <c r="Y10" s="3566"/>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7"/>
      <c r="Q11" s="1342">
        <f t="shared" si="6"/>
        <v>111</v>
      </c>
      <c r="R11" s="700" t="s">
        <v>14</v>
      </c>
      <c r="S11" s="701">
        <f t="shared" si="0"/>
        <v>100</v>
      </c>
      <c r="T11" s="700" t="s">
        <v>14</v>
      </c>
      <c r="U11" s="701">
        <f t="shared" si="1"/>
        <v>100</v>
      </c>
      <c r="V11" s="700" t="s">
        <v>14</v>
      </c>
      <c r="W11" s="701">
        <f t="shared" si="2"/>
        <v>100</v>
      </c>
      <c r="X11" s="702"/>
      <c r="Y11" s="3566"/>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7"/>
      <c r="Q12" s="1342">
        <f t="shared" si="6"/>
        <v>111</v>
      </c>
      <c r="R12" s="700" t="s">
        <v>14</v>
      </c>
      <c r="S12" s="701">
        <f t="shared" si="0"/>
        <v>100</v>
      </c>
      <c r="T12" s="700" t="s">
        <v>14</v>
      </c>
      <c r="U12" s="701">
        <f t="shared" si="1"/>
        <v>100</v>
      </c>
      <c r="V12" s="700" t="s">
        <v>14</v>
      </c>
      <c r="W12" s="701">
        <f t="shared" si="2"/>
        <v>100</v>
      </c>
      <c r="X12" s="702"/>
      <c r="Y12" s="3566"/>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67"/>
      <c r="Q13" s="1342">
        <f t="shared" si="6"/>
        <v>111</v>
      </c>
      <c r="R13" s="700" t="s">
        <v>14</v>
      </c>
      <c r="S13" s="701">
        <f t="shared" si="0"/>
        <v>100</v>
      </c>
      <c r="T13" s="700" t="s">
        <v>14</v>
      </c>
      <c r="U13" s="701">
        <f t="shared" si="1"/>
        <v>100</v>
      </c>
      <c r="V13" s="700" t="s">
        <v>14</v>
      </c>
      <c r="W13" s="701">
        <f t="shared" si="2"/>
        <v>100</v>
      </c>
      <c r="X13" s="702"/>
      <c r="Y13" s="3566"/>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4" t="s">
        <v>1691</v>
      </c>
      <c r="Q14" s="1351" t="str">
        <f t="shared" si="6"/>
        <v>交通便捷度</v>
      </c>
      <c r="R14" s="704" t="s">
        <v>14</v>
      </c>
      <c r="S14" s="705">
        <f t="shared" si="0"/>
        <v>100</v>
      </c>
      <c r="T14" s="704" t="s">
        <v>14</v>
      </c>
      <c r="U14" s="705">
        <f t="shared" si="1"/>
        <v>100</v>
      </c>
      <c r="V14" s="704" t="s">
        <v>14</v>
      </c>
      <c r="W14" s="705">
        <f t="shared" si="2"/>
        <v>100</v>
      </c>
      <c r="X14" s="1354"/>
      <c r="Y14" s="367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75"/>
      <c r="Q15" s="1351"/>
      <c r="R15" s="704"/>
      <c r="S15" s="705"/>
      <c r="T15" s="704"/>
      <c r="U15" s="705"/>
      <c r="V15" s="704"/>
      <c r="W15" s="705"/>
      <c r="X15" s="1354"/>
      <c r="Y15" s="3675"/>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5"/>
      <c r="Q16" s="1351" t="str">
        <f>B16</f>
        <v>公共配套设施</v>
      </c>
      <c r="R16" s="704" t="s">
        <v>14</v>
      </c>
      <c r="S16" s="705">
        <f>F16</f>
        <v>100</v>
      </c>
      <c r="T16" s="704" t="s">
        <v>14</v>
      </c>
      <c r="U16" s="705">
        <f>H16</f>
        <v>100</v>
      </c>
      <c r="V16" s="704" t="s">
        <v>14</v>
      </c>
      <c r="W16" s="705">
        <f>J16</f>
        <v>100</v>
      </c>
      <c r="X16" s="1354"/>
      <c r="Y16" s="367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75"/>
      <c r="Q17" s="1351"/>
      <c r="R17" s="704"/>
      <c r="S17" s="705"/>
      <c r="T17" s="704"/>
      <c r="U17" s="705"/>
      <c r="V17" s="704"/>
      <c r="W17" s="705"/>
      <c r="X17" s="1354"/>
      <c r="Y17" s="3675"/>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5"/>
      <c r="Q18" s="1351" t="str">
        <f>B18</f>
        <v>基础设施水平</v>
      </c>
      <c r="R18" s="704" t="s">
        <v>14</v>
      </c>
      <c r="S18" s="705">
        <f>F18</f>
        <v>100</v>
      </c>
      <c r="T18" s="704" t="s">
        <v>14</v>
      </c>
      <c r="U18" s="705">
        <f>H18</f>
        <v>100</v>
      </c>
      <c r="V18" s="704" t="s">
        <v>14</v>
      </c>
      <c r="W18" s="705">
        <f>J18</f>
        <v>100</v>
      </c>
      <c r="X18" s="1354"/>
      <c r="Y18" s="3675"/>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75"/>
      <c r="Q19" s="1351"/>
      <c r="R19" s="704"/>
      <c r="S19" s="705"/>
      <c r="T19" s="704"/>
      <c r="U19" s="705"/>
      <c r="V19" s="704"/>
      <c r="W19" s="705"/>
      <c r="X19" s="1354"/>
      <c r="Y19" s="3675"/>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5"/>
      <c r="Q20" s="1351" t="str">
        <f>B20</f>
        <v>自然及人文环境</v>
      </c>
      <c r="R20" s="704" t="s">
        <v>14</v>
      </c>
      <c r="S20" s="705">
        <f>F20</f>
        <v>100</v>
      </c>
      <c r="T20" s="704" t="s">
        <v>14</v>
      </c>
      <c r="U20" s="705">
        <f>H20</f>
        <v>100</v>
      </c>
      <c r="V20" s="704" t="s">
        <v>14</v>
      </c>
      <c r="W20" s="705">
        <f>J20</f>
        <v>100</v>
      </c>
      <c r="X20" s="1354"/>
      <c r="Y20" s="367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75"/>
      <c r="Q21" s="1351"/>
      <c r="R21" s="704"/>
      <c r="S21" s="705"/>
      <c r="T21" s="704"/>
      <c r="U21" s="705"/>
      <c r="V21" s="704"/>
      <c r="W21" s="705"/>
      <c r="X21" s="1354"/>
      <c r="Y21" s="367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5"/>
      <c r="Q22" s="1351" t="str">
        <f>B22</f>
        <v>楼层</v>
      </c>
      <c r="R22" s="704" t="s">
        <v>14</v>
      </c>
      <c r="S22" s="705">
        <f>F22</f>
        <v>100</v>
      </c>
      <c r="T22" s="704" t="s">
        <v>14</v>
      </c>
      <c r="U22" s="705">
        <f>H22</f>
        <v>100</v>
      </c>
      <c r="V22" s="704" t="s">
        <v>14</v>
      </c>
      <c r="W22" s="705">
        <f>J22</f>
        <v>100</v>
      </c>
      <c r="X22" s="1354"/>
      <c r="Y22" s="367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5"/>
      <c r="Q23" s="1351">
        <f>B23</f>
        <v>111</v>
      </c>
      <c r="R23" s="704" t="s">
        <v>14</v>
      </c>
      <c r="S23" s="705">
        <f>F23</f>
        <v>100</v>
      </c>
      <c r="T23" s="704" t="s">
        <v>14</v>
      </c>
      <c r="U23" s="705">
        <f>H23</f>
        <v>100</v>
      </c>
      <c r="V23" s="704" t="s">
        <v>14</v>
      </c>
      <c r="W23" s="705">
        <f>J23</f>
        <v>100</v>
      </c>
      <c r="X23" s="1354"/>
      <c r="Y23" s="367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5"/>
      <c r="Q24" s="1351">
        <f t="shared" ref="Q24:Q34" si="11">B24</f>
        <v>111</v>
      </c>
      <c r="R24" s="704" t="s">
        <v>14</v>
      </c>
      <c r="S24" s="705">
        <f>F24</f>
        <v>100</v>
      </c>
      <c r="T24" s="704" t="s">
        <v>14</v>
      </c>
      <c r="U24" s="705">
        <f>H24</f>
        <v>100</v>
      </c>
      <c r="V24" s="704" t="s">
        <v>14</v>
      </c>
      <c r="W24" s="705">
        <f>J24</f>
        <v>100</v>
      </c>
      <c r="X24" s="1354"/>
      <c r="Y24" s="3675"/>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75"/>
      <c r="Q25" s="1342">
        <f t="shared" si="11"/>
        <v>111</v>
      </c>
      <c r="R25" s="700" t="s">
        <v>14</v>
      </c>
      <c r="S25" s="701">
        <f>F25</f>
        <v>100</v>
      </c>
      <c r="T25" s="700" t="s">
        <v>14</v>
      </c>
      <c r="U25" s="701">
        <f>H25</f>
        <v>100</v>
      </c>
      <c r="V25" s="700" t="s">
        <v>14</v>
      </c>
      <c r="W25" s="701">
        <f>J25</f>
        <v>100</v>
      </c>
      <c r="X25" s="702"/>
      <c r="Y25" s="3675"/>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51"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79"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9"/>
      <c r="Q27" s="706" t="str">
        <f t="shared" si="11"/>
        <v>成新率</v>
      </c>
      <c r="R27" s="707" t="s">
        <v>14</v>
      </c>
      <c r="S27" s="708" t="e">
        <f t="shared" si="12"/>
        <v>#N/A</v>
      </c>
      <c r="T27" s="707" t="s">
        <v>14</v>
      </c>
      <c r="U27" s="708" t="e">
        <f t="shared" si="13"/>
        <v>#N/A</v>
      </c>
      <c r="V27" s="707" t="s">
        <v>14</v>
      </c>
      <c r="W27" s="708" t="e">
        <f t="shared" si="14"/>
        <v>#N/A</v>
      </c>
      <c r="X27" s="709"/>
      <c r="Y27" s="3679"/>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9"/>
      <c r="Q28" s="1351" t="str">
        <f t="shared" si="11"/>
        <v>物业等级</v>
      </c>
      <c r="R28" s="704" t="s">
        <v>14</v>
      </c>
      <c r="S28" s="705">
        <f t="shared" si="12"/>
        <v>100</v>
      </c>
      <c r="T28" s="704" t="s">
        <v>14</v>
      </c>
      <c r="U28" s="705">
        <f t="shared" si="13"/>
        <v>100</v>
      </c>
      <c r="V28" s="704" t="s">
        <v>14</v>
      </c>
      <c r="W28" s="705">
        <f t="shared" si="14"/>
        <v>100</v>
      </c>
      <c r="X28" s="1354"/>
      <c r="Y28" s="3679"/>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79"/>
      <c r="Q29" s="1351" t="str">
        <f t="shared" si="11"/>
        <v>有无电梯</v>
      </c>
      <c r="R29" s="704" t="s">
        <v>14</v>
      </c>
      <c r="S29" s="705">
        <f t="shared" si="12"/>
        <v>100</v>
      </c>
      <c r="T29" s="704" t="s">
        <v>14</v>
      </c>
      <c r="U29" s="705">
        <f t="shared" si="13"/>
        <v>100</v>
      </c>
      <c r="V29" s="704" t="s">
        <v>14</v>
      </c>
      <c r="W29" s="705">
        <f t="shared" si="14"/>
        <v>100</v>
      </c>
      <c r="X29" s="1354"/>
      <c r="Y29" s="3679"/>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9"/>
      <c r="Q30" s="1351" t="str">
        <f t="shared" si="11"/>
        <v>建筑面积</v>
      </c>
      <c r="R30" s="704" t="s">
        <v>14</v>
      </c>
      <c r="S30" s="705" t="e">
        <f t="shared" si="12"/>
        <v>#N/A</v>
      </c>
      <c r="T30" s="704" t="s">
        <v>14</v>
      </c>
      <c r="U30" s="705" t="e">
        <f t="shared" si="13"/>
        <v>#N/A</v>
      </c>
      <c r="V30" s="704" t="s">
        <v>14</v>
      </c>
      <c r="W30" s="705" t="e">
        <f t="shared" si="14"/>
        <v>#N/A</v>
      </c>
      <c r="X30" s="1354"/>
      <c r="Y30" s="3679"/>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79"/>
      <c r="Q31" s="1342" t="str">
        <f t="shared" si="11"/>
        <v>是否封闭</v>
      </c>
      <c r="R31" s="700" t="s">
        <v>14</v>
      </c>
      <c r="S31" s="701">
        <f t="shared" si="12"/>
        <v>100</v>
      </c>
      <c r="T31" s="700" t="s">
        <v>14</v>
      </c>
      <c r="U31" s="701">
        <f t="shared" si="13"/>
        <v>100</v>
      </c>
      <c r="V31" s="700" t="s">
        <v>14</v>
      </c>
      <c r="W31" s="701">
        <f t="shared" si="14"/>
        <v>100</v>
      </c>
      <c r="X31" s="702"/>
      <c r="Y31" s="3679"/>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9" t="s">
        <v>1696</v>
      </c>
      <c r="Q32" s="1351">
        <f t="shared" si="11"/>
        <v>111</v>
      </c>
      <c r="R32" s="704" t="s">
        <v>14</v>
      </c>
      <c r="S32" s="705">
        <f t="shared" si="12"/>
        <v>100</v>
      </c>
      <c r="T32" s="704" t="s">
        <v>14</v>
      </c>
      <c r="U32" s="705">
        <f t="shared" si="13"/>
        <v>100</v>
      </c>
      <c r="V32" s="704" t="s">
        <v>14</v>
      </c>
      <c r="W32" s="705">
        <f t="shared" si="14"/>
        <v>100</v>
      </c>
      <c r="X32" s="1354"/>
      <c r="Y32" s="3679"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9"/>
      <c r="Q33" s="1351">
        <f t="shared" si="11"/>
        <v>111</v>
      </c>
      <c r="R33" s="704" t="s">
        <v>14</v>
      </c>
      <c r="S33" s="705">
        <f t="shared" si="12"/>
        <v>100</v>
      </c>
      <c r="T33" s="704" t="s">
        <v>14</v>
      </c>
      <c r="U33" s="705">
        <f t="shared" si="13"/>
        <v>100</v>
      </c>
      <c r="V33" s="704" t="s">
        <v>14</v>
      </c>
      <c r="W33" s="705">
        <f t="shared" si="14"/>
        <v>100</v>
      </c>
      <c r="X33" s="1354"/>
      <c r="Y33" s="3679"/>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79"/>
      <c r="Q34" s="1351">
        <f t="shared" si="11"/>
        <v>111</v>
      </c>
      <c r="R34" s="704" t="s">
        <v>14</v>
      </c>
      <c r="S34" s="705">
        <f t="shared" si="12"/>
        <v>100</v>
      </c>
      <c r="T34" s="704" t="s">
        <v>14</v>
      </c>
      <c r="U34" s="705">
        <f t="shared" si="13"/>
        <v>100</v>
      </c>
      <c r="V34" s="704" t="s">
        <v>14</v>
      </c>
      <c r="W34" s="705">
        <f t="shared" si="14"/>
        <v>100</v>
      </c>
      <c r="X34" s="1354"/>
      <c r="Y34" s="3679"/>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67" t="str">
        <f>A35</f>
        <v>成交单价（元/平方米）</v>
      </c>
      <c r="Q35" s="3667"/>
      <c r="R35" s="3668">
        <f>E35</f>
        <v>0</v>
      </c>
      <c r="S35" s="3668"/>
      <c r="T35" s="3668">
        <f>G35</f>
        <v>0</v>
      </c>
      <c r="U35" s="3668"/>
      <c r="V35" s="3668">
        <f>I35</f>
        <v>0</v>
      </c>
      <c r="W35" s="3668"/>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67" t="str">
        <f>A36</f>
        <v>比较价值（元/平方米）</v>
      </c>
      <c r="Q36" s="3667"/>
      <c r="R36" s="3668" t="e">
        <f>IF(F1="售价",ROUND(PRODUCT(R35,AA7:AA34),0),ROUND(PRODUCT(R35,AA7:AA34),1))</f>
        <v>#DIV/0!</v>
      </c>
      <c r="S36" s="3668"/>
      <c r="T36" s="3668" t="e">
        <f>IF(F1="售价",ROUND(PRODUCT(T35,AB7:AB34),0),ROUND(PRODUCT(T35,AB7:AB34),1))</f>
        <v>#DIV/0!</v>
      </c>
      <c r="U36" s="3668"/>
      <c r="V36" s="3668" t="e">
        <f>IF(F1="售价",ROUND(PRODUCT(V35,AC7:AC34),0),ROUND(PRODUCT(V35,AC7:AC34),1))</f>
        <v>#DIV/0!</v>
      </c>
      <c r="W36" s="3668"/>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69" t="str">
        <f>A37</f>
        <v>估价对象XX用房的比较价值（楼面单价，元/平方米）</v>
      </c>
      <c r="Q37" s="3670"/>
      <c r="R37" s="3752" t="e">
        <f>IF(F1="售价",ROUND(IF(D36="简单平均",AVERAGE(R36:W36),R36*F36+T36*H36+V36*J36),0),ROUND(IF(D36="简单平均",AVERAGE(R36:V36),R36*F36+T36*H36+V36*J36),1))</f>
        <v>#DIV/0!</v>
      </c>
      <c r="S37" s="3752"/>
      <c r="T37" s="3752"/>
      <c r="U37" s="3752"/>
      <c r="V37" s="3752"/>
      <c r="W37" s="3752"/>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2025-4</v>
      </c>
      <c r="D46" s="1184">
        <f>EDATE(C46,-1)</f>
        <v>45717</v>
      </c>
      <c r="E46" s="1184">
        <f t="shared" ref="E46:O46" si="16">EDATE(D46,-1)</f>
        <v>45689</v>
      </c>
      <c r="F46" s="1184">
        <f t="shared" si="16"/>
        <v>45658</v>
      </c>
      <c r="G46" s="1184">
        <f t="shared" si="16"/>
        <v>45627</v>
      </c>
      <c r="H46" s="1184">
        <f t="shared" si="16"/>
        <v>45597</v>
      </c>
      <c r="I46" s="1184">
        <f t="shared" si="16"/>
        <v>45566</v>
      </c>
      <c r="J46" s="1184">
        <f t="shared" si="16"/>
        <v>45536</v>
      </c>
      <c r="K46" s="1184">
        <f t="shared" si="16"/>
        <v>45505</v>
      </c>
      <c r="L46" s="1184">
        <f t="shared" si="16"/>
        <v>45474</v>
      </c>
      <c r="M46" s="1184">
        <f t="shared" si="16"/>
        <v>45444</v>
      </c>
      <c r="N46" s="1184">
        <f t="shared" si="16"/>
        <v>45413</v>
      </c>
      <c r="O46" s="1184">
        <f t="shared" si="16"/>
        <v>45383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86" t="s">
        <v>1770</v>
      </c>
      <c r="D4" s="3687"/>
      <c r="E4" s="3688" t="s">
        <v>1771</v>
      </c>
      <c r="F4" s="3689"/>
      <c r="G4" s="3686" t="s">
        <v>1772</v>
      </c>
      <c r="H4" s="3687"/>
      <c r="I4" s="3686" t="s">
        <v>1773</v>
      </c>
      <c r="J4" s="3687"/>
      <c r="K4" s="559" t="s">
        <v>1774</v>
      </c>
      <c r="L4" s="2714"/>
      <c r="M4" s="2715"/>
      <c r="N4" s="2715"/>
      <c r="O4" s="2715"/>
      <c r="P4" s="3690" t="s">
        <v>1775</v>
      </c>
      <c r="Q4" s="3691"/>
      <c r="R4" s="3696" t="s">
        <v>1771</v>
      </c>
      <c r="S4" s="3697"/>
      <c r="T4" s="3696" t="s">
        <v>1772</v>
      </c>
      <c r="U4" s="3697"/>
      <c r="V4" s="3681" t="s">
        <v>1773</v>
      </c>
      <c r="W4" s="3681"/>
      <c r="X4" s="1354"/>
      <c r="Y4" s="3696" t="s">
        <v>1775</v>
      </c>
      <c r="Z4" s="3697"/>
      <c r="AA4" s="3683" t="s">
        <v>1771</v>
      </c>
      <c r="AB4" s="3684" t="s">
        <v>1772</v>
      </c>
      <c r="AC4" s="3683" t="s">
        <v>1773</v>
      </c>
    </row>
    <row r="5" spans="1:30" ht="15">
      <c r="A5" s="358"/>
      <c r="B5" s="359"/>
      <c r="C5" s="3709" t="s">
        <v>1673</v>
      </c>
      <c r="D5" s="3710"/>
      <c r="E5" s="3735" t="s">
        <v>1674</v>
      </c>
      <c r="F5" s="3705"/>
      <c r="G5" s="3709" t="s">
        <v>1675</v>
      </c>
      <c r="H5" s="3710"/>
      <c r="I5" s="3709" t="s">
        <v>1676</v>
      </c>
      <c r="J5" s="3710"/>
      <c r="K5" s="559"/>
      <c r="L5" s="2714"/>
      <c r="M5" s="2715"/>
      <c r="N5" s="2715"/>
      <c r="O5" s="2715"/>
      <c r="P5" s="3692"/>
      <c r="Q5" s="3693"/>
      <c r="R5" s="3698"/>
      <c r="S5" s="3699"/>
      <c r="T5" s="3698"/>
      <c r="U5" s="3699"/>
      <c r="V5" s="3681"/>
      <c r="W5" s="3681"/>
      <c r="X5" s="1354"/>
      <c r="Y5" s="3698"/>
      <c r="Z5" s="3699"/>
      <c r="AA5" s="3684"/>
      <c r="AB5" s="3684"/>
      <c r="AC5" s="3684"/>
    </row>
    <row r="6" spans="1:30" ht="15.75" thickBot="1">
      <c r="A6" s="360"/>
      <c r="B6" s="361"/>
      <c r="C6" s="3702" t="s">
        <v>1677</v>
      </c>
      <c r="D6" s="3703"/>
      <c r="E6" s="3712" t="s">
        <v>1677</v>
      </c>
      <c r="F6" s="3713"/>
      <c r="G6" s="3702" t="s">
        <v>1677</v>
      </c>
      <c r="H6" s="3703"/>
      <c r="I6" s="3702" t="s">
        <v>1677</v>
      </c>
      <c r="J6" s="3703"/>
      <c r="K6" s="559" t="s">
        <v>1678</v>
      </c>
      <c r="L6" s="2714"/>
      <c r="M6" s="2715"/>
      <c r="N6" s="2715"/>
      <c r="O6" s="2715"/>
      <c r="P6" s="3694"/>
      <c r="Q6" s="3695"/>
      <c r="R6" s="3698"/>
      <c r="S6" s="3699"/>
      <c r="T6" s="3700"/>
      <c r="U6" s="3701"/>
      <c r="V6" s="3681"/>
      <c r="W6" s="3681"/>
      <c r="X6" s="1354"/>
      <c r="Y6" s="3700"/>
      <c r="Z6" s="3701"/>
      <c r="AA6" s="3685"/>
      <c r="AB6" s="3685"/>
      <c r="AC6" s="3685"/>
    </row>
    <row r="7" spans="1:30" s="108" customFormat="1" ht="15.75" thickBot="1">
      <c r="A7" s="362" t="s">
        <v>1679</v>
      </c>
      <c r="B7" s="363"/>
      <c r="C7" s="364">
        <f>'数据-取费表'!B2</f>
        <v>45765</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06" t="s">
        <v>1680</v>
      </c>
      <c r="Q7" s="3708"/>
      <c r="R7" s="700" t="s">
        <v>14</v>
      </c>
      <c r="S7" s="701">
        <f t="shared" ref="S7:S15" si="0">F7</f>
        <v>0</v>
      </c>
      <c r="T7" s="700" t="s">
        <v>14</v>
      </c>
      <c r="U7" s="701">
        <f t="shared" ref="U7:U15" si="1">H7</f>
        <v>0</v>
      </c>
      <c r="V7" s="700" t="s">
        <v>14</v>
      </c>
      <c r="W7" s="701">
        <f t="shared" ref="W7:W15" si="2">J7</f>
        <v>0</v>
      </c>
      <c r="X7" s="702"/>
      <c r="Y7" s="3706" t="s">
        <v>1680</v>
      </c>
      <c r="Z7" s="3707"/>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6" t="s">
        <v>1683</v>
      </c>
      <c r="Q8" s="3707"/>
      <c r="R8" s="700" t="s">
        <v>14</v>
      </c>
      <c r="S8" s="701">
        <f t="shared" si="0"/>
        <v>0</v>
      </c>
      <c r="T8" s="700" t="s">
        <v>14</v>
      </c>
      <c r="U8" s="701">
        <f t="shared" si="1"/>
        <v>0</v>
      </c>
      <c r="V8" s="700" t="s">
        <v>14</v>
      </c>
      <c r="W8" s="701">
        <f t="shared" si="2"/>
        <v>0</v>
      </c>
      <c r="X8" s="702"/>
      <c r="Y8" s="3706" t="s">
        <v>1683</v>
      </c>
      <c r="Z8" s="3707"/>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67" t="s">
        <v>1686</v>
      </c>
      <c r="Q9" s="1342" t="str">
        <f t="shared" ref="Q9:Q15" si="6">B9</f>
        <v>用途</v>
      </c>
      <c r="R9" s="700" t="s">
        <v>14</v>
      </c>
      <c r="S9" s="701">
        <f t="shared" si="0"/>
        <v>100</v>
      </c>
      <c r="T9" s="700" t="s">
        <v>14</v>
      </c>
      <c r="U9" s="701">
        <f t="shared" si="1"/>
        <v>100</v>
      </c>
      <c r="V9" s="700" t="s">
        <v>14</v>
      </c>
      <c r="W9" s="701">
        <f t="shared" si="2"/>
        <v>100</v>
      </c>
      <c r="X9" s="702"/>
      <c r="Y9" s="3566"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152</v>
      </c>
      <c r="G10" s="414"/>
      <c r="H10" s="127">
        <f>ROUND(100/'数据-取费表'!G16,0)</f>
        <v>152</v>
      </c>
      <c r="I10" s="414"/>
      <c r="J10" s="127">
        <f>ROUND(100/'数据-取费表'!G16,0)</f>
        <v>152</v>
      </c>
      <c r="K10" s="619"/>
      <c r="L10" s="2718"/>
      <c r="M10" s="2719"/>
      <c r="N10" s="2719"/>
      <c r="O10" s="2772"/>
      <c r="P10" s="3667"/>
      <c r="Q10" s="1342" t="str">
        <f t="shared" si="6"/>
        <v>土地使用年限（年）</v>
      </c>
      <c r="R10" s="700" t="s">
        <v>14</v>
      </c>
      <c r="S10" s="701">
        <f t="shared" si="0"/>
        <v>152</v>
      </c>
      <c r="T10" s="700" t="s">
        <v>14</v>
      </c>
      <c r="U10" s="701">
        <f t="shared" si="1"/>
        <v>152</v>
      </c>
      <c r="V10" s="700" t="s">
        <v>14</v>
      </c>
      <c r="W10" s="701">
        <f t="shared" si="2"/>
        <v>152</v>
      </c>
      <c r="X10" s="702"/>
      <c r="Y10" s="3566"/>
      <c r="Z10" s="52" t="str">
        <f t="shared" si="7"/>
        <v>土地使用年限（年）</v>
      </c>
      <c r="AA10" s="703">
        <f t="shared" si="3"/>
        <v>0.65789473684210531</v>
      </c>
      <c r="AB10" s="703">
        <f t="shared" si="4"/>
        <v>0.65789473684210531</v>
      </c>
      <c r="AC10" s="703">
        <f t="shared" si="5"/>
        <v>0.65789473684210531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67"/>
      <c r="Q11" s="1342" t="str">
        <f t="shared" si="6"/>
        <v>容积率</v>
      </c>
      <c r="R11" s="700" t="s">
        <v>14</v>
      </c>
      <c r="S11" s="701" t="e">
        <f t="shared" si="0"/>
        <v>#N/A</v>
      </c>
      <c r="T11" s="700" t="s">
        <v>14</v>
      </c>
      <c r="U11" s="701" t="e">
        <f t="shared" si="1"/>
        <v>#N/A</v>
      </c>
      <c r="V11" s="700" t="s">
        <v>14</v>
      </c>
      <c r="W11" s="701" t="e">
        <f t="shared" si="2"/>
        <v>#N/A</v>
      </c>
      <c r="X11" s="702"/>
      <c r="Y11" s="3566"/>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67"/>
      <c r="Q12" s="1342" t="str">
        <f t="shared" si="6"/>
        <v>配建</v>
      </c>
      <c r="R12" s="700" t="s">
        <v>14</v>
      </c>
      <c r="S12" s="701">
        <f t="shared" si="0"/>
        <v>100</v>
      </c>
      <c r="T12" s="700" t="s">
        <v>14</v>
      </c>
      <c r="U12" s="701">
        <f t="shared" si="1"/>
        <v>100</v>
      </c>
      <c r="V12" s="700" t="s">
        <v>14</v>
      </c>
      <c r="W12" s="701">
        <f t="shared" si="2"/>
        <v>100</v>
      </c>
      <c r="X12" s="702"/>
      <c r="Y12" s="3566"/>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67"/>
      <c r="Q13" s="1342">
        <f t="shared" si="6"/>
        <v>111</v>
      </c>
      <c r="R13" s="700" t="s">
        <v>14</v>
      </c>
      <c r="S13" s="701">
        <f t="shared" si="0"/>
        <v>100</v>
      </c>
      <c r="T13" s="700" t="s">
        <v>14</v>
      </c>
      <c r="U13" s="701">
        <f t="shared" si="1"/>
        <v>100</v>
      </c>
      <c r="V13" s="700" t="s">
        <v>14</v>
      </c>
      <c r="W13" s="701">
        <f t="shared" si="2"/>
        <v>100</v>
      </c>
      <c r="X13" s="702"/>
      <c r="Y13" s="3566"/>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67"/>
      <c r="Q14" s="1342">
        <f t="shared" si="6"/>
        <v>111</v>
      </c>
      <c r="R14" s="700" t="s">
        <v>14</v>
      </c>
      <c r="S14" s="701">
        <f t="shared" si="0"/>
        <v>100</v>
      </c>
      <c r="T14" s="700" t="s">
        <v>14</v>
      </c>
      <c r="U14" s="701">
        <f t="shared" si="1"/>
        <v>100</v>
      </c>
      <c r="V14" s="700" t="s">
        <v>14</v>
      </c>
      <c r="W14" s="701">
        <f t="shared" si="2"/>
        <v>100</v>
      </c>
      <c r="X14" s="702"/>
      <c r="Y14" s="3566"/>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74" t="s">
        <v>1691</v>
      </c>
      <c r="Q15" s="1351" t="str">
        <f t="shared" si="6"/>
        <v>居住社区成熟度</v>
      </c>
      <c r="R15" s="704" t="s">
        <v>14</v>
      </c>
      <c r="S15" s="705">
        <f t="shared" si="0"/>
        <v>100</v>
      </c>
      <c r="T15" s="704" t="s">
        <v>14</v>
      </c>
      <c r="U15" s="705">
        <f t="shared" si="1"/>
        <v>100</v>
      </c>
      <c r="V15" s="704" t="s">
        <v>14</v>
      </c>
      <c r="W15" s="705">
        <f t="shared" si="2"/>
        <v>100</v>
      </c>
      <c r="X15" s="1354"/>
      <c r="Y15" s="3674"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75"/>
      <c r="Q16" s="1351"/>
      <c r="R16" s="704"/>
      <c r="S16" s="705"/>
      <c r="T16" s="704"/>
      <c r="U16" s="705"/>
      <c r="V16" s="704"/>
      <c r="W16" s="705"/>
      <c r="X16" s="1354"/>
      <c r="Y16" s="3675"/>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75"/>
      <c r="Q17" s="1351" t="str">
        <f>B17</f>
        <v>商业繁华度</v>
      </c>
      <c r="R17" s="704" t="s">
        <v>14</v>
      </c>
      <c r="S17" s="705">
        <f>F17</f>
        <v>100</v>
      </c>
      <c r="T17" s="704" t="s">
        <v>14</v>
      </c>
      <c r="U17" s="705">
        <f>H17</f>
        <v>100</v>
      </c>
      <c r="V17" s="704" t="s">
        <v>14</v>
      </c>
      <c r="W17" s="705">
        <f>J17</f>
        <v>100</v>
      </c>
      <c r="X17" s="1354"/>
      <c r="Y17" s="3675"/>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75"/>
      <c r="Q18" s="1351"/>
      <c r="R18" s="704"/>
      <c r="S18" s="705"/>
      <c r="T18" s="704"/>
      <c r="U18" s="705"/>
      <c r="V18" s="704"/>
      <c r="W18" s="705"/>
      <c r="X18" s="1354"/>
      <c r="Y18" s="3675"/>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75"/>
      <c r="Q19" s="1351" t="str">
        <f>B19</f>
        <v>办公集聚程度</v>
      </c>
      <c r="R19" s="704" t="s">
        <v>14</v>
      </c>
      <c r="S19" s="705">
        <f>F19</f>
        <v>100</v>
      </c>
      <c r="T19" s="704" t="s">
        <v>14</v>
      </c>
      <c r="U19" s="705">
        <f>H19</f>
        <v>100</v>
      </c>
      <c r="V19" s="704" t="s">
        <v>14</v>
      </c>
      <c r="W19" s="705">
        <f>J19</f>
        <v>100</v>
      </c>
      <c r="X19" s="1354"/>
      <c r="Y19" s="3675"/>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75"/>
      <c r="Q20" s="1351"/>
      <c r="R20" s="704"/>
      <c r="S20" s="705"/>
      <c r="T20" s="704"/>
      <c r="U20" s="705"/>
      <c r="V20" s="704"/>
      <c r="W20" s="705"/>
      <c r="X20" s="1354"/>
      <c r="Y20" s="3675"/>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75"/>
      <c r="Q21" s="1351" t="str">
        <f>B21</f>
        <v>交通便捷度</v>
      </c>
      <c r="R21" s="704" t="s">
        <v>14</v>
      </c>
      <c r="S21" s="705">
        <f>F21</f>
        <v>100</v>
      </c>
      <c r="T21" s="704" t="s">
        <v>14</v>
      </c>
      <c r="U21" s="705">
        <f>H21</f>
        <v>100</v>
      </c>
      <c r="V21" s="704" t="s">
        <v>14</v>
      </c>
      <c r="W21" s="705">
        <f>J21</f>
        <v>100</v>
      </c>
      <c r="X21" s="1354"/>
      <c r="Y21" s="3675"/>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75"/>
      <c r="Q22" s="1351"/>
      <c r="R22" s="704"/>
      <c r="S22" s="705"/>
      <c r="T22" s="704"/>
      <c r="U22" s="705"/>
      <c r="V22" s="704"/>
      <c r="W22" s="705"/>
      <c r="X22" s="1354"/>
      <c r="Y22" s="3675"/>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75"/>
      <c r="Q23" s="1351" t="str">
        <f t="shared" ref="Q23:Q37" si="8">B23</f>
        <v>区域土地利用方向</v>
      </c>
      <c r="R23" s="704" t="s">
        <v>14</v>
      </c>
      <c r="S23" s="705">
        <f>F23</f>
        <v>100</v>
      </c>
      <c r="T23" s="704" t="s">
        <v>14</v>
      </c>
      <c r="U23" s="705">
        <f>H23</f>
        <v>100</v>
      </c>
      <c r="V23" s="704" t="s">
        <v>14</v>
      </c>
      <c r="W23" s="705">
        <f>J23</f>
        <v>100</v>
      </c>
      <c r="X23" s="1354"/>
      <c r="Y23" s="3675"/>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75"/>
      <c r="Q24" s="1351"/>
      <c r="R24" s="704"/>
      <c r="S24" s="705"/>
      <c r="T24" s="704"/>
      <c r="U24" s="705"/>
      <c r="V24" s="704"/>
      <c r="W24" s="705"/>
      <c r="X24" s="1354"/>
      <c r="Y24" s="3675"/>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75"/>
      <c r="Q25" s="1351" t="str">
        <f t="shared" si="8"/>
        <v>自然及人文环境状况</v>
      </c>
      <c r="R25" s="704" t="s">
        <v>14</v>
      </c>
      <c r="S25" s="705">
        <f>F25</f>
        <v>100</v>
      </c>
      <c r="T25" s="704" t="s">
        <v>14</v>
      </c>
      <c r="U25" s="705">
        <f>H25</f>
        <v>100</v>
      </c>
      <c r="V25" s="704" t="s">
        <v>14</v>
      </c>
      <c r="W25" s="705">
        <f>J25</f>
        <v>100</v>
      </c>
      <c r="X25" s="1354"/>
      <c r="Y25" s="3675"/>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75"/>
      <c r="Q26" s="1351"/>
      <c r="R26" s="704"/>
      <c r="S26" s="705"/>
      <c r="T26" s="704"/>
      <c r="U26" s="705"/>
      <c r="V26" s="704"/>
      <c r="W26" s="705"/>
      <c r="X26" s="1354"/>
      <c r="Y26" s="3675"/>
      <c r="Z26" s="1355"/>
      <c r="AA26" s="1352">
        <v>1</v>
      </c>
      <c r="AB26" s="1352">
        <v>1</v>
      </c>
      <c r="AC26" s="1352">
        <v>1</v>
      </c>
    </row>
    <row r="27" spans="1:29" s="108" customFormat="1" ht="15">
      <c r="A27" s="596"/>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75"/>
      <c r="Q27" s="1342" t="str">
        <f t="shared" si="8"/>
        <v>公共配套设施</v>
      </c>
      <c r="R27" s="700" t="s">
        <v>14</v>
      </c>
      <c r="S27" s="701">
        <f>F27</f>
        <v>100</v>
      </c>
      <c r="T27" s="700" t="s">
        <v>14</v>
      </c>
      <c r="U27" s="701">
        <f>H27</f>
        <v>100</v>
      </c>
      <c r="V27" s="700" t="s">
        <v>14</v>
      </c>
      <c r="W27" s="701">
        <f>J27</f>
        <v>100</v>
      </c>
      <c r="X27" s="702"/>
      <c r="Y27" s="3675"/>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75"/>
      <c r="Q28" s="1342"/>
      <c r="R28" s="700"/>
      <c r="S28" s="701"/>
      <c r="T28" s="700"/>
      <c r="U28" s="701"/>
      <c r="V28" s="700"/>
      <c r="W28" s="701"/>
      <c r="X28" s="702"/>
      <c r="Y28" s="3675"/>
      <c r="Z28" s="52"/>
      <c r="AA28" s="1352">
        <v>1</v>
      </c>
      <c r="AB28" s="1352">
        <v>1</v>
      </c>
      <c r="AC28" s="1352">
        <v>1</v>
      </c>
    </row>
    <row r="29" spans="1:29" s="108" customFormat="1" ht="15">
      <c r="A29" s="596"/>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75"/>
      <c r="Q29" s="1342" t="str">
        <f t="shared" ref="Q29" si="9">B29</f>
        <v>基础设施水平</v>
      </c>
      <c r="R29" s="700" t="s">
        <v>14</v>
      </c>
      <c r="S29" s="701">
        <f>F29</f>
        <v>100</v>
      </c>
      <c r="T29" s="700" t="s">
        <v>14</v>
      </c>
      <c r="U29" s="701">
        <f>H29</f>
        <v>100</v>
      </c>
      <c r="V29" s="700" t="s">
        <v>14</v>
      </c>
      <c r="W29" s="701">
        <f>J29</f>
        <v>100</v>
      </c>
      <c r="X29" s="702"/>
      <c r="Y29" s="3675"/>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75"/>
      <c r="Q30" s="1342"/>
      <c r="R30" s="700"/>
      <c r="S30" s="701"/>
      <c r="T30" s="700"/>
      <c r="U30" s="701"/>
      <c r="V30" s="700"/>
      <c r="W30" s="701"/>
      <c r="X30" s="702"/>
      <c r="Y30" s="3675"/>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7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75"/>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75"/>
      <c r="Q32" s="1351" t="str">
        <f t="shared" si="8"/>
        <v>毗邻道路的类型与等级</v>
      </c>
      <c r="R32" s="704" t="s">
        <v>14</v>
      </c>
      <c r="S32" s="705">
        <f t="shared" si="10"/>
        <v>100</v>
      </c>
      <c r="T32" s="704" t="s">
        <v>14</v>
      </c>
      <c r="U32" s="705">
        <f t="shared" si="11"/>
        <v>100</v>
      </c>
      <c r="V32" s="704" t="s">
        <v>14</v>
      </c>
      <c r="W32" s="705">
        <f t="shared" si="12"/>
        <v>100</v>
      </c>
      <c r="X32" s="1354"/>
      <c r="Y32" s="367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75"/>
      <c r="Q33" s="1351"/>
      <c r="R33" s="704"/>
      <c r="S33" s="705"/>
      <c r="T33" s="704"/>
      <c r="U33" s="705"/>
      <c r="V33" s="704"/>
      <c r="W33" s="705"/>
      <c r="X33" s="1354"/>
      <c r="Y33" s="3675"/>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75"/>
      <c r="Q34" s="1351" t="str">
        <f t="shared" si="8"/>
        <v>土地级别</v>
      </c>
      <c r="R34" s="704" t="s">
        <v>14</v>
      </c>
      <c r="S34" s="705">
        <f t="shared" si="10"/>
        <v>100</v>
      </c>
      <c r="T34" s="704" t="s">
        <v>14</v>
      </c>
      <c r="U34" s="705">
        <f t="shared" si="11"/>
        <v>100</v>
      </c>
      <c r="V34" s="704" t="s">
        <v>14</v>
      </c>
      <c r="W34" s="705">
        <f t="shared" si="12"/>
        <v>100</v>
      </c>
      <c r="X34" s="1354"/>
      <c r="Y34" s="3675"/>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75"/>
      <c r="Q35" s="1351">
        <f t="shared" si="8"/>
        <v>111</v>
      </c>
      <c r="R35" s="704" t="s">
        <v>14</v>
      </c>
      <c r="S35" s="705">
        <f t="shared" si="10"/>
        <v>100</v>
      </c>
      <c r="T35" s="704" t="s">
        <v>14</v>
      </c>
      <c r="U35" s="705">
        <f t="shared" si="11"/>
        <v>100</v>
      </c>
      <c r="V35" s="704" t="s">
        <v>14</v>
      </c>
      <c r="W35" s="705">
        <f t="shared" si="12"/>
        <v>100</v>
      </c>
      <c r="X35" s="1354"/>
      <c r="Y35" s="3675"/>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51" t="s">
        <v>1696</v>
      </c>
      <c r="Q36" s="1351">
        <f t="shared" si="8"/>
        <v>111</v>
      </c>
      <c r="R36" s="704" t="s">
        <v>14</v>
      </c>
      <c r="S36" s="705">
        <f t="shared" si="10"/>
        <v>100</v>
      </c>
      <c r="T36" s="704" t="s">
        <v>14</v>
      </c>
      <c r="U36" s="705">
        <f t="shared" si="11"/>
        <v>100</v>
      </c>
      <c r="V36" s="704" t="s">
        <v>14</v>
      </c>
      <c r="W36" s="705">
        <f t="shared" si="12"/>
        <v>100</v>
      </c>
      <c r="X36" s="1354"/>
      <c r="Y36" s="3679"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79"/>
      <c r="Q37" s="1351">
        <f t="shared" si="8"/>
        <v>111</v>
      </c>
      <c r="R37" s="707" t="s">
        <v>14</v>
      </c>
      <c r="S37" s="708">
        <f t="shared" si="10"/>
        <v>100</v>
      </c>
      <c r="T37" s="707" t="s">
        <v>14</v>
      </c>
      <c r="U37" s="708">
        <f t="shared" si="11"/>
        <v>100</v>
      </c>
      <c r="V37" s="707" t="s">
        <v>14</v>
      </c>
      <c r="W37" s="708">
        <f t="shared" si="12"/>
        <v>100</v>
      </c>
      <c r="X37" s="709"/>
      <c r="Y37" s="3679"/>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79"/>
      <c r="Q38" s="1351" t="str">
        <f>B38</f>
        <v>宗地面积</v>
      </c>
      <c r="R38" s="704" t="s">
        <v>14</v>
      </c>
      <c r="S38" s="705" t="e">
        <f t="shared" si="10"/>
        <v>#N/A</v>
      </c>
      <c r="T38" s="704" t="s">
        <v>14</v>
      </c>
      <c r="U38" s="705" t="e">
        <f t="shared" si="11"/>
        <v>#N/A</v>
      </c>
      <c r="V38" s="704" t="s">
        <v>14</v>
      </c>
      <c r="W38" s="705" t="e">
        <f t="shared" si="12"/>
        <v>#N/A</v>
      </c>
      <c r="X38" s="1354"/>
      <c r="Y38" s="3679"/>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79"/>
      <c r="Q39" s="1351" t="str">
        <f t="shared" ref="Q39:Q45" si="14">B39</f>
        <v>宗地形状</v>
      </c>
      <c r="R39" s="704" t="s">
        <v>14</v>
      </c>
      <c r="S39" s="705">
        <f t="shared" si="10"/>
        <v>100</v>
      </c>
      <c r="T39" s="704" t="s">
        <v>14</v>
      </c>
      <c r="U39" s="705">
        <f t="shared" si="11"/>
        <v>100</v>
      </c>
      <c r="V39" s="704" t="s">
        <v>14</v>
      </c>
      <c r="W39" s="705">
        <f t="shared" si="12"/>
        <v>100</v>
      </c>
      <c r="X39" s="1354"/>
      <c r="Y39" s="3679"/>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79"/>
      <c r="Q40" s="1351" t="str">
        <f t="shared" si="14"/>
        <v>临街宽度及深度</v>
      </c>
      <c r="R40" s="704" t="s">
        <v>14</v>
      </c>
      <c r="S40" s="705">
        <f t="shared" si="10"/>
        <v>100</v>
      </c>
      <c r="T40" s="704" t="s">
        <v>14</v>
      </c>
      <c r="U40" s="705">
        <f t="shared" si="11"/>
        <v>100</v>
      </c>
      <c r="V40" s="704" t="s">
        <v>14</v>
      </c>
      <c r="W40" s="705">
        <f t="shared" si="12"/>
        <v>100</v>
      </c>
      <c r="X40" s="1354"/>
      <c r="Y40" s="3679"/>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79"/>
      <c r="Q41" s="1351" t="str">
        <f t="shared" si="14"/>
        <v>宗地开发程度</v>
      </c>
      <c r="R41" s="700" t="s">
        <v>14</v>
      </c>
      <c r="S41" s="701">
        <f t="shared" si="10"/>
        <v>100</v>
      </c>
      <c r="T41" s="700" t="s">
        <v>14</v>
      </c>
      <c r="U41" s="701">
        <f t="shared" si="11"/>
        <v>100</v>
      </c>
      <c r="V41" s="700" t="s">
        <v>14</v>
      </c>
      <c r="W41" s="701">
        <f t="shared" si="12"/>
        <v>100</v>
      </c>
      <c r="X41" s="702"/>
      <c r="Y41" s="3679"/>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79" t="s">
        <v>1696</v>
      </c>
      <c r="Q42" s="1351" t="str">
        <f t="shared" si="14"/>
        <v>工程地质条件</v>
      </c>
      <c r="R42" s="704" t="s">
        <v>14</v>
      </c>
      <c r="S42" s="705">
        <f t="shared" si="10"/>
        <v>100</v>
      </c>
      <c r="T42" s="704" t="s">
        <v>14</v>
      </c>
      <c r="U42" s="705">
        <f t="shared" si="11"/>
        <v>100</v>
      </c>
      <c r="V42" s="704" t="s">
        <v>14</v>
      </c>
      <c r="W42" s="705">
        <f t="shared" si="12"/>
        <v>100</v>
      </c>
      <c r="X42" s="1354"/>
      <c r="Y42" s="3679"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79"/>
      <c r="Q43" s="1351">
        <f t="shared" si="14"/>
        <v>111</v>
      </c>
      <c r="R43" s="704" t="s">
        <v>14</v>
      </c>
      <c r="S43" s="705">
        <f t="shared" si="10"/>
        <v>100</v>
      </c>
      <c r="T43" s="704" t="s">
        <v>14</v>
      </c>
      <c r="U43" s="705">
        <f t="shared" si="11"/>
        <v>100</v>
      </c>
      <c r="V43" s="704" t="s">
        <v>14</v>
      </c>
      <c r="W43" s="705">
        <f t="shared" si="12"/>
        <v>100</v>
      </c>
      <c r="X43" s="1354"/>
      <c r="Y43" s="3679"/>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79"/>
      <c r="Q44" s="1351">
        <f t="shared" si="14"/>
        <v>111</v>
      </c>
      <c r="R44" s="704" t="s">
        <v>14</v>
      </c>
      <c r="S44" s="705">
        <f t="shared" si="10"/>
        <v>100</v>
      </c>
      <c r="T44" s="704" t="s">
        <v>14</v>
      </c>
      <c r="U44" s="705">
        <f t="shared" si="11"/>
        <v>100</v>
      </c>
      <c r="V44" s="704" t="s">
        <v>14</v>
      </c>
      <c r="W44" s="705">
        <f t="shared" si="12"/>
        <v>100</v>
      </c>
      <c r="X44" s="1354"/>
      <c r="Y44" s="3679"/>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79"/>
      <c r="Q45" s="1351">
        <f t="shared" si="14"/>
        <v>111</v>
      </c>
      <c r="R45" s="707" t="s">
        <v>14</v>
      </c>
      <c r="S45" s="708">
        <f t="shared" si="10"/>
        <v>100</v>
      </c>
      <c r="T45" s="707" t="s">
        <v>14</v>
      </c>
      <c r="U45" s="708">
        <f t="shared" si="11"/>
        <v>100</v>
      </c>
      <c r="V45" s="707" t="s">
        <v>14</v>
      </c>
      <c r="W45" s="708">
        <f t="shared" si="12"/>
        <v>100</v>
      </c>
      <c r="X45" s="709"/>
      <c r="Y45" s="3679"/>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67" t="str">
        <f>A46</f>
        <v>成交单价</v>
      </c>
      <c r="Q46" s="3667"/>
      <c r="R46" s="3681">
        <f>E46</f>
        <v>0</v>
      </c>
      <c r="S46" s="3681"/>
      <c r="T46" s="3681">
        <f>G46</f>
        <v>0</v>
      </c>
      <c r="U46" s="3681"/>
      <c r="V46" s="3681">
        <f>I46</f>
        <v>0</v>
      </c>
      <c r="W46" s="3681"/>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667" t="str">
        <f>A47</f>
        <v>比较价值（元/平方米）</v>
      </c>
      <c r="Q47" s="3667"/>
      <c r="R47" s="3753" t="e">
        <f>ROUND(PRODUCT(R46,AA7:AA45),0)</f>
        <v>#DIV/0!</v>
      </c>
      <c r="S47" s="3753"/>
      <c r="T47" s="3753" t="e">
        <f>ROUND(PRODUCT(T46,AB7:AB45),0)</f>
        <v>#DIV/0!</v>
      </c>
      <c r="U47" s="3753"/>
      <c r="V47" s="3753" t="e">
        <f>ROUND(PRODUCT(V46,AC7:AC45),0)</f>
        <v>#DIV/0!</v>
      </c>
      <c r="W47" s="3753"/>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69" t="str">
        <f>A48</f>
        <v>估价对象XX用房的比较价值（楼面单价，元/平方米）</v>
      </c>
      <c r="Q48" s="3670"/>
      <c r="R48" s="3754" t="e">
        <f>ROUND(IF(D47="简单平均",AVERAGE(R47:W47),R47*F47+T47*H47+V47*J47),0)</f>
        <v>#DIV/0!</v>
      </c>
      <c r="S48" s="3754"/>
      <c r="T48" s="3754"/>
      <c r="U48" s="3754"/>
      <c r="V48" s="3754"/>
      <c r="W48" s="3754"/>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86" t="s">
        <v>1887</v>
      </c>
      <c r="H55" s="3755"/>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617</v>
      </c>
      <c r="F56" s="885" t="e">
        <f t="shared" ref="F56:F64" si="15">ROUND(B56*E56/10000,0)</f>
        <v>#DIV/0!</v>
      </c>
      <c r="G56" s="3682"/>
      <c r="H56" s="3667"/>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617</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2025-4-1</v>
      </c>
      <c r="D67" s="691">
        <f>EDATE(C67,-3)</f>
        <v>45658</v>
      </c>
      <c r="E67" s="691">
        <f>EDATE(D67,-3)</f>
        <v>45566</v>
      </c>
      <c r="F67" s="691">
        <f t="shared" ref="F67:O67" si="18">EDATE(E67,-3)</f>
        <v>45474</v>
      </c>
      <c r="G67" s="691">
        <f t="shared" si="18"/>
        <v>45383</v>
      </c>
      <c r="H67" s="691">
        <f t="shared" si="18"/>
        <v>45292</v>
      </c>
      <c r="I67" s="691">
        <f t="shared" si="18"/>
        <v>45200</v>
      </c>
      <c r="J67" s="691">
        <f t="shared" si="18"/>
        <v>45108</v>
      </c>
      <c r="K67" s="691">
        <f t="shared" si="18"/>
        <v>45017</v>
      </c>
      <c r="L67" s="691">
        <f t="shared" si="18"/>
        <v>44927</v>
      </c>
      <c r="M67" s="691">
        <f t="shared" si="18"/>
        <v>44835</v>
      </c>
      <c r="N67" s="691">
        <f t="shared" si="18"/>
        <v>44743</v>
      </c>
      <c r="O67" s="691">
        <f t="shared" si="18"/>
        <v>44652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2025-2</v>
      </c>
      <c r="D69" s="1181" t="str">
        <f>YEAR(D67)&amp;"-"&amp;ROUNDUP(MONTH(D67)/3,0)</f>
        <v>2025-1</v>
      </c>
      <c r="E69" s="1181" t="str">
        <f t="shared" ref="E69:O69" si="19">YEAR(E67)&amp;"-"&amp;ROUNDUP(MONTH(E67)/3,0)</f>
        <v>2024-4</v>
      </c>
      <c r="F69" s="1181" t="str">
        <f t="shared" si="19"/>
        <v>2024-3</v>
      </c>
      <c r="G69" s="1181" t="str">
        <f t="shared" si="19"/>
        <v>2024-2</v>
      </c>
      <c r="H69" s="1181" t="str">
        <f t="shared" si="19"/>
        <v>2024-1</v>
      </c>
      <c r="I69" s="1181" t="str">
        <f t="shared" si="19"/>
        <v>2023-4</v>
      </c>
      <c r="J69" s="1181" t="str">
        <f t="shared" si="19"/>
        <v>2023-3</v>
      </c>
      <c r="K69" s="1181" t="str">
        <f t="shared" si="19"/>
        <v>2023-2</v>
      </c>
      <c r="L69" s="1181" t="str">
        <f t="shared" si="19"/>
        <v>2023-1</v>
      </c>
      <c r="M69" s="1181" t="str">
        <f t="shared" si="19"/>
        <v>2022-4</v>
      </c>
      <c r="N69" s="1181" t="str">
        <f t="shared" si="19"/>
        <v>2022-3</v>
      </c>
      <c r="O69" s="1181" t="str">
        <f t="shared" si="19"/>
        <v>2022-2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6" t="s">
        <v>1770</v>
      </c>
      <c r="D4" s="3687"/>
      <c r="E4" s="3688" t="s">
        <v>1771</v>
      </c>
      <c r="F4" s="3689"/>
      <c r="G4" s="3686" t="s">
        <v>1772</v>
      </c>
      <c r="H4" s="3687"/>
      <c r="I4" s="3686" t="s">
        <v>1773</v>
      </c>
      <c r="J4" s="3687"/>
      <c r="K4" s="559" t="s">
        <v>1774</v>
      </c>
      <c r="L4" s="2714"/>
      <c r="M4" s="2715"/>
      <c r="N4" s="2715"/>
      <c r="O4" s="2715"/>
      <c r="P4" s="3690" t="s">
        <v>1775</v>
      </c>
      <c r="Q4" s="3691"/>
      <c r="R4" s="3696" t="s">
        <v>1771</v>
      </c>
      <c r="S4" s="3697"/>
      <c r="T4" s="3696" t="s">
        <v>1772</v>
      </c>
      <c r="U4" s="3697"/>
      <c r="V4" s="3681" t="s">
        <v>1773</v>
      </c>
      <c r="W4" s="3681"/>
      <c r="X4" s="1354"/>
      <c r="Y4" s="3696" t="s">
        <v>1775</v>
      </c>
      <c r="Z4" s="3697"/>
      <c r="AA4" s="3683" t="s">
        <v>1771</v>
      </c>
      <c r="AB4" s="3684" t="s">
        <v>1772</v>
      </c>
      <c r="AC4" s="3683" t="s">
        <v>1773</v>
      </c>
    </row>
    <row r="5" spans="1:29" ht="15">
      <c r="A5" s="358"/>
      <c r="B5" s="359"/>
      <c r="C5" s="3709" t="s">
        <v>1673</v>
      </c>
      <c r="D5" s="3710"/>
      <c r="E5" s="3735" t="s">
        <v>1674</v>
      </c>
      <c r="F5" s="3705"/>
      <c r="G5" s="3709" t="s">
        <v>1675</v>
      </c>
      <c r="H5" s="3710"/>
      <c r="I5" s="3709" t="s">
        <v>1676</v>
      </c>
      <c r="J5" s="3710"/>
      <c r="K5" s="559"/>
      <c r="L5" s="2714"/>
      <c r="M5" s="2715"/>
      <c r="N5" s="2715"/>
      <c r="O5" s="2715"/>
      <c r="P5" s="3692"/>
      <c r="Q5" s="3693"/>
      <c r="R5" s="3698"/>
      <c r="S5" s="3699"/>
      <c r="T5" s="3698"/>
      <c r="U5" s="3699"/>
      <c r="V5" s="3681"/>
      <c r="W5" s="3681"/>
      <c r="X5" s="1354"/>
      <c r="Y5" s="3698"/>
      <c r="Z5" s="3699"/>
      <c r="AA5" s="3684"/>
      <c r="AB5" s="3684"/>
      <c r="AC5" s="3684"/>
    </row>
    <row r="6" spans="1:29" ht="15.75" thickBot="1">
      <c r="A6" s="360"/>
      <c r="B6" s="361"/>
      <c r="C6" s="3756" t="s">
        <v>1919</v>
      </c>
      <c r="D6" s="3757"/>
      <c r="E6" s="3758" t="s">
        <v>1919</v>
      </c>
      <c r="F6" s="3759"/>
      <c r="G6" s="3756" t="s">
        <v>1919</v>
      </c>
      <c r="H6" s="3757"/>
      <c r="I6" s="3756" t="s">
        <v>1919</v>
      </c>
      <c r="J6" s="3757"/>
      <c r="K6" s="559" t="s">
        <v>1678</v>
      </c>
      <c r="L6" s="2714"/>
      <c r="M6" s="2715"/>
      <c r="N6" s="2715"/>
      <c r="O6" s="2715"/>
      <c r="P6" s="3694"/>
      <c r="Q6" s="3695"/>
      <c r="R6" s="3698"/>
      <c r="S6" s="3699"/>
      <c r="T6" s="3700"/>
      <c r="U6" s="3701"/>
      <c r="V6" s="3681"/>
      <c r="W6" s="3681"/>
      <c r="X6" s="1354"/>
      <c r="Y6" s="3700"/>
      <c r="Z6" s="3701"/>
      <c r="AA6" s="3685"/>
      <c r="AB6" s="3685"/>
      <c r="AC6" s="3685"/>
    </row>
    <row r="7" spans="1:29" s="108" customFormat="1" ht="15.75" thickBot="1">
      <c r="A7" s="362" t="s">
        <v>1679</v>
      </c>
      <c r="B7" s="363"/>
      <c r="C7" s="364">
        <f>'数据-取费表'!B2</f>
        <v>45765</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06" t="s">
        <v>1680</v>
      </c>
      <c r="Q7" s="3708"/>
      <c r="R7" s="700" t="s">
        <v>14</v>
      </c>
      <c r="S7" s="701">
        <f t="shared" ref="S7:S15" si="0">F7</f>
        <v>0</v>
      </c>
      <c r="T7" s="700" t="s">
        <v>14</v>
      </c>
      <c r="U7" s="701">
        <f t="shared" ref="U7:U15" si="1">H7</f>
        <v>0</v>
      </c>
      <c r="V7" s="700" t="s">
        <v>14</v>
      </c>
      <c r="W7" s="701">
        <f t="shared" ref="W7:W15" si="2">J7</f>
        <v>0</v>
      </c>
      <c r="X7" s="702"/>
      <c r="Y7" s="3706" t="s">
        <v>1680</v>
      </c>
      <c r="Z7" s="3707"/>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6" t="s">
        <v>1683</v>
      </c>
      <c r="Q8" s="3707"/>
      <c r="R8" s="700" t="s">
        <v>14</v>
      </c>
      <c r="S8" s="701">
        <f t="shared" si="0"/>
        <v>0</v>
      </c>
      <c r="T8" s="700" t="s">
        <v>14</v>
      </c>
      <c r="U8" s="701">
        <f t="shared" si="1"/>
        <v>0</v>
      </c>
      <c r="V8" s="700" t="s">
        <v>14</v>
      </c>
      <c r="W8" s="701">
        <f t="shared" si="2"/>
        <v>0</v>
      </c>
      <c r="X8" s="702"/>
      <c r="Y8" s="3706" t="s">
        <v>1683</v>
      </c>
      <c r="Z8" s="3707"/>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67" t="s">
        <v>1686</v>
      </c>
      <c r="Q9" s="1342" t="str">
        <f t="shared" ref="Q9:Q15" si="6">B9</f>
        <v>用途</v>
      </c>
      <c r="R9" s="700" t="s">
        <v>14</v>
      </c>
      <c r="S9" s="701">
        <f t="shared" si="0"/>
        <v>100</v>
      </c>
      <c r="T9" s="700" t="s">
        <v>14</v>
      </c>
      <c r="U9" s="701">
        <f t="shared" si="1"/>
        <v>100</v>
      </c>
      <c r="V9" s="700" t="s">
        <v>14</v>
      </c>
      <c r="W9" s="701">
        <f t="shared" si="2"/>
        <v>100</v>
      </c>
      <c r="X9" s="702"/>
      <c r="Y9" s="3566"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152</v>
      </c>
      <c r="G10" s="383"/>
      <c r="H10" s="127">
        <f>ROUND(100/'数据-取费表'!G16,0)</f>
        <v>152</v>
      </c>
      <c r="I10" s="383"/>
      <c r="J10" s="127">
        <f>ROUND(100/'数据-取费表'!G16,0)</f>
        <v>152</v>
      </c>
      <c r="K10" s="619"/>
      <c r="L10" s="2718"/>
      <c r="M10" s="2719"/>
      <c r="N10" s="2719"/>
      <c r="O10" s="2772"/>
      <c r="P10" s="3667"/>
      <c r="Q10" s="1342" t="str">
        <f t="shared" si="6"/>
        <v>土地使用年限（年）</v>
      </c>
      <c r="R10" s="700" t="s">
        <v>14</v>
      </c>
      <c r="S10" s="701">
        <f t="shared" si="0"/>
        <v>152</v>
      </c>
      <c r="T10" s="700" t="s">
        <v>14</v>
      </c>
      <c r="U10" s="701">
        <f t="shared" si="1"/>
        <v>152</v>
      </c>
      <c r="V10" s="700" t="s">
        <v>14</v>
      </c>
      <c r="W10" s="701">
        <f t="shared" si="2"/>
        <v>152</v>
      </c>
      <c r="X10" s="702"/>
      <c r="Y10" s="3566"/>
      <c r="Z10" s="52" t="str">
        <f t="shared" si="7"/>
        <v>土地使用年限（年）</v>
      </c>
      <c r="AA10" s="703">
        <f t="shared" si="3"/>
        <v>0.65789473684210531</v>
      </c>
      <c r="AB10" s="703">
        <f t="shared" si="4"/>
        <v>0.65789473684210531</v>
      </c>
      <c r="AC10" s="703">
        <f t="shared" si="5"/>
        <v>0.65789473684210531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67"/>
      <c r="Q11" s="1342" t="str">
        <f t="shared" si="6"/>
        <v>容积率</v>
      </c>
      <c r="R11" s="700" t="s">
        <v>14</v>
      </c>
      <c r="S11" s="701" t="e">
        <f t="shared" si="0"/>
        <v>#N/A</v>
      </c>
      <c r="T11" s="700" t="s">
        <v>14</v>
      </c>
      <c r="U11" s="701" t="e">
        <f t="shared" si="1"/>
        <v>#N/A</v>
      </c>
      <c r="V11" s="700" t="s">
        <v>14</v>
      </c>
      <c r="W11" s="701" t="e">
        <f t="shared" si="2"/>
        <v>#N/A</v>
      </c>
      <c r="X11" s="702"/>
      <c r="Y11" s="3566"/>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67"/>
      <c r="Q12" s="1342">
        <f t="shared" si="6"/>
        <v>111</v>
      </c>
      <c r="R12" s="700" t="s">
        <v>14</v>
      </c>
      <c r="S12" s="701">
        <f t="shared" si="0"/>
        <v>100</v>
      </c>
      <c r="T12" s="700" t="s">
        <v>14</v>
      </c>
      <c r="U12" s="701">
        <f t="shared" si="1"/>
        <v>100</v>
      </c>
      <c r="V12" s="700" t="s">
        <v>14</v>
      </c>
      <c r="W12" s="701">
        <f t="shared" si="2"/>
        <v>100</v>
      </c>
      <c r="X12" s="702"/>
      <c r="Y12" s="3566"/>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67"/>
      <c r="Q13" s="1342">
        <f t="shared" si="6"/>
        <v>111</v>
      </c>
      <c r="R13" s="700" t="s">
        <v>14</v>
      </c>
      <c r="S13" s="701">
        <f t="shared" si="0"/>
        <v>100</v>
      </c>
      <c r="T13" s="700" t="s">
        <v>14</v>
      </c>
      <c r="U13" s="701">
        <f t="shared" si="1"/>
        <v>100</v>
      </c>
      <c r="V13" s="700" t="s">
        <v>14</v>
      </c>
      <c r="W13" s="701">
        <f t="shared" si="2"/>
        <v>100</v>
      </c>
      <c r="X13" s="702"/>
      <c r="Y13" s="3566"/>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67"/>
      <c r="Q14" s="1342">
        <f t="shared" si="6"/>
        <v>111</v>
      </c>
      <c r="R14" s="700" t="s">
        <v>14</v>
      </c>
      <c r="S14" s="701">
        <f t="shared" si="0"/>
        <v>100</v>
      </c>
      <c r="T14" s="700" t="s">
        <v>14</v>
      </c>
      <c r="U14" s="701">
        <f t="shared" si="1"/>
        <v>100</v>
      </c>
      <c r="V14" s="700" t="s">
        <v>14</v>
      </c>
      <c r="W14" s="701">
        <f t="shared" si="2"/>
        <v>100</v>
      </c>
      <c r="X14" s="702"/>
      <c r="Y14" s="3566"/>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74" t="s">
        <v>1691</v>
      </c>
      <c r="Q15" s="1351" t="str">
        <f t="shared" si="6"/>
        <v>产业集聚程度</v>
      </c>
      <c r="R15" s="704" t="s">
        <v>14</v>
      </c>
      <c r="S15" s="705">
        <f t="shared" si="0"/>
        <v>100</v>
      </c>
      <c r="T15" s="704" t="s">
        <v>14</v>
      </c>
      <c r="U15" s="705">
        <f t="shared" si="1"/>
        <v>100</v>
      </c>
      <c r="V15" s="704" t="s">
        <v>14</v>
      </c>
      <c r="W15" s="705">
        <f t="shared" si="2"/>
        <v>100</v>
      </c>
      <c r="X15" s="1354"/>
      <c r="Y15" s="3674"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75"/>
      <c r="Q16" s="1351"/>
      <c r="R16" s="704"/>
      <c r="S16" s="705"/>
      <c r="T16" s="704"/>
      <c r="U16" s="705"/>
      <c r="V16" s="704"/>
      <c r="W16" s="705"/>
      <c r="X16" s="1354"/>
      <c r="Y16" s="3675"/>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75"/>
      <c r="Q17" s="1351" t="str">
        <f>B17</f>
        <v>交通便捷度</v>
      </c>
      <c r="R17" s="704" t="s">
        <v>14</v>
      </c>
      <c r="S17" s="705">
        <f>F17</f>
        <v>100</v>
      </c>
      <c r="T17" s="704" t="s">
        <v>14</v>
      </c>
      <c r="U17" s="705">
        <f>H17</f>
        <v>100</v>
      </c>
      <c r="V17" s="704" t="s">
        <v>14</v>
      </c>
      <c r="W17" s="705">
        <f>J17</f>
        <v>100</v>
      </c>
      <c r="X17" s="1354"/>
      <c r="Y17" s="3675"/>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75"/>
      <c r="Q18" s="1351"/>
      <c r="R18" s="704"/>
      <c r="S18" s="705"/>
      <c r="T18" s="704"/>
      <c r="U18" s="705"/>
      <c r="V18" s="704"/>
      <c r="W18" s="705"/>
      <c r="X18" s="1354"/>
      <c r="Y18" s="3675"/>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75"/>
      <c r="Q19" s="1351" t="str">
        <f t="shared" ref="Q19:Q33" si="8">B19</f>
        <v>区域土地利用方向</v>
      </c>
      <c r="R19" s="704" t="s">
        <v>14</v>
      </c>
      <c r="S19" s="705">
        <f>F19</f>
        <v>100</v>
      </c>
      <c r="T19" s="704" t="s">
        <v>14</v>
      </c>
      <c r="U19" s="705">
        <f>H19</f>
        <v>100</v>
      </c>
      <c r="V19" s="704" t="s">
        <v>14</v>
      </c>
      <c r="W19" s="705">
        <f>J19</f>
        <v>100</v>
      </c>
      <c r="X19" s="1354"/>
      <c r="Y19" s="3675"/>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75"/>
      <c r="Q20" s="1351"/>
      <c r="R20" s="704"/>
      <c r="S20" s="705"/>
      <c r="T20" s="704"/>
      <c r="U20" s="705"/>
      <c r="V20" s="704"/>
      <c r="W20" s="705"/>
      <c r="X20" s="1354"/>
      <c r="Y20" s="3675"/>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75"/>
      <c r="Q21" s="1351" t="str">
        <f t="shared" si="8"/>
        <v>环境状况</v>
      </c>
      <c r="R21" s="704" t="s">
        <v>14</v>
      </c>
      <c r="S21" s="705">
        <f>F21</f>
        <v>100</v>
      </c>
      <c r="T21" s="704" t="s">
        <v>14</v>
      </c>
      <c r="U21" s="705">
        <f>H21</f>
        <v>100</v>
      </c>
      <c r="V21" s="704" t="s">
        <v>14</v>
      </c>
      <c r="W21" s="705">
        <f>J21</f>
        <v>100</v>
      </c>
      <c r="X21" s="1354"/>
      <c r="Y21" s="3675"/>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75"/>
      <c r="Q22" s="1351"/>
      <c r="R22" s="704"/>
      <c r="S22" s="705"/>
      <c r="T22" s="704"/>
      <c r="U22" s="705"/>
      <c r="V22" s="704"/>
      <c r="W22" s="705"/>
      <c r="X22" s="1354"/>
      <c r="Y22" s="3675"/>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75"/>
      <c r="Q23" s="1342" t="str">
        <f t="shared" si="8"/>
        <v>公共配套设施</v>
      </c>
      <c r="R23" s="700" t="s">
        <v>14</v>
      </c>
      <c r="S23" s="701">
        <f>F23</f>
        <v>100</v>
      </c>
      <c r="T23" s="700" t="s">
        <v>14</v>
      </c>
      <c r="U23" s="701">
        <f>H23</f>
        <v>100</v>
      </c>
      <c r="V23" s="700" t="s">
        <v>14</v>
      </c>
      <c r="W23" s="701">
        <f>J23</f>
        <v>100</v>
      </c>
      <c r="X23" s="702"/>
      <c r="Y23" s="3675"/>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75"/>
      <c r="Q24" s="1342"/>
      <c r="R24" s="700"/>
      <c r="S24" s="701"/>
      <c r="T24" s="700"/>
      <c r="U24" s="701"/>
      <c r="V24" s="700"/>
      <c r="W24" s="701"/>
      <c r="X24" s="702"/>
      <c r="Y24" s="3675"/>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75"/>
      <c r="Q25" s="1342" t="str">
        <f t="shared" ref="Q25" si="9">B25</f>
        <v>基础设施水平</v>
      </c>
      <c r="R25" s="700" t="s">
        <v>14</v>
      </c>
      <c r="S25" s="701">
        <f>F25</f>
        <v>100</v>
      </c>
      <c r="T25" s="700" t="s">
        <v>14</v>
      </c>
      <c r="U25" s="701">
        <f>H25</f>
        <v>100</v>
      </c>
      <c r="V25" s="700" t="s">
        <v>14</v>
      </c>
      <c r="W25" s="701">
        <f>J25</f>
        <v>100</v>
      </c>
      <c r="X25" s="702"/>
      <c r="Y25" s="3675"/>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75"/>
      <c r="Q26" s="1342"/>
      <c r="R26" s="700"/>
      <c r="S26" s="701"/>
      <c r="T26" s="700"/>
      <c r="U26" s="701"/>
      <c r="V26" s="700"/>
      <c r="W26" s="701"/>
      <c r="X26" s="702"/>
      <c r="Y26" s="3675"/>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7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75"/>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75"/>
      <c r="Q28" s="1351" t="str">
        <f t="shared" si="8"/>
        <v>毗邻道路的类型与等级</v>
      </c>
      <c r="R28" s="704" t="s">
        <v>14</v>
      </c>
      <c r="S28" s="705">
        <f t="shared" si="10"/>
        <v>100</v>
      </c>
      <c r="T28" s="704" t="s">
        <v>14</v>
      </c>
      <c r="U28" s="705">
        <f t="shared" si="11"/>
        <v>100</v>
      </c>
      <c r="V28" s="704" t="s">
        <v>14</v>
      </c>
      <c r="W28" s="705">
        <f t="shared" si="12"/>
        <v>100</v>
      </c>
      <c r="X28" s="1354"/>
      <c r="Y28" s="3675"/>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75"/>
      <c r="Q29" s="1351"/>
      <c r="R29" s="704"/>
      <c r="S29" s="705"/>
      <c r="T29" s="704"/>
      <c r="U29" s="705"/>
      <c r="V29" s="704"/>
      <c r="W29" s="705"/>
      <c r="X29" s="1354"/>
      <c r="Y29" s="3675"/>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75"/>
      <c r="Q30" s="1351" t="str">
        <f t="shared" si="8"/>
        <v>土地级别</v>
      </c>
      <c r="R30" s="704" t="s">
        <v>14</v>
      </c>
      <c r="S30" s="705">
        <f t="shared" si="10"/>
        <v>100</v>
      </c>
      <c r="T30" s="704" t="s">
        <v>14</v>
      </c>
      <c r="U30" s="705">
        <f t="shared" si="11"/>
        <v>100</v>
      </c>
      <c r="V30" s="704" t="s">
        <v>14</v>
      </c>
      <c r="W30" s="705">
        <f t="shared" si="12"/>
        <v>100</v>
      </c>
      <c r="X30" s="1354"/>
      <c r="Y30" s="3675"/>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5"/>
      <c r="Q31" s="1351">
        <f t="shared" si="8"/>
        <v>111</v>
      </c>
      <c r="R31" s="704" t="s">
        <v>14</v>
      </c>
      <c r="S31" s="705">
        <f t="shared" si="10"/>
        <v>100</v>
      </c>
      <c r="T31" s="704" t="s">
        <v>14</v>
      </c>
      <c r="U31" s="705">
        <f t="shared" si="11"/>
        <v>100</v>
      </c>
      <c r="V31" s="704" t="s">
        <v>14</v>
      </c>
      <c r="W31" s="705">
        <f t="shared" si="12"/>
        <v>100</v>
      </c>
      <c r="X31" s="1354"/>
      <c r="Y31" s="3675"/>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51" t="s">
        <v>1696</v>
      </c>
      <c r="Q32" s="1351">
        <f t="shared" si="8"/>
        <v>111</v>
      </c>
      <c r="R32" s="704" t="s">
        <v>14</v>
      </c>
      <c r="S32" s="705">
        <f t="shared" si="10"/>
        <v>100</v>
      </c>
      <c r="T32" s="704" t="s">
        <v>14</v>
      </c>
      <c r="U32" s="705">
        <f t="shared" si="11"/>
        <v>100</v>
      </c>
      <c r="V32" s="704" t="s">
        <v>14</v>
      </c>
      <c r="W32" s="705">
        <f t="shared" si="12"/>
        <v>100</v>
      </c>
      <c r="X32" s="1354"/>
      <c r="Y32" s="3679"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79"/>
      <c r="Q33" s="1351">
        <f t="shared" si="8"/>
        <v>111</v>
      </c>
      <c r="R33" s="707" t="s">
        <v>14</v>
      </c>
      <c r="S33" s="708">
        <f t="shared" si="10"/>
        <v>100</v>
      </c>
      <c r="T33" s="707" t="s">
        <v>14</v>
      </c>
      <c r="U33" s="708">
        <f t="shared" si="11"/>
        <v>100</v>
      </c>
      <c r="V33" s="707" t="s">
        <v>14</v>
      </c>
      <c r="W33" s="708">
        <f t="shared" si="12"/>
        <v>100</v>
      </c>
      <c r="X33" s="709"/>
      <c r="Y33" s="3679"/>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79"/>
      <c r="Q34" s="1351" t="str">
        <f>B34</f>
        <v>宗地面积</v>
      </c>
      <c r="R34" s="704" t="s">
        <v>14</v>
      </c>
      <c r="S34" s="705" t="e">
        <f t="shared" si="10"/>
        <v>#N/A</v>
      </c>
      <c r="T34" s="704" t="s">
        <v>14</v>
      </c>
      <c r="U34" s="705" t="e">
        <f t="shared" si="11"/>
        <v>#N/A</v>
      </c>
      <c r="V34" s="704" t="s">
        <v>14</v>
      </c>
      <c r="W34" s="705" t="e">
        <f t="shared" si="12"/>
        <v>#N/A</v>
      </c>
      <c r="X34" s="1354"/>
      <c r="Y34" s="3679"/>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79"/>
      <c r="Q35" s="1351" t="str">
        <f t="shared" ref="Q35:Q40" si="14">B35</f>
        <v>宗地形状</v>
      </c>
      <c r="R35" s="704" t="s">
        <v>14</v>
      </c>
      <c r="S35" s="705">
        <f t="shared" si="10"/>
        <v>100</v>
      </c>
      <c r="T35" s="704" t="s">
        <v>14</v>
      </c>
      <c r="U35" s="705">
        <f t="shared" si="11"/>
        <v>100</v>
      </c>
      <c r="V35" s="704" t="s">
        <v>14</v>
      </c>
      <c r="W35" s="705">
        <f t="shared" si="12"/>
        <v>100</v>
      </c>
      <c r="X35" s="1354"/>
      <c r="Y35" s="3679"/>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79"/>
      <c r="Q36" s="1351" t="str">
        <f t="shared" si="14"/>
        <v>宗地开发程度</v>
      </c>
      <c r="R36" s="700" t="s">
        <v>14</v>
      </c>
      <c r="S36" s="701">
        <f t="shared" si="10"/>
        <v>100</v>
      </c>
      <c r="T36" s="700" t="s">
        <v>14</v>
      </c>
      <c r="U36" s="701">
        <f t="shared" si="11"/>
        <v>100</v>
      </c>
      <c r="V36" s="700" t="s">
        <v>14</v>
      </c>
      <c r="W36" s="701">
        <f t="shared" si="12"/>
        <v>100</v>
      </c>
      <c r="X36" s="702"/>
      <c r="Y36" s="3679"/>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79" t="s">
        <v>1696</v>
      </c>
      <c r="Q37" s="1351" t="str">
        <f t="shared" si="14"/>
        <v>工程地质条件</v>
      </c>
      <c r="R37" s="704" t="s">
        <v>14</v>
      </c>
      <c r="S37" s="705">
        <f t="shared" si="10"/>
        <v>100</v>
      </c>
      <c r="T37" s="704" t="s">
        <v>14</v>
      </c>
      <c r="U37" s="705">
        <f t="shared" si="11"/>
        <v>100</v>
      </c>
      <c r="V37" s="704" t="s">
        <v>14</v>
      </c>
      <c r="W37" s="705">
        <f t="shared" si="12"/>
        <v>100</v>
      </c>
      <c r="X37" s="1354"/>
      <c r="Y37" s="3679"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79"/>
      <c r="Q38" s="1351">
        <f t="shared" si="14"/>
        <v>111</v>
      </c>
      <c r="R38" s="704" t="s">
        <v>14</v>
      </c>
      <c r="S38" s="705">
        <f t="shared" si="10"/>
        <v>100</v>
      </c>
      <c r="T38" s="704" t="s">
        <v>14</v>
      </c>
      <c r="U38" s="705">
        <f t="shared" si="11"/>
        <v>100</v>
      </c>
      <c r="V38" s="704" t="s">
        <v>14</v>
      </c>
      <c r="W38" s="705">
        <f t="shared" si="12"/>
        <v>100</v>
      </c>
      <c r="X38" s="1354"/>
      <c r="Y38" s="3679"/>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79"/>
      <c r="Q39" s="1351">
        <f t="shared" si="14"/>
        <v>111</v>
      </c>
      <c r="R39" s="704" t="s">
        <v>14</v>
      </c>
      <c r="S39" s="705">
        <f t="shared" si="10"/>
        <v>100</v>
      </c>
      <c r="T39" s="704" t="s">
        <v>14</v>
      </c>
      <c r="U39" s="705">
        <f t="shared" si="11"/>
        <v>100</v>
      </c>
      <c r="V39" s="704" t="s">
        <v>14</v>
      </c>
      <c r="W39" s="705">
        <f t="shared" si="12"/>
        <v>100</v>
      </c>
      <c r="X39" s="1354"/>
      <c r="Y39" s="3679"/>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79"/>
      <c r="Q40" s="1351">
        <f t="shared" si="14"/>
        <v>111</v>
      </c>
      <c r="R40" s="707" t="s">
        <v>14</v>
      </c>
      <c r="S40" s="708">
        <f t="shared" si="10"/>
        <v>100</v>
      </c>
      <c r="T40" s="707" t="s">
        <v>14</v>
      </c>
      <c r="U40" s="708">
        <f t="shared" si="11"/>
        <v>100</v>
      </c>
      <c r="V40" s="707" t="s">
        <v>14</v>
      </c>
      <c r="W40" s="708">
        <f t="shared" si="12"/>
        <v>100</v>
      </c>
      <c r="X40" s="709"/>
      <c r="Y40" s="3679"/>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67" t="str">
        <f>A41</f>
        <v>成交单价</v>
      </c>
      <c r="Q41" s="3667"/>
      <c r="R41" s="3681">
        <f>E41</f>
        <v>0</v>
      </c>
      <c r="S41" s="3681"/>
      <c r="T41" s="3681">
        <f>G41</f>
        <v>0</v>
      </c>
      <c r="U41" s="3681"/>
      <c r="V41" s="3681">
        <f>I41</f>
        <v>0</v>
      </c>
      <c r="W41" s="3681"/>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667" t="str">
        <f>A42</f>
        <v>比较价值（元/平方米）</v>
      </c>
      <c r="Q42" s="3667"/>
      <c r="R42" s="3753" t="e">
        <f>ROUND(PRODUCT(R41,AA7:AA40),0)</f>
        <v>#DIV/0!</v>
      </c>
      <c r="S42" s="3753"/>
      <c r="T42" s="3753" t="e">
        <f>ROUND(PRODUCT(T41,AB7:AB40),0)</f>
        <v>#DIV/0!</v>
      </c>
      <c r="U42" s="3753"/>
      <c r="V42" s="3753" t="e">
        <f>ROUND(PRODUCT(V41,AC7:AC40),0)</f>
        <v>#DIV/0!</v>
      </c>
      <c r="W42" s="3753"/>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69" t="str">
        <f>A43</f>
        <v>估价对象XX用房的比较价值（楼面单价，元/平方米）</v>
      </c>
      <c r="Q43" s="3670"/>
      <c r="R43" s="3754" t="e">
        <f>ROUND(IF(D42="简单平均",AVERAGE(R42:W42),R42*F42+T42*H42+V42*J42),0)</f>
        <v>#DIV/0!</v>
      </c>
      <c r="S43" s="3754"/>
      <c r="T43" s="3754"/>
      <c r="U43" s="3754"/>
      <c r="V43" s="3754"/>
      <c r="W43" s="3754"/>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86" t="s">
        <v>1887</v>
      </c>
      <c r="H50" s="3755"/>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617</v>
      </c>
      <c r="F51" s="638" t="e">
        <f t="shared" ref="F51:F60" si="15">ROUND(B51*E51/10000,0)</f>
        <v>#DIV/0!</v>
      </c>
      <c r="G51" s="3682"/>
      <c r="H51" s="3667"/>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v>
      </c>
      <c r="D59" s="944">
        <v>0.25</v>
      </c>
      <c r="E59" s="217">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2025-4-1</v>
      </c>
      <c r="D63" s="691">
        <f>EDATE(C63,-3)</f>
        <v>45658</v>
      </c>
      <c r="E63" s="691">
        <f>EDATE(D63,-3)</f>
        <v>45566</v>
      </c>
      <c r="F63" s="691">
        <f t="shared" ref="F63:O63" si="18">EDATE(E63,-3)</f>
        <v>45474</v>
      </c>
      <c r="G63" s="691">
        <f t="shared" si="18"/>
        <v>45383</v>
      </c>
      <c r="H63" s="691">
        <f t="shared" si="18"/>
        <v>45292</v>
      </c>
      <c r="I63" s="691">
        <f t="shared" si="18"/>
        <v>45200</v>
      </c>
      <c r="J63" s="691">
        <f t="shared" si="18"/>
        <v>45108</v>
      </c>
      <c r="K63" s="691">
        <f t="shared" si="18"/>
        <v>45017</v>
      </c>
      <c r="L63" s="691">
        <f t="shared" si="18"/>
        <v>44927</v>
      </c>
      <c r="M63" s="691">
        <f t="shared" si="18"/>
        <v>44835</v>
      </c>
      <c r="N63" s="691">
        <f t="shared" si="18"/>
        <v>44743</v>
      </c>
      <c r="O63" s="691">
        <f t="shared" si="18"/>
        <v>44652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2025-2</v>
      </c>
      <c r="D65" s="1181" t="str">
        <f t="shared" ref="D65:O65" si="19">YEAR(D63)&amp;"-"&amp;ROUNDUP(MONTH(D63)/3,0)</f>
        <v>2025-1</v>
      </c>
      <c r="E65" s="1181" t="str">
        <f t="shared" si="19"/>
        <v>2024-4</v>
      </c>
      <c r="F65" s="1181" t="str">
        <f t="shared" si="19"/>
        <v>2024-3</v>
      </c>
      <c r="G65" s="1181" t="str">
        <f t="shared" si="19"/>
        <v>2024-2</v>
      </c>
      <c r="H65" s="1181" t="str">
        <f t="shared" si="19"/>
        <v>2024-1</v>
      </c>
      <c r="I65" s="1181" t="str">
        <f t="shared" si="19"/>
        <v>2023-4</v>
      </c>
      <c r="J65" s="1181" t="str">
        <f t="shared" si="19"/>
        <v>2023-3</v>
      </c>
      <c r="K65" s="1181" t="str">
        <f t="shared" si="19"/>
        <v>2023-2</v>
      </c>
      <c r="L65" s="1181" t="str">
        <f t="shared" si="19"/>
        <v>2023-1</v>
      </c>
      <c r="M65" s="1181" t="str">
        <f t="shared" si="19"/>
        <v>2022-4</v>
      </c>
      <c r="N65" s="1181" t="str">
        <f t="shared" si="19"/>
        <v>2022-3</v>
      </c>
      <c r="O65" s="1181" t="str">
        <f t="shared" si="19"/>
        <v>2022-2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63" t="s">
        <v>2084</v>
      </c>
      <c r="D1" s="3764"/>
      <c r="E1" s="3764"/>
      <c r="F1" s="3764"/>
      <c r="G1" s="3764"/>
      <c r="H1" s="3764"/>
      <c r="I1" s="3764"/>
      <c r="J1" s="3764"/>
      <c r="K1" s="3764"/>
      <c r="L1" s="3764"/>
      <c r="M1" s="3764"/>
      <c r="N1" s="3764"/>
      <c r="O1" s="3764"/>
      <c r="P1" s="3764"/>
      <c r="Q1" s="3764"/>
      <c r="R1" s="3764"/>
      <c r="S1" s="3765"/>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60" t="s">
        <v>27</v>
      </c>
      <c r="D22" s="3761"/>
      <c r="E22" s="3761"/>
      <c r="F22" s="3761"/>
      <c r="G22" s="3761"/>
      <c r="H22" s="3761"/>
      <c r="I22" s="3761"/>
      <c r="J22" s="3761"/>
      <c r="K22" s="3761"/>
      <c r="L22" s="3761"/>
      <c r="M22" s="3761"/>
      <c r="N22" s="3761"/>
      <c r="O22" s="3761"/>
      <c r="P22" s="3761"/>
      <c r="Q22" s="3762"/>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3" sqref="H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73"/>
      <c r="B4" s="3774"/>
      <c r="C4" s="3774"/>
      <c r="D4" s="3775"/>
      <c r="E4" s="3775"/>
      <c r="F4" s="3775"/>
      <c r="G4" s="3775"/>
      <c r="H4" s="3775"/>
      <c r="I4" s="3775"/>
      <c r="J4" s="3776"/>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70" t="s">
        <v>1960</v>
      </c>
      <c r="X8" s="3771"/>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72"/>
      <c r="X9" s="3361" t="s">
        <v>3264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7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t="e">
        <f>ROUND(G18/I18,2)</f>
        <v>#DIV/0!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77" t="s">
        <v>3250</v>
      </c>
      <c r="B20" s="167" t="s">
        <v>1994</v>
      </c>
      <c r="C20" s="3324" t="e">
        <f>ROUND(IF(F21="与级别开发程度一致",0,(G21-E21)/C21),0)</f>
        <v>#DIV/0!</v>
      </c>
      <c r="D20" s="3340" t="s">
        <v>1998</v>
      </c>
      <c r="E20" s="3341"/>
      <c r="F20" s="3783" t="s">
        <v>1995</v>
      </c>
      <c r="G20" s="3784"/>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78"/>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3" t="s">
        <v>2002</v>
      </c>
      <c r="E23" s="760">
        <v>44197</v>
      </c>
      <c r="F23" s="2053" t="s">
        <v>2003</v>
      </c>
      <c r="G23" s="761">
        <f>'数据-取费表'!B2</f>
        <v>45765</v>
      </c>
      <c r="H23" s="3342" t="s">
        <v>3252</v>
      </c>
      <c r="I23" s="3343" t="str">
        <f>IF(H23="季度增幅（自定义）",SUMIF(N25:N28,E2,O25:O28),"")</f>
        <v/>
      </c>
      <c r="J23" s="3445" t="s">
        <v>3251</v>
      </c>
      <c r="K23" s="1124"/>
      <c r="L23" s="2054" t="s">
        <v>2004</v>
      </c>
      <c r="M23" s="1327">
        <f>ROUND(SUMIF(地价!B2:G2,E2,地价!B16:G16),0)</f>
        <v>0</v>
      </c>
      <c r="N23" s="2055" t="s">
        <v>2005</v>
      </c>
      <c r="O23" s="762">
        <f>ROUNDDOWN(DATEDIF(E23,G23,"M")/3,0)</f>
        <v>17</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存贷款利率!E27/100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3331</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3253</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3254</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3258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5" t="s">
        <v>3256</v>
      </c>
      <c r="G33" s="2098"/>
      <c r="H33" s="2098"/>
      <c r="I33" s="2098"/>
      <c r="J33" s="2099"/>
      <c r="K33" s="1118"/>
      <c r="L33" s="3348" t="s">
        <v>3259</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3260</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3257</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3261</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81"/>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3262</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2"/>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82"/>
      <c r="B39" s="2040" t="s">
        <v>3255</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3263</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3265</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3265</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3265</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4">
      <c r="A76" s="2129" t="s">
        <v>2059</v>
      </c>
      <c r="B76" s="1325">
        <f>估价对象房地状况!C21</f>
        <v>0</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4">
      <c r="A77" s="2129" t="s">
        <v>2060</v>
      </c>
      <c r="B77" s="1325">
        <f>估价对象房地状况!C22</f>
        <v>0</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4">
      <c r="A79" s="2129" t="s">
        <v>2061</v>
      </c>
      <c r="B79" s="2132">
        <f>估价对象房地状况!C20</f>
        <v>0</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3266</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2608</v>
      </c>
      <c r="B91" s="3377">
        <f>1+E93</f>
        <v>1</v>
      </c>
      <c r="C91" s="3370"/>
      <c r="D91" s="3371"/>
      <c r="E91" s="1813"/>
      <c r="F91" s="1813"/>
      <c r="G91" s="3372"/>
      <c r="H91" s="3373"/>
      <c r="I91" s="3374"/>
      <c r="J91" s="3375"/>
      <c r="K91" s="3375"/>
      <c r="L91" s="3375"/>
      <c r="M91" s="3375"/>
      <c r="N91" s="3375"/>
    </row>
    <row r="92" spans="1:37" ht="24.75">
      <c r="A92" s="3378" t="s">
        <v>3267</v>
      </c>
      <c r="B92" s="3365"/>
      <c r="C92" s="3365" t="s">
        <v>3276</v>
      </c>
      <c r="D92" s="3365" t="s">
        <v>3277</v>
      </c>
      <c r="E92" s="3347" t="s">
        <v>3278</v>
      </c>
      <c r="F92" s="3380" t="s">
        <v>3279</v>
      </c>
      <c r="G92" s="3365" t="s">
        <v>3280</v>
      </c>
      <c r="H92" s="3387" t="s">
        <v>3283</v>
      </c>
      <c r="I92" s="3365" t="s">
        <v>3284</v>
      </c>
      <c r="J92" s="3388" t="s">
        <v>3285</v>
      </c>
      <c r="K92" s="3388" t="s">
        <v>3286</v>
      </c>
      <c r="L92" s="3388" t="s">
        <v>3287</v>
      </c>
      <c r="M92" s="3388" t="s">
        <v>3288</v>
      </c>
      <c r="N92" s="3388" t="s">
        <v>3289</v>
      </c>
    </row>
    <row r="93" spans="1:37" ht="24">
      <c r="A93" s="3368" t="s">
        <v>3268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14.25">
      <c r="A94" s="3378" t="s">
        <v>3269</v>
      </c>
      <c r="B94" s="3369">
        <f>估价对象房地状况!C18</f>
        <v>0</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3265</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3270</v>
      </c>
      <c r="B96" s="3384" t="s">
        <v>3281</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3271</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3272</v>
      </c>
      <c r="B98" s="3385" t="s">
        <v>3282</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4">
      <c r="A99" s="3378" t="s">
        <v>3273</v>
      </c>
      <c r="B99" s="3369">
        <f>估价对象房地状况!C21</f>
        <v>0</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4">
      <c r="A100" s="3378" t="s">
        <v>3274</v>
      </c>
      <c r="B100" s="3369">
        <f>估价对象房地状况!C22</f>
        <v>0</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4.75" thickBot="1">
      <c r="A101" s="3379" t="s">
        <v>3275</v>
      </c>
      <c r="B101" s="3386">
        <f>估价对象房地状况!C20</f>
        <v>0</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9" t="s">
        <v>3290</v>
      </c>
      <c r="B103" s="3779"/>
      <c r="C103" s="3779"/>
      <c r="D103" s="3779"/>
      <c r="E103" s="3779"/>
      <c r="F103" s="3779"/>
      <c r="G103" s="3779"/>
      <c r="H103" s="3779"/>
      <c r="I103" s="3779"/>
      <c r="J103" s="3779"/>
      <c r="K103" s="3389"/>
      <c r="L103" s="3389"/>
      <c r="M103" s="3389"/>
      <c r="N103" s="3389"/>
    </row>
    <row r="104" spans="1:14">
      <c r="A104" s="3780" t="s">
        <v>3291</v>
      </c>
      <c r="B104" s="3780" t="s">
        <v>3292</v>
      </c>
      <c r="C104" s="3390" t="s">
        <v>3293</v>
      </c>
      <c r="D104" s="3391"/>
      <c r="E104" s="3391"/>
      <c r="F104" s="3391"/>
      <c r="G104" s="3391"/>
      <c r="H104" s="3391"/>
      <c r="I104" s="3391"/>
      <c r="J104" s="3392"/>
      <c r="K104" s="3393"/>
      <c r="L104" s="3393"/>
      <c r="M104" s="3393"/>
      <c r="N104" s="3393"/>
    </row>
    <row r="105" spans="1:14">
      <c r="A105" s="3780"/>
      <c r="B105" s="3780"/>
      <c r="C105" s="3394" t="s">
        <v>3294</v>
      </c>
      <c r="D105" s="3394" t="s">
        <v>3295</v>
      </c>
      <c r="E105" s="3394" t="s">
        <v>3296</v>
      </c>
      <c r="F105" s="3394" t="s">
        <v>3297</v>
      </c>
      <c r="G105" s="3394" t="s">
        <v>3298</v>
      </c>
      <c r="H105" s="3394" t="s">
        <v>3299</v>
      </c>
      <c r="I105" s="3394" t="s">
        <v>3300</v>
      </c>
      <c r="J105" s="3394" t="s">
        <v>3301</v>
      </c>
      <c r="K105" s="3394" t="s">
        <v>3302</v>
      </c>
      <c r="L105" s="3394" t="s">
        <v>3303</v>
      </c>
      <c r="M105" s="3394" t="s">
        <v>3304</v>
      </c>
      <c r="N105" s="3394" t="s">
        <v>3305</v>
      </c>
    </row>
    <row r="106" spans="1:14">
      <c r="A106" s="3766" t="s">
        <v>3306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7"/>
      <c r="B111" s="3394" t="s">
        <v>3264</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8"/>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9" t="s">
        <v>3307</v>
      </c>
      <c r="B113" s="3769"/>
      <c r="C113" s="3769"/>
      <c r="D113" s="3769"/>
      <c r="E113" s="3769"/>
      <c r="F113" s="3769"/>
      <c r="G113" s="3769"/>
      <c r="H113" s="3769"/>
      <c r="I113" s="3769"/>
      <c r="J113" s="376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3308</v>
      </c>
      <c r="B116" s="3415">
        <f>G3</f>
        <v>0</v>
      </c>
      <c r="C116" s="3399" t="s">
        <v>3309</v>
      </c>
      <c r="D116" s="3400">
        <f>SUMPRODUCT((A118:A122=F116)*(B117:M117=H116)*B118:M122)</f>
        <v>0</v>
      </c>
      <c r="E116" s="1999" t="s">
        <v>3310</v>
      </c>
      <c r="F116" s="3401">
        <f>E2</f>
        <v>0</v>
      </c>
      <c r="G116" s="1999" t="s">
        <v>3311</v>
      </c>
      <c r="H116" s="3401">
        <f>G2</f>
        <v>0</v>
      </c>
      <c r="I116" s="1999"/>
      <c r="J116" s="3402"/>
      <c r="K116" s="3402"/>
      <c r="L116" s="3402"/>
      <c r="M116" s="3402"/>
      <c r="N116" s="3397"/>
    </row>
    <row r="117" spans="1:14">
      <c r="A117" s="3403"/>
      <c r="B117" s="3404" t="s">
        <v>3312</v>
      </c>
      <c r="C117" s="3404" t="s">
        <v>3313</v>
      </c>
      <c r="D117" s="3404" t="s">
        <v>3314</v>
      </c>
      <c r="E117" s="3405" t="s">
        <v>3315</v>
      </c>
      <c r="F117" s="3405" t="s">
        <v>3316</v>
      </c>
      <c r="G117" s="3405" t="s">
        <v>3317</v>
      </c>
      <c r="H117" s="3406" t="s">
        <v>3318</v>
      </c>
      <c r="I117" s="3406" t="s">
        <v>3319</v>
      </c>
      <c r="J117" s="3407" t="s">
        <v>3320</v>
      </c>
      <c r="K117" s="3407" t="s">
        <v>3321</v>
      </c>
      <c r="L117" s="3407" t="s">
        <v>3322</v>
      </c>
      <c r="M117" s="3408" t="s">
        <v>3323</v>
      </c>
      <c r="N117" s="3397"/>
    </row>
    <row r="118" spans="1:14">
      <c r="A118" s="3409" t="s">
        <v>3324</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3325</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3326</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3327</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2608</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2590</v>
      </c>
      <c r="B1" s="3071" t="s">
        <v>2591</v>
      </c>
      <c r="C1" s="3071" t="s">
        <v>2592</v>
      </c>
      <c r="D1" s="3071" t="s">
        <v>2593</v>
      </c>
      <c r="E1" s="3071" t="s">
        <v>2594</v>
      </c>
      <c r="F1" s="3071" t="s">
        <v>2595</v>
      </c>
      <c r="G1" s="3071" t="s">
        <v>2596</v>
      </c>
      <c r="H1" s="3071" t="s">
        <v>2597</v>
      </c>
      <c r="I1" s="3071" t="s">
        <v>2598</v>
      </c>
      <c r="J1" s="3071" t="s">
        <v>2599</v>
      </c>
      <c r="K1" s="3071" t="s">
        <v>2600</v>
      </c>
      <c r="L1" s="3071" t="s">
        <v>2601</v>
      </c>
      <c r="M1" s="3072" t="s">
        <v>2602</v>
      </c>
    </row>
    <row r="2" spans="1:13" ht="19.5" customHeight="1">
      <c r="A2" s="3074" t="s">
        <v>2603</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2604</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2605</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2606</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2607</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2608</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2609</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2610</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2611</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2612</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2613</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2614</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2615</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2616</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2617</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2618</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2619</v>
      </c>
      <c r="B18" s="3096"/>
      <c r="C18" s="3097"/>
      <c r="D18" s="3097"/>
      <c r="E18" s="3096"/>
      <c r="F18" s="3097"/>
      <c r="G18" s="3097"/>
    </row>
    <row r="19" spans="1:13" ht="19.5" customHeight="1" thickBot="1">
      <c r="A19" s="3094" t="s">
        <v>2620</v>
      </c>
      <c r="B19" s="3099" t="s">
        <v>2621</v>
      </c>
      <c r="C19" s="3099" t="s">
        <v>2622</v>
      </c>
      <c r="D19" s="3100"/>
      <c r="E19" s="3094" t="s">
        <v>2623</v>
      </c>
      <c r="F19" s="3101"/>
      <c r="G19" s="3101"/>
    </row>
    <row r="20" spans="1:13" ht="19.5" customHeight="1">
      <c r="A20" s="3794" t="s">
        <v>2603</v>
      </c>
      <c r="B20" s="3789" t="s">
        <v>2624</v>
      </c>
      <c r="C20" s="3102" t="s">
        <v>2435</v>
      </c>
      <c r="D20" s="3103"/>
      <c r="E20" s="3104">
        <v>1</v>
      </c>
      <c r="F20" s="3105" t="s">
        <v>2436</v>
      </c>
      <c r="G20" s="3105"/>
    </row>
    <row r="21" spans="1:13" ht="19.5" customHeight="1">
      <c r="A21" s="3795"/>
      <c r="B21" s="3788"/>
      <c r="C21" s="3106" t="s">
        <v>2437</v>
      </c>
      <c r="D21" s="3107"/>
      <c r="E21" s="3108">
        <v>1</v>
      </c>
      <c r="F21" s="3105" t="s">
        <v>2438</v>
      </c>
      <c r="G21" s="3105"/>
    </row>
    <row r="22" spans="1:13" ht="19.5" customHeight="1">
      <c r="A22" s="3795"/>
      <c r="B22" s="3788"/>
      <c r="C22" s="3106" t="s">
        <v>2439</v>
      </c>
      <c r="D22" s="3107"/>
      <c r="E22" s="3108">
        <v>0.9</v>
      </c>
      <c r="F22" s="3105" t="s">
        <v>2440</v>
      </c>
      <c r="G22" s="3105"/>
    </row>
    <row r="23" spans="1:13" ht="19.5" customHeight="1">
      <c r="A23" s="3795"/>
      <c r="B23" s="3788"/>
      <c r="C23" s="3106" t="s">
        <v>2441</v>
      </c>
      <c r="D23" s="3107"/>
      <c r="E23" s="3108">
        <v>0.9</v>
      </c>
      <c r="F23" s="3105" t="s">
        <v>2442</v>
      </c>
      <c r="G23" s="3105"/>
    </row>
    <row r="24" spans="1:13" ht="19.5" customHeight="1">
      <c r="A24" s="3795"/>
      <c r="B24" s="3788"/>
      <c r="C24" s="3106" t="s">
        <v>2443</v>
      </c>
      <c r="D24" s="3107"/>
      <c r="E24" s="3108">
        <v>0.8</v>
      </c>
      <c r="F24" s="3105" t="s">
        <v>2444</v>
      </c>
      <c r="G24" s="3105"/>
    </row>
    <row r="25" spans="1:13" ht="19.5" customHeight="1" thickBot="1">
      <c r="A25" s="3796"/>
      <c r="B25" s="3790"/>
      <c r="C25" s="3109" t="s">
        <v>2445</v>
      </c>
      <c r="D25" s="3110"/>
      <c r="E25" s="3111">
        <v>0.8</v>
      </c>
      <c r="F25" s="3105" t="s">
        <v>2446</v>
      </c>
      <c r="G25" s="3105"/>
    </row>
    <row r="26" spans="1:13" ht="19.5" customHeight="1" thickBot="1">
      <c r="A26" s="3112" t="s">
        <v>2625</v>
      </c>
      <c r="B26" s="3113" t="s">
        <v>2624</v>
      </c>
      <c r="C26" s="3114" t="s">
        <v>2626</v>
      </c>
      <c r="D26" s="3115"/>
      <c r="E26" s="3116">
        <v>1</v>
      </c>
      <c r="F26" s="3105" t="s">
        <v>2447</v>
      </c>
      <c r="G26" s="3105"/>
    </row>
    <row r="27" spans="1:13" ht="19.5" customHeight="1">
      <c r="A27" s="3791" t="s">
        <v>2627</v>
      </c>
      <c r="B27" s="3789" t="s">
        <v>2608</v>
      </c>
      <c r="C27" s="3102" t="s">
        <v>2448</v>
      </c>
      <c r="D27" s="3103"/>
      <c r="E27" s="3104">
        <v>1</v>
      </c>
      <c r="F27" s="3105" t="s">
        <v>2449</v>
      </c>
      <c r="G27" s="3105"/>
    </row>
    <row r="28" spans="1:13" ht="19.5" customHeight="1">
      <c r="A28" s="3792"/>
      <c r="B28" s="3788"/>
      <c r="C28" s="3106" t="s">
        <v>2450</v>
      </c>
      <c r="D28" s="3107"/>
      <c r="E28" s="3108">
        <v>1</v>
      </c>
      <c r="F28" s="3105" t="s">
        <v>2451</v>
      </c>
      <c r="G28" s="3105"/>
    </row>
    <row r="29" spans="1:13" ht="19.5" customHeight="1">
      <c r="A29" s="3792"/>
      <c r="B29" s="3788"/>
      <c r="C29" s="3106" t="s">
        <v>2452</v>
      </c>
      <c r="D29" s="3107"/>
      <c r="E29" s="3108">
        <v>0.8</v>
      </c>
      <c r="F29" s="3105" t="s">
        <v>2453</v>
      </c>
      <c r="G29" s="3105"/>
    </row>
    <row r="30" spans="1:13" ht="19.5" customHeight="1">
      <c r="A30" s="3792"/>
      <c r="B30" s="3788"/>
      <c r="C30" s="3106" t="s">
        <v>2454</v>
      </c>
      <c r="D30" s="3107"/>
      <c r="E30" s="3108">
        <v>0.8</v>
      </c>
      <c r="F30" s="3105" t="s">
        <v>2455</v>
      </c>
      <c r="G30" s="3105"/>
    </row>
    <row r="31" spans="1:13" ht="19.5" customHeight="1">
      <c r="A31" s="3792"/>
      <c r="B31" s="3788"/>
      <c r="C31" s="3106" t="s">
        <v>2456</v>
      </c>
      <c r="D31" s="3107"/>
      <c r="E31" s="3108">
        <v>0.8</v>
      </c>
      <c r="F31" s="3105" t="s">
        <v>2457</v>
      </c>
      <c r="G31" s="3105"/>
    </row>
    <row r="32" spans="1:13" ht="19.5" customHeight="1">
      <c r="A32" s="3792"/>
      <c r="B32" s="3788"/>
      <c r="C32" s="3106" t="s">
        <v>2458</v>
      </c>
      <c r="D32" s="3107"/>
      <c r="E32" s="3108">
        <v>0.7</v>
      </c>
      <c r="F32" s="3105" t="s">
        <v>2459</v>
      </c>
      <c r="G32" s="3105"/>
    </row>
    <row r="33" spans="1:7" ht="19.5" customHeight="1">
      <c r="A33" s="3792"/>
      <c r="B33" s="3788"/>
      <c r="C33" s="3106" t="s">
        <v>2460</v>
      </c>
      <c r="D33" s="3107"/>
      <c r="E33" s="3108">
        <v>0.8</v>
      </c>
      <c r="F33" s="3105" t="s">
        <v>2461</v>
      </c>
      <c r="G33" s="3105"/>
    </row>
    <row r="34" spans="1:7" ht="19.5" customHeight="1">
      <c r="A34" s="3792"/>
      <c r="B34" s="3788"/>
      <c r="C34" s="3106" t="s">
        <v>2462</v>
      </c>
      <c r="D34" s="3107"/>
      <c r="E34" s="3108">
        <v>0.6</v>
      </c>
      <c r="F34" s="3105" t="s">
        <v>2463</v>
      </c>
      <c r="G34" s="3105"/>
    </row>
    <row r="35" spans="1:7" ht="19.5" customHeight="1">
      <c r="A35" s="3792"/>
      <c r="B35" s="3788"/>
      <c r="C35" s="3106" t="s">
        <v>2464</v>
      </c>
      <c r="D35" s="3107"/>
      <c r="E35" s="3108">
        <v>0.2</v>
      </c>
      <c r="F35" s="3105" t="s">
        <v>2465</v>
      </c>
      <c r="G35" s="3105"/>
    </row>
    <row r="36" spans="1:7" ht="19.5" customHeight="1">
      <c r="A36" s="3792"/>
      <c r="B36" s="3788"/>
      <c r="C36" s="3106" t="s">
        <v>2466</v>
      </c>
      <c r="D36" s="3107"/>
      <c r="E36" s="3108">
        <v>0.2</v>
      </c>
      <c r="F36" s="3105" t="s">
        <v>2467</v>
      </c>
      <c r="G36" s="3105"/>
    </row>
    <row r="37" spans="1:7" ht="19.5" customHeight="1">
      <c r="A37" s="3792"/>
      <c r="B37" s="3786" t="s">
        <v>2628</v>
      </c>
      <c r="C37" s="3106" t="s">
        <v>2468</v>
      </c>
      <c r="D37" s="3107"/>
      <c r="E37" s="3108">
        <v>0.6</v>
      </c>
      <c r="F37" s="3105" t="s">
        <v>2469</v>
      </c>
      <c r="G37" s="3105"/>
    </row>
    <row r="38" spans="1:7" ht="19.5" customHeight="1">
      <c r="A38" s="3792"/>
      <c r="B38" s="3788"/>
      <c r="C38" s="3106" t="s">
        <v>2470</v>
      </c>
      <c r="D38" s="3107"/>
      <c r="E38" s="3108">
        <v>0.6</v>
      </c>
      <c r="F38" s="3105" t="s">
        <v>2471</v>
      </c>
      <c r="G38" s="3105"/>
    </row>
    <row r="39" spans="1:7" ht="19.5" customHeight="1" thickBot="1">
      <c r="A39" s="3793"/>
      <c r="B39" s="3790"/>
      <c r="C39" s="3109" t="s">
        <v>2472</v>
      </c>
      <c r="D39" s="3110"/>
      <c r="E39" s="3111">
        <v>0.6</v>
      </c>
      <c r="F39" s="3105" t="s">
        <v>2473</v>
      </c>
      <c r="G39" s="3105"/>
    </row>
    <row r="40" spans="1:7" ht="19.5" customHeight="1" thickBot="1">
      <c r="A40" s="3112" t="s">
        <v>2605</v>
      </c>
      <c r="B40" s="3113" t="s">
        <v>2605</v>
      </c>
      <c r="C40" s="3114" t="s">
        <v>2629</v>
      </c>
      <c r="D40" s="3115"/>
      <c r="E40" s="3116">
        <v>1</v>
      </c>
      <c r="F40" s="3105" t="s">
        <v>2474</v>
      </c>
      <c r="G40" s="3105"/>
    </row>
    <row r="41" spans="1:7" ht="19.5" customHeight="1">
      <c r="A41" s="3794" t="s">
        <v>2606</v>
      </c>
      <c r="B41" s="3789" t="s">
        <v>2630</v>
      </c>
      <c r="C41" s="3102" t="s">
        <v>2475</v>
      </c>
      <c r="D41" s="3103"/>
      <c r="E41" s="3104">
        <v>1</v>
      </c>
      <c r="F41" s="3105" t="s">
        <v>2476</v>
      </c>
      <c r="G41" s="3105"/>
    </row>
    <row r="42" spans="1:7" ht="19.5" customHeight="1">
      <c r="A42" s="3795"/>
      <c r="B42" s="3788"/>
      <c r="C42" s="3106" t="s">
        <v>2477</v>
      </c>
      <c r="D42" s="3107"/>
      <c r="E42" s="3108">
        <v>1</v>
      </c>
      <c r="F42" s="3105" t="s">
        <v>2478</v>
      </c>
      <c r="G42" s="3105"/>
    </row>
    <row r="43" spans="1:7" ht="19.5" customHeight="1">
      <c r="A43" s="3795"/>
      <c r="B43" s="3787"/>
      <c r="C43" s="3106" t="s">
        <v>2479</v>
      </c>
      <c r="D43" s="3107"/>
      <c r="E43" s="3108">
        <v>1.5</v>
      </c>
      <c r="F43" s="3105" t="s">
        <v>2480</v>
      </c>
      <c r="G43" s="3105"/>
    </row>
    <row r="44" spans="1:7" ht="19.5" customHeight="1">
      <c r="A44" s="3795"/>
      <c r="B44" s="3117" t="s">
        <v>2631</v>
      </c>
      <c r="C44" s="3106" t="s">
        <v>2632</v>
      </c>
      <c r="D44" s="3107"/>
      <c r="E44" s="3108">
        <v>2</v>
      </c>
      <c r="F44" s="3105" t="s">
        <v>2481</v>
      </c>
      <c r="G44" s="3105"/>
    </row>
    <row r="45" spans="1:7" ht="19.5" customHeight="1">
      <c r="A45" s="3795"/>
      <c r="B45" s="3786" t="s">
        <v>2633</v>
      </c>
      <c r="C45" s="3106" t="s">
        <v>2482</v>
      </c>
      <c r="D45" s="3107"/>
      <c r="E45" s="3108">
        <v>1</v>
      </c>
      <c r="F45" s="3105" t="s">
        <v>2483</v>
      </c>
      <c r="G45" s="3105"/>
    </row>
    <row r="46" spans="1:7" ht="19.5" customHeight="1">
      <c r="A46" s="3795"/>
      <c r="B46" s="3788"/>
      <c r="C46" s="3106" t="s">
        <v>2484</v>
      </c>
      <c r="D46" s="3107"/>
      <c r="E46" s="3108">
        <v>1</v>
      </c>
      <c r="F46" s="3105" t="s">
        <v>2485</v>
      </c>
      <c r="G46" s="3105"/>
    </row>
    <row r="47" spans="1:7" ht="19.5" customHeight="1">
      <c r="A47" s="3795"/>
      <c r="B47" s="3788"/>
      <c r="C47" s="3106" t="s">
        <v>2486</v>
      </c>
      <c r="D47" s="3107"/>
      <c r="E47" s="3108">
        <v>1</v>
      </c>
      <c r="F47" s="3105" t="s">
        <v>2487</v>
      </c>
      <c r="G47" s="3105"/>
    </row>
    <row r="48" spans="1:7" ht="19.5" customHeight="1">
      <c r="A48" s="3795"/>
      <c r="B48" s="3788"/>
      <c r="C48" s="3106" t="s">
        <v>2488</v>
      </c>
      <c r="D48" s="3107"/>
      <c r="E48" s="3108">
        <v>1</v>
      </c>
      <c r="F48" s="3105" t="s">
        <v>2489</v>
      </c>
      <c r="G48" s="3105"/>
    </row>
    <row r="49" spans="1:7" ht="19.5" customHeight="1">
      <c r="A49" s="3795"/>
      <c r="B49" s="3788"/>
      <c r="C49" s="3106" t="s">
        <v>2490</v>
      </c>
      <c r="D49" s="3107"/>
      <c r="E49" s="3108">
        <v>1</v>
      </c>
      <c r="F49" s="3105" t="s">
        <v>2491</v>
      </c>
      <c r="G49" s="3105"/>
    </row>
    <row r="50" spans="1:7" ht="19.5" customHeight="1">
      <c r="A50" s="3795"/>
      <c r="B50" s="3788"/>
      <c r="C50" s="3106" t="s">
        <v>2492</v>
      </c>
      <c r="D50" s="3107"/>
      <c r="E50" s="3108">
        <v>1</v>
      </c>
      <c r="F50" s="3105" t="s">
        <v>2493</v>
      </c>
      <c r="G50" s="3105"/>
    </row>
    <row r="51" spans="1:7" ht="19.5" customHeight="1" thickBot="1">
      <c r="A51" s="3796"/>
      <c r="B51" s="3790"/>
      <c r="C51" s="3109" t="s">
        <v>2494</v>
      </c>
      <c r="D51" s="3110"/>
      <c r="E51" s="3111">
        <v>1</v>
      </c>
      <c r="F51" s="3105" t="s">
        <v>2495</v>
      </c>
      <c r="G51" s="3105"/>
    </row>
    <row r="52" spans="1:7" ht="19.5" customHeight="1">
      <c r="A52" s="3118"/>
      <c r="B52" s="3118"/>
      <c r="C52" s="3118"/>
      <c r="D52" s="3118"/>
      <c r="E52" s="3118"/>
      <c r="F52" s="3118"/>
      <c r="G52" s="3118"/>
    </row>
    <row r="54" spans="1:7" ht="19.5" customHeight="1">
      <c r="A54" s="3119"/>
      <c r="B54" s="3091" t="s">
        <v>2634</v>
      </c>
      <c r="C54" s="3091" t="s">
        <v>2634</v>
      </c>
      <c r="D54" s="3091" t="s">
        <v>2634</v>
      </c>
      <c r="E54" s="3094" t="s">
        <v>2634</v>
      </c>
      <c r="F54" s="3094" t="s">
        <v>2635</v>
      </c>
      <c r="G54" s="3094" t="s">
        <v>2636</v>
      </c>
    </row>
    <row r="55" spans="1:7" ht="19.5" customHeight="1">
      <c r="A55" s="3120"/>
      <c r="B55" s="3094" t="s">
        <v>2603</v>
      </c>
      <c r="C55" s="3094" t="s">
        <v>2603</v>
      </c>
      <c r="D55" s="3094" t="s">
        <v>2603</v>
      </c>
      <c r="E55" s="3091" t="s">
        <v>2604</v>
      </c>
      <c r="F55" s="3091" t="s">
        <v>2606</v>
      </c>
      <c r="G55" s="3091" t="s">
        <v>2637</v>
      </c>
    </row>
    <row r="56" spans="1:7" ht="19.5" customHeight="1">
      <c r="A56" s="3121"/>
      <c r="B56" s="3091">
        <v>1</v>
      </c>
      <c r="C56" s="3091">
        <v>2</v>
      </c>
      <c r="D56" s="3091">
        <v>3</v>
      </c>
      <c r="E56" s="3122" t="s">
        <v>2638</v>
      </c>
      <c r="F56" s="3122" t="s">
        <v>2638</v>
      </c>
      <c r="G56" s="3122" t="s">
        <v>2638</v>
      </c>
    </row>
    <row r="57" spans="1:7" ht="19.5" customHeight="1">
      <c r="A57" s="3123" t="s">
        <v>2591</v>
      </c>
      <c r="B57" s="3091">
        <v>0.7</v>
      </c>
      <c r="C57" s="3091">
        <v>0.4</v>
      </c>
      <c r="D57" s="3091">
        <v>0.3</v>
      </c>
      <c r="E57" s="3122">
        <v>0.3</v>
      </c>
      <c r="F57" s="3091">
        <v>0.3</v>
      </c>
      <c r="G57" s="3091">
        <v>0.2</v>
      </c>
    </row>
    <row r="58" spans="1:7" ht="19.5" customHeight="1">
      <c r="A58" s="3123" t="s">
        <v>2592</v>
      </c>
      <c r="B58" s="3091">
        <v>0.7</v>
      </c>
      <c r="C58" s="3091">
        <v>0.4</v>
      </c>
      <c r="D58" s="3091">
        <v>0.3</v>
      </c>
      <c r="E58" s="3091">
        <v>0.3</v>
      </c>
      <c r="F58" s="3091">
        <v>0.3</v>
      </c>
      <c r="G58" s="3091">
        <v>0.2</v>
      </c>
    </row>
    <row r="59" spans="1:7" ht="19.5" customHeight="1">
      <c r="A59" s="3123" t="s">
        <v>2593</v>
      </c>
      <c r="B59" s="3091">
        <v>0.6</v>
      </c>
      <c r="C59" s="3091">
        <v>0.3</v>
      </c>
      <c r="D59" s="3091">
        <v>0.25</v>
      </c>
      <c r="E59" s="3091">
        <v>0.25</v>
      </c>
      <c r="F59" s="3091">
        <v>0.25</v>
      </c>
      <c r="G59" s="3091">
        <v>0.15</v>
      </c>
    </row>
    <row r="60" spans="1:7" ht="19.5" customHeight="1">
      <c r="A60" s="3123" t="s">
        <v>2594</v>
      </c>
      <c r="B60" s="3091">
        <v>0.6</v>
      </c>
      <c r="C60" s="3091">
        <v>0.3</v>
      </c>
      <c r="D60" s="3091">
        <v>0.25</v>
      </c>
      <c r="E60" s="3091">
        <v>0.25</v>
      </c>
      <c r="F60" s="3091">
        <v>0.25</v>
      </c>
      <c r="G60" s="3091">
        <v>0.15</v>
      </c>
    </row>
    <row r="61" spans="1:7" ht="19.5" customHeight="1">
      <c r="A61" s="3123" t="s">
        <v>2595</v>
      </c>
      <c r="B61" s="3091">
        <v>0.6</v>
      </c>
      <c r="C61" s="3091">
        <v>0.3</v>
      </c>
      <c r="D61" s="3091">
        <v>0.25</v>
      </c>
      <c r="E61" s="3091">
        <v>0.25</v>
      </c>
      <c r="F61" s="3091">
        <v>0.25</v>
      </c>
      <c r="G61" s="3091">
        <v>0.15</v>
      </c>
    </row>
    <row r="62" spans="1:7" ht="19.5" customHeight="1">
      <c r="A62" s="3123" t="s">
        <v>2596</v>
      </c>
      <c r="B62" s="3091">
        <v>0.6</v>
      </c>
      <c r="C62" s="3091">
        <v>0.3</v>
      </c>
      <c r="D62" s="3091">
        <v>0.25</v>
      </c>
      <c r="E62" s="3091">
        <v>0.25</v>
      </c>
      <c r="F62" s="3091">
        <v>0.25</v>
      </c>
      <c r="G62" s="3091">
        <v>0.15</v>
      </c>
    </row>
    <row r="63" spans="1:7" ht="19.5" customHeight="1">
      <c r="A63" s="3123" t="s">
        <v>2597</v>
      </c>
      <c r="B63" s="3091">
        <v>0.6</v>
      </c>
      <c r="C63" s="3091">
        <v>0.3</v>
      </c>
      <c r="D63" s="3091">
        <v>0.25</v>
      </c>
      <c r="E63" s="3091">
        <v>0.25</v>
      </c>
      <c r="F63" s="3091">
        <v>0.25</v>
      </c>
      <c r="G63" s="3091">
        <v>0.15</v>
      </c>
    </row>
    <row r="64" spans="1:7" ht="19.5" customHeight="1">
      <c r="A64" s="3123" t="s">
        <v>2598</v>
      </c>
      <c r="B64" s="3091">
        <v>0.5</v>
      </c>
      <c r="C64" s="3091">
        <v>0.2</v>
      </c>
      <c r="D64" s="3091">
        <v>0.2</v>
      </c>
      <c r="E64" s="3091">
        <v>0.2</v>
      </c>
      <c r="F64" s="3091">
        <v>0.2</v>
      </c>
      <c r="G64" s="3091">
        <v>0.1</v>
      </c>
    </row>
    <row r="65" spans="1:7" ht="19.5" customHeight="1">
      <c r="A65" s="3123" t="s">
        <v>2599</v>
      </c>
      <c r="B65" s="3091">
        <v>0.5</v>
      </c>
      <c r="C65" s="3091">
        <v>0.2</v>
      </c>
      <c r="D65" s="3091">
        <v>0.2</v>
      </c>
      <c r="E65" s="3091">
        <v>0.2</v>
      </c>
      <c r="F65" s="3091">
        <v>0.2</v>
      </c>
      <c r="G65" s="3091">
        <v>0.1</v>
      </c>
    </row>
    <row r="66" spans="1:7" ht="19.5" customHeight="1">
      <c r="A66" s="3123" t="s">
        <v>2600</v>
      </c>
      <c r="B66" s="3091">
        <v>0.5</v>
      </c>
      <c r="C66" s="3091">
        <v>0.2</v>
      </c>
      <c r="D66" s="3091">
        <v>0.2</v>
      </c>
      <c r="E66" s="3091">
        <v>0.2</v>
      </c>
      <c r="F66" s="3091">
        <v>0.2</v>
      </c>
      <c r="G66" s="3091">
        <v>0.1</v>
      </c>
    </row>
    <row r="67" spans="1:7" ht="19.5" customHeight="1">
      <c r="A67" s="3123" t="s">
        <v>2601</v>
      </c>
      <c r="B67" s="3091">
        <v>0.5</v>
      </c>
      <c r="C67" s="3091">
        <v>0.2</v>
      </c>
      <c r="D67" s="3091">
        <v>0.2</v>
      </c>
      <c r="E67" s="3091">
        <v>0.2</v>
      </c>
      <c r="F67" s="3091">
        <v>0.2</v>
      </c>
      <c r="G67" s="3091">
        <v>0.1</v>
      </c>
    </row>
    <row r="68" spans="1:7" ht="19.5" customHeight="1">
      <c r="A68" s="3123" t="s">
        <v>2602</v>
      </c>
      <c r="B68" s="3091">
        <v>0.5</v>
      </c>
      <c r="C68" s="3091">
        <v>0.2</v>
      </c>
      <c r="D68" s="3091">
        <v>0.2</v>
      </c>
      <c r="E68" s="3091">
        <v>0.2</v>
      </c>
      <c r="F68" s="3091">
        <v>0.2</v>
      </c>
      <c r="G68" s="3091">
        <v>0.1</v>
      </c>
    </row>
    <row r="70" spans="1:7" ht="19.5" customHeight="1">
      <c r="A70" s="3124"/>
      <c r="B70" s="3125"/>
      <c r="C70" s="3125"/>
      <c r="D70" s="3125" t="s">
        <v>2639</v>
      </c>
      <c r="E70" s="3125"/>
      <c r="F70" s="3125"/>
    </row>
    <row r="71" spans="1:7" ht="19.5" customHeight="1">
      <c r="A71" s="3117" t="s">
        <v>2640</v>
      </c>
      <c r="B71" s="3117" t="s">
        <v>2641</v>
      </c>
      <c r="C71" s="3117" t="s">
        <v>2642</v>
      </c>
      <c r="D71" s="3117" t="s">
        <v>2643</v>
      </c>
      <c r="E71" s="3117" t="s">
        <v>2644</v>
      </c>
      <c r="F71" s="3117" t="s">
        <v>2645</v>
      </c>
    </row>
    <row r="72" spans="1:7" ht="13.5">
      <c r="A72" s="3117"/>
      <c r="B72" s="3117"/>
      <c r="C72" s="3117" t="s">
        <v>2646</v>
      </c>
      <c r="D72" s="3117"/>
      <c r="E72" s="3117" t="s">
        <v>2617</v>
      </c>
      <c r="F72" s="3117" t="s">
        <v>2617</v>
      </c>
    </row>
    <row r="73" spans="1:7" ht="13.5">
      <c r="A73" s="3117">
        <v>1</v>
      </c>
      <c r="B73" s="3786" t="s">
        <v>2647</v>
      </c>
      <c r="C73" s="3091" t="s">
        <v>2648</v>
      </c>
      <c r="D73" s="3091" t="s">
        <v>2649</v>
      </c>
      <c r="E73" s="3117">
        <v>0.2</v>
      </c>
      <c r="F73" s="3117">
        <v>25</v>
      </c>
    </row>
    <row r="74" spans="1:7" ht="24">
      <c r="A74" s="3117">
        <v>2</v>
      </c>
      <c r="B74" s="3788"/>
      <c r="C74" s="3091" t="s">
        <v>2650</v>
      </c>
      <c r="D74" s="3091" t="s">
        <v>2651</v>
      </c>
      <c r="E74" s="3117">
        <v>0.2</v>
      </c>
      <c r="F74" s="3117">
        <v>25</v>
      </c>
    </row>
    <row r="75" spans="1:7" ht="24">
      <c r="A75" s="3117">
        <v>3</v>
      </c>
      <c r="B75" s="3788"/>
      <c r="C75" s="3091" t="s">
        <v>2652</v>
      </c>
      <c r="D75" s="3091" t="s">
        <v>2653</v>
      </c>
      <c r="E75" s="3117">
        <v>0.2</v>
      </c>
      <c r="F75" s="3117">
        <v>25</v>
      </c>
    </row>
    <row r="76" spans="1:7" ht="13.5">
      <c r="A76" s="3117">
        <v>4</v>
      </c>
      <c r="B76" s="3788"/>
      <c r="C76" s="3091" t="s">
        <v>2654</v>
      </c>
      <c r="D76" s="3091" t="s">
        <v>2655</v>
      </c>
      <c r="E76" s="3117">
        <v>0.15</v>
      </c>
      <c r="F76" s="3117">
        <v>20</v>
      </c>
    </row>
    <row r="77" spans="1:7" ht="24">
      <c r="A77" s="3117">
        <v>5</v>
      </c>
      <c r="B77" s="3788"/>
      <c r="C77" s="3091" t="s">
        <v>2656</v>
      </c>
      <c r="D77" s="3091" t="s">
        <v>2657</v>
      </c>
      <c r="E77" s="3117">
        <v>0.15</v>
      </c>
      <c r="F77" s="3117">
        <v>20</v>
      </c>
    </row>
    <row r="78" spans="1:7" ht="24">
      <c r="A78" s="3117">
        <v>6</v>
      </c>
      <c r="B78" s="3788"/>
      <c r="C78" s="3091" t="s">
        <v>2658</v>
      </c>
      <c r="D78" s="3091" t="s">
        <v>2659</v>
      </c>
      <c r="E78" s="3117">
        <v>0.15</v>
      </c>
      <c r="F78" s="3117">
        <v>20</v>
      </c>
    </row>
    <row r="79" spans="1:7" ht="24">
      <c r="A79" s="3117">
        <v>7</v>
      </c>
      <c r="B79" s="3788"/>
      <c r="C79" s="3091" t="s">
        <v>2660</v>
      </c>
      <c r="D79" s="3091" t="s">
        <v>2661</v>
      </c>
      <c r="E79" s="3117">
        <v>0.15</v>
      </c>
      <c r="F79" s="3117">
        <v>20</v>
      </c>
    </row>
    <row r="80" spans="1:7" ht="24">
      <c r="A80" s="3117">
        <v>8</v>
      </c>
      <c r="B80" s="3788"/>
      <c r="C80" s="3091" t="s">
        <v>2662</v>
      </c>
      <c r="D80" s="3091" t="s">
        <v>2663</v>
      </c>
      <c r="E80" s="3117">
        <v>0.1</v>
      </c>
      <c r="F80" s="3117">
        <v>15</v>
      </c>
    </row>
    <row r="81" spans="1:6" ht="24">
      <c r="A81" s="3117">
        <v>9</v>
      </c>
      <c r="B81" s="3788"/>
      <c r="C81" s="3091" t="s">
        <v>2664</v>
      </c>
      <c r="D81" s="3091" t="s">
        <v>2665</v>
      </c>
      <c r="E81" s="3117">
        <v>0.1</v>
      </c>
      <c r="F81" s="3117">
        <v>15</v>
      </c>
    </row>
    <row r="82" spans="1:6" ht="24">
      <c r="A82" s="3117">
        <v>10</v>
      </c>
      <c r="B82" s="3788"/>
      <c r="C82" s="3091" t="s">
        <v>2666</v>
      </c>
      <c r="D82" s="3091" t="s">
        <v>2667</v>
      </c>
      <c r="E82" s="3117">
        <v>0.1</v>
      </c>
      <c r="F82" s="3117">
        <v>15</v>
      </c>
    </row>
    <row r="83" spans="1:6" ht="24">
      <c r="A83" s="3117">
        <v>11</v>
      </c>
      <c r="B83" s="3788"/>
      <c r="C83" s="3091" t="s">
        <v>2668</v>
      </c>
      <c r="D83" s="3091" t="s">
        <v>2669</v>
      </c>
      <c r="E83" s="3117">
        <v>0.1</v>
      </c>
      <c r="F83" s="3117">
        <v>15</v>
      </c>
    </row>
    <row r="84" spans="1:6" ht="24">
      <c r="A84" s="3117">
        <v>12</v>
      </c>
      <c r="B84" s="3788"/>
      <c r="C84" s="3091" t="s">
        <v>2670</v>
      </c>
      <c r="D84" s="3091" t="s">
        <v>2671</v>
      </c>
      <c r="E84" s="3117">
        <v>0.1</v>
      </c>
      <c r="F84" s="3117">
        <v>15</v>
      </c>
    </row>
    <row r="85" spans="1:6" ht="13.5">
      <c r="A85" s="3117">
        <v>13</v>
      </c>
      <c r="B85" s="3788"/>
      <c r="C85" s="3091" t="s">
        <v>2672</v>
      </c>
      <c r="D85" s="3091" t="s">
        <v>2673</v>
      </c>
      <c r="E85" s="3117">
        <v>0.1</v>
      </c>
      <c r="F85" s="3117">
        <v>15</v>
      </c>
    </row>
    <row r="86" spans="1:6" ht="13.5">
      <c r="A86" s="3117">
        <v>14</v>
      </c>
      <c r="B86" s="3788"/>
      <c r="C86" s="3091" t="s">
        <v>2674</v>
      </c>
      <c r="D86" s="3091" t="s">
        <v>2675</v>
      </c>
      <c r="E86" s="3117">
        <v>0.1</v>
      </c>
      <c r="F86" s="3117">
        <v>15</v>
      </c>
    </row>
    <row r="87" spans="1:6" ht="13.5">
      <c r="A87" s="3117">
        <v>15</v>
      </c>
      <c r="B87" s="3788"/>
      <c r="C87" s="3091" t="s">
        <v>2676</v>
      </c>
      <c r="D87" s="3091" t="s">
        <v>2677</v>
      </c>
      <c r="E87" s="3117">
        <v>0.1</v>
      </c>
      <c r="F87" s="3117">
        <v>15</v>
      </c>
    </row>
    <row r="88" spans="1:6" ht="24">
      <c r="A88" s="3117">
        <v>16</v>
      </c>
      <c r="B88" s="3788"/>
      <c r="C88" s="3091" t="s">
        <v>2678</v>
      </c>
      <c r="D88" s="3091" t="s">
        <v>2679</v>
      </c>
      <c r="E88" s="3117">
        <v>0.1</v>
      </c>
      <c r="F88" s="3117">
        <v>15</v>
      </c>
    </row>
    <row r="89" spans="1:6" ht="24">
      <c r="A89" s="3117">
        <v>17</v>
      </c>
      <c r="B89" s="3787"/>
      <c r="C89" s="3091" t="s">
        <v>2680</v>
      </c>
      <c r="D89" s="3091" t="s">
        <v>2681</v>
      </c>
      <c r="E89" s="3117">
        <v>0.1</v>
      </c>
      <c r="F89" s="3117">
        <v>15</v>
      </c>
    </row>
    <row r="90" spans="1:6" ht="13.5">
      <c r="A90" s="3117">
        <v>18</v>
      </c>
      <c r="B90" s="3786" t="s">
        <v>2682</v>
      </c>
      <c r="C90" s="3091" t="s">
        <v>2683</v>
      </c>
      <c r="D90" s="3091" t="s">
        <v>2684</v>
      </c>
      <c r="E90" s="3117">
        <v>0.2</v>
      </c>
      <c r="F90" s="3117">
        <v>25</v>
      </c>
    </row>
    <row r="91" spans="1:6" ht="24">
      <c r="A91" s="3117">
        <v>19</v>
      </c>
      <c r="B91" s="3788"/>
      <c r="C91" s="3091" t="s">
        <v>2685</v>
      </c>
      <c r="D91" s="3091" t="s">
        <v>2686</v>
      </c>
      <c r="E91" s="3117">
        <v>0.2</v>
      </c>
      <c r="F91" s="3117">
        <v>25</v>
      </c>
    </row>
    <row r="92" spans="1:6" ht="13.5">
      <c r="A92" s="3117">
        <v>20</v>
      </c>
      <c r="B92" s="3788"/>
      <c r="C92" s="3091" t="s">
        <v>2687</v>
      </c>
      <c r="D92" s="3091" t="s">
        <v>2688</v>
      </c>
      <c r="E92" s="3117">
        <v>0.15</v>
      </c>
      <c r="F92" s="3117">
        <v>20</v>
      </c>
    </row>
    <row r="93" spans="1:6" ht="13.5">
      <c r="A93" s="3117">
        <v>21</v>
      </c>
      <c r="B93" s="3788"/>
      <c r="C93" s="3091" t="s">
        <v>2689</v>
      </c>
      <c r="D93" s="3091" t="s">
        <v>2690</v>
      </c>
      <c r="E93" s="3117">
        <v>0.15</v>
      </c>
      <c r="F93" s="3117">
        <v>20</v>
      </c>
    </row>
    <row r="94" spans="1:6" ht="13.5">
      <c r="A94" s="3117">
        <v>22</v>
      </c>
      <c r="B94" s="3788"/>
      <c r="C94" s="3091" t="s">
        <v>2691</v>
      </c>
      <c r="D94" s="3091" t="s">
        <v>2692</v>
      </c>
      <c r="E94" s="3117">
        <v>0.15</v>
      </c>
      <c r="F94" s="3117">
        <v>20</v>
      </c>
    </row>
    <row r="95" spans="1:6" ht="36">
      <c r="A95" s="3117">
        <v>23</v>
      </c>
      <c r="B95" s="3788"/>
      <c r="C95" s="3091" t="s">
        <v>2693</v>
      </c>
      <c r="D95" s="3091" t="s">
        <v>2694</v>
      </c>
      <c r="E95" s="3117">
        <v>0.15</v>
      </c>
      <c r="F95" s="3117">
        <v>20</v>
      </c>
    </row>
    <row r="96" spans="1:6" ht="13.5">
      <c r="A96" s="3117">
        <v>24</v>
      </c>
      <c r="B96" s="3788"/>
      <c r="C96" s="3091" t="s">
        <v>2695</v>
      </c>
      <c r="D96" s="3091" t="s">
        <v>2696</v>
      </c>
      <c r="E96" s="3117">
        <v>0.1</v>
      </c>
      <c r="F96" s="3117">
        <v>15</v>
      </c>
    </row>
    <row r="97" spans="1:6" ht="13.5">
      <c r="A97" s="3117">
        <v>25</v>
      </c>
      <c r="B97" s="3788"/>
      <c r="C97" s="3091" t="s">
        <v>2697</v>
      </c>
      <c r="D97" s="3091" t="s">
        <v>2698</v>
      </c>
      <c r="E97" s="3117">
        <v>0.1</v>
      </c>
      <c r="F97" s="3117">
        <v>15</v>
      </c>
    </row>
    <row r="98" spans="1:6" ht="24">
      <c r="A98" s="3117">
        <v>26</v>
      </c>
      <c r="B98" s="3788"/>
      <c r="C98" s="3091" t="s">
        <v>2699</v>
      </c>
      <c r="D98" s="3091" t="s">
        <v>2700</v>
      </c>
      <c r="E98" s="3117">
        <v>0.1</v>
      </c>
      <c r="F98" s="3117">
        <v>15</v>
      </c>
    </row>
    <row r="99" spans="1:6" ht="24">
      <c r="A99" s="3117">
        <v>27</v>
      </c>
      <c r="B99" s="3788"/>
      <c r="C99" s="3091" t="s">
        <v>2701</v>
      </c>
      <c r="D99" s="3091" t="s">
        <v>2702</v>
      </c>
      <c r="E99" s="3117">
        <v>0.1</v>
      </c>
      <c r="F99" s="3117">
        <v>15</v>
      </c>
    </row>
    <row r="100" spans="1:6" ht="13.5">
      <c r="A100" s="3117">
        <v>28</v>
      </c>
      <c r="B100" s="3788"/>
      <c r="C100" s="3091" t="s">
        <v>2703</v>
      </c>
      <c r="D100" s="3091" t="s">
        <v>2704</v>
      </c>
      <c r="E100" s="3117">
        <v>0.1</v>
      </c>
      <c r="F100" s="3117">
        <v>15</v>
      </c>
    </row>
    <row r="101" spans="1:6" ht="13.5">
      <c r="A101" s="3117">
        <v>29</v>
      </c>
      <c r="B101" s="3788"/>
      <c r="C101" s="3091" t="s">
        <v>2705</v>
      </c>
      <c r="D101" s="3091" t="s">
        <v>2706</v>
      </c>
      <c r="E101" s="3117">
        <v>0.1</v>
      </c>
      <c r="F101" s="3117">
        <v>15</v>
      </c>
    </row>
    <row r="102" spans="1:6" ht="13.5">
      <c r="A102" s="3117">
        <v>30</v>
      </c>
      <c r="B102" s="3788"/>
      <c r="C102" s="3091" t="s">
        <v>2707</v>
      </c>
      <c r="D102" s="3091" t="s">
        <v>2708</v>
      </c>
      <c r="E102" s="3117">
        <v>0.1</v>
      </c>
      <c r="F102" s="3117">
        <v>15</v>
      </c>
    </row>
    <row r="103" spans="1:6" ht="24">
      <c r="A103" s="3117">
        <v>31</v>
      </c>
      <c r="B103" s="3788"/>
      <c r="C103" s="3091" t="s">
        <v>2709</v>
      </c>
      <c r="D103" s="3091" t="s">
        <v>2710</v>
      </c>
      <c r="E103" s="3117">
        <v>0.1</v>
      </c>
      <c r="F103" s="3117">
        <v>15</v>
      </c>
    </row>
    <row r="104" spans="1:6" ht="24">
      <c r="A104" s="3117">
        <v>32</v>
      </c>
      <c r="B104" s="3788"/>
      <c r="C104" s="3091" t="s">
        <v>2711</v>
      </c>
      <c r="D104" s="3091" t="s">
        <v>2712</v>
      </c>
      <c r="E104" s="3117">
        <v>0.1</v>
      </c>
      <c r="F104" s="3117">
        <v>15</v>
      </c>
    </row>
    <row r="105" spans="1:6" ht="24">
      <c r="A105" s="3117">
        <v>33</v>
      </c>
      <c r="B105" s="3788"/>
      <c r="C105" s="3091" t="s">
        <v>2713</v>
      </c>
      <c r="D105" s="3091" t="s">
        <v>2714</v>
      </c>
      <c r="E105" s="3117">
        <v>0.1</v>
      </c>
      <c r="F105" s="3117">
        <v>15</v>
      </c>
    </row>
    <row r="106" spans="1:6" ht="24">
      <c r="A106" s="3117">
        <v>34</v>
      </c>
      <c r="B106" s="3787"/>
      <c r="C106" s="3091" t="s">
        <v>2715</v>
      </c>
      <c r="D106" s="3091" t="s">
        <v>2716</v>
      </c>
      <c r="E106" s="3117">
        <v>0.1</v>
      </c>
      <c r="F106" s="3117">
        <v>15</v>
      </c>
    </row>
    <row r="107" spans="1:6" ht="24">
      <c r="A107" s="3117">
        <v>35</v>
      </c>
      <c r="B107" s="3786" t="s">
        <v>2717</v>
      </c>
      <c r="C107" s="3117" t="s">
        <v>2718</v>
      </c>
      <c r="D107" s="3091" t="s">
        <v>2719</v>
      </c>
      <c r="E107" s="3117">
        <v>0.15</v>
      </c>
      <c r="F107" s="3117">
        <v>20</v>
      </c>
    </row>
    <row r="108" spans="1:6" ht="13.5">
      <c r="A108" s="3117">
        <v>36</v>
      </c>
      <c r="B108" s="3788"/>
      <c r="C108" s="3117" t="s">
        <v>2720</v>
      </c>
      <c r="D108" s="3091" t="s">
        <v>2721</v>
      </c>
      <c r="E108" s="3117">
        <v>0.15</v>
      </c>
      <c r="F108" s="3117">
        <v>20</v>
      </c>
    </row>
    <row r="109" spans="1:6" ht="13.5">
      <c r="A109" s="3117">
        <v>37</v>
      </c>
      <c r="B109" s="3788"/>
      <c r="C109" s="3117" t="s">
        <v>2722</v>
      </c>
      <c r="D109" s="3091" t="s">
        <v>2723</v>
      </c>
      <c r="E109" s="3117">
        <v>0.15</v>
      </c>
      <c r="F109" s="3117">
        <v>20</v>
      </c>
    </row>
    <row r="110" spans="1:6" ht="13.5">
      <c r="A110" s="3117">
        <v>38</v>
      </c>
      <c r="B110" s="3788"/>
      <c r="C110" s="3117" t="s">
        <v>2724</v>
      </c>
      <c r="D110" s="3091" t="s">
        <v>2725</v>
      </c>
      <c r="E110" s="3117">
        <v>0.1</v>
      </c>
      <c r="F110" s="3117">
        <v>15</v>
      </c>
    </row>
    <row r="111" spans="1:6" ht="24">
      <c r="A111" s="3117">
        <v>39</v>
      </c>
      <c r="B111" s="3788"/>
      <c r="C111" s="3117" t="s">
        <v>2726</v>
      </c>
      <c r="D111" s="3091" t="s">
        <v>2727</v>
      </c>
      <c r="E111" s="3117">
        <v>0.1</v>
      </c>
      <c r="F111" s="3117">
        <v>15</v>
      </c>
    </row>
    <row r="112" spans="1:6" ht="24">
      <c r="A112" s="3117">
        <v>40</v>
      </c>
      <c r="B112" s="3787"/>
      <c r="C112" s="3117" t="s">
        <v>2728</v>
      </c>
      <c r="D112" s="3091" t="s">
        <v>2729</v>
      </c>
      <c r="E112" s="3117">
        <v>0.1</v>
      </c>
      <c r="F112" s="3117">
        <v>15</v>
      </c>
    </row>
    <row r="113" spans="1:6" ht="13.5">
      <c r="A113" s="3117">
        <v>41</v>
      </c>
      <c r="B113" s="3785" t="s">
        <v>2730</v>
      </c>
      <c r="C113" s="3117" t="s">
        <v>2731</v>
      </c>
      <c r="D113" s="3091" t="s">
        <v>2732</v>
      </c>
      <c r="E113" s="3117">
        <v>0.1</v>
      </c>
      <c r="F113" s="3117">
        <v>15</v>
      </c>
    </row>
    <row r="114" spans="1:6" ht="13.5">
      <c r="A114" s="3117">
        <v>42</v>
      </c>
      <c r="B114" s="3785"/>
      <c r="C114" s="3117" t="s">
        <v>2733</v>
      </c>
      <c r="D114" s="3091" t="s">
        <v>2734</v>
      </c>
      <c r="E114" s="3117">
        <v>0.1</v>
      </c>
      <c r="F114" s="3117">
        <v>15</v>
      </c>
    </row>
    <row r="115" spans="1:6" ht="24">
      <c r="A115" s="3117">
        <v>43</v>
      </c>
      <c r="B115" s="3785"/>
      <c r="C115" s="3117" t="s">
        <v>2735</v>
      </c>
      <c r="D115" s="3091" t="s">
        <v>2736</v>
      </c>
      <c r="E115" s="3117">
        <v>0.1</v>
      </c>
      <c r="F115" s="3117">
        <v>15</v>
      </c>
    </row>
    <row r="116" spans="1:6" ht="13.5">
      <c r="A116" s="3117">
        <v>44</v>
      </c>
      <c r="B116" s="3786" t="s">
        <v>2737</v>
      </c>
      <c r="C116" s="3117" t="s">
        <v>2738</v>
      </c>
      <c r="D116" s="3091" t="s">
        <v>2739</v>
      </c>
      <c r="E116" s="3117">
        <v>0.1</v>
      </c>
      <c r="F116" s="3117">
        <v>15</v>
      </c>
    </row>
    <row r="117" spans="1:6" ht="24">
      <c r="A117" s="3117">
        <v>45</v>
      </c>
      <c r="B117" s="3787"/>
      <c r="C117" s="3091" t="s">
        <v>2740</v>
      </c>
      <c r="D117" s="3091" t="s">
        <v>2741</v>
      </c>
      <c r="E117" s="3117">
        <v>0.1</v>
      </c>
      <c r="F117" s="3117">
        <v>15</v>
      </c>
    </row>
    <row r="118" spans="1:6" ht="24">
      <c r="A118" s="3117">
        <v>46</v>
      </c>
      <c r="B118" s="3786" t="s">
        <v>2742</v>
      </c>
      <c r="C118" s="3117" t="s">
        <v>2743</v>
      </c>
      <c r="D118" s="3091" t="s">
        <v>2744</v>
      </c>
      <c r="E118" s="3117">
        <v>0.1</v>
      </c>
      <c r="F118" s="3117">
        <v>15</v>
      </c>
    </row>
    <row r="119" spans="1:6" ht="24">
      <c r="A119" s="3117">
        <v>47</v>
      </c>
      <c r="B119" s="3787"/>
      <c r="C119" s="3117" t="s">
        <v>2745</v>
      </c>
      <c r="D119" s="3091" t="s">
        <v>2746</v>
      </c>
      <c r="E119" s="3117">
        <v>0.1</v>
      </c>
      <c r="F119" s="3117">
        <v>15</v>
      </c>
    </row>
    <row r="120" spans="1:6" ht="13.5">
      <c r="A120" s="3117">
        <v>48</v>
      </c>
      <c r="B120" s="3786" t="s">
        <v>2747</v>
      </c>
      <c r="C120" s="3117" t="s">
        <v>2748</v>
      </c>
      <c r="D120" s="3091" t="s">
        <v>2749</v>
      </c>
      <c r="E120" s="3117">
        <v>0.1</v>
      </c>
      <c r="F120" s="3117">
        <v>15</v>
      </c>
    </row>
    <row r="121" spans="1:6" ht="13.5">
      <c r="A121" s="3117">
        <v>49</v>
      </c>
      <c r="B121" s="3787"/>
      <c r="C121" s="3117" t="s">
        <v>2750</v>
      </c>
      <c r="D121" s="3091" t="s">
        <v>2751</v>
      </c>
      <c r="E121" s="3117">
        <v>0.1</v>
      </c>
      <c r="F121" s="3117">
        <v>15</v>
      </c>
    </row>
    <row r="122" spans="1:6" ht="24">
      <c r="A122" s="3117">
        <v>50</v>
      </c>
      <c r="B122" s="3785" t="s">
        <v>2752</v>
      </c>
      <c r="C122" s="3117" t="s">
        <v>2753</v>
      </c>
      <c r="D122" s="3091" t="s">
        <v>2754</v>
      </c>
      <c r="E122" s="3117">
        <v>0.1</v>
      </c>
      <c r="F122" s="3117">
        <v>15</v>
      </c>
    </row>
    <row r="123" spans="1:6" ht="24">
      <c r="A123" s="3117">
        <v>51</v>
      </c>
      <c r="B123" s="3785"/>
      <c r="C123" s="3117" t="s">
        <v>2755</v>
      </c>
      <c r="D123" s="3091" t="s">
        <v>2756</v>
      </c>
      <c r="E123" s="3117">
        <v>0.1</v>
      </c>
      <c r="F123" s="3117">
        <v>15</v>
      </c>
    </row>
    <row r="124" spans="1:6" ht="24">
      <c r="A124" s="3117">
        <v>52</v>
      </c>
      <c r="B124" s="3785" t="s">
        <v>2757</v>
      </c>
      <c r="C124" s="3117" t="s">
        <v>2758</v>
      </c>
      <c r="D124" s="3091" t="s">
        <v>2759</v>
      </c>
      <c r="E124" s="3117">
        <v>0.1</v>
      </c>
      <c r="F124" s="3117">
        <v>15</v>
      </c>
    </row>
    <row r="125" spans="1:6" ht="24">
      <c r="A125" s="3117">
        <v>53</v>
      </c>
      <c r="B125" s="3785"/>
      <c r="C125" s="3117" t="s">
        <v>2760</v>
      </c>
      <c r="D125" s="3091" t="s">
        <v>2761</v>
      </c>
      <c r="E125" s="3117">
        <v>0.1</v>
      </c>
      <c r="F125" s="3117">
        <v>15</v>
      </c>
    </row>
    <row r="126" spans="1:6" ht="13.5">
      <c r="A126" s="3117">
        <v>54</v>
      </c>
      <c r="B126" s="3117" t="s">
        <v>2762</v>
      </c>
      <c r="C126" s="3117" t="s">
        <v>2763</v>
      </c>
      <c r="D126" s="3091" t="s">
        <v>2764</v>
      </c>
      <c r="E126" s="3117">
        <v>0.1</v>
      </c>
      <c r="F126" s="3117">
        <v>15</v>
      </c>
    </row>
    <row r="127" spans="1:6" ht="13.5">
      <c r="A127" s="3117">
        <v>55</v>
      </c>
      <c r="B127" s="3785" t="s">
        <v>2765</v>
      </c>
      <c r="C127" s="3117" t="s">
        <v>2766</v>
      </c>
      <c r="D127" s="3091" t="s">
        <v>2767</v>
      </c>
      <c r="E127" s="3117">
        <v>0.1</v>
      </c>
      <c r="F127" s="3117">
        <v>15</v>
      </c>
    </row>
    <row r="128" spans="1:6" ht="13.5">
      <c r="A128" s="3117">
        <v>56</v>
      </c>
      <c r="B128" s="3785"/>
      <c r="C128" s="3117" t="s">
        <v>2768</v>
      </c>
      <c r="D128" s="3091" t="s">
        <v>2769</v>
      </c>
      <c r="E128" s="3117">
        <v>0.1</v>
      </c>
      <c r="F128" s="3117">
        <v>15</v>
      </c>
    </row>
    <row r="129" spans="1:6" ht="24">
      <c r="A129" s="3117">
        <v>57</v>
      </c>
      <c r="B129" s="3785"/>
      <c r="C129" s="3117" t="s">
        <v>2770</v>
      </c>
      <c r="D129" s="3091" t="s">
        <v>2771</v>
      </c>
      <c r="E129" s="3117">
        <v>0.1</v>
      </c>
      <c r="F129" s="3117">
        <v>15</v>
      </c>
    </row>
    <row r="130" spans="1:6" ht="24">
      <c r="A130" s="3117">
        <v>58</v>
      </c>
      <c r="B130" s="3785" t="s">
        <v>2772</v>
      </c>
      <c r="C130" s="3117" t="s">
        <v>2773</v>
      </c>
      <c r="D130" s="3091" t="s">
        <v>2774</v>
      </c>
      <c r="E130" s="3117">
        <v>0.1</v>
      </c>
      <c r="F130" s="3117">
        <v>15</v>
      </c>
    </row>
    <row r="131" spans="1:6" ht="13.5">
      <c r="A131" s="3117">
        <v>59</v>
      </c>
      <c r="B131" s="3785"/>
      <c r="C131" s="3117" t="s">
        <v>2775</v>
      </c>
      <c r="D131" s="3091" t="s">
        <v>2776</v>
      </c>
      <c r="E131" s="3117">
        <v>0.1</v>
      </c>
      <c r="F131" s="3117">
        <v>15</v>
      </c>
    </row>
    <row r="132" spans="1:6" ht="13.5">
      <c r="A132" s="3117">
        <v>60</v>
      </c>
      <c r="B132" s="3786" t="s">
        <v>2777</v>
      </c>
      <c r="C132" s="3117" t="s">
        <v>2778</v>
      </c>
      <c r="D132" s="3091" t="s">
        <v>2779</v>
      </c>
      <c r="E132" s="3117">
        <v>0.1</v>
      </c>
      <c r="F132" s="3117">
        <v>15</v>
      </c>
    </row>
    <row r="133" spans="1:6" ht="13.5">
      <c r="A133" s="3117">
        <v>61</v>
      </c>
      <c r="B133" s="3787"/>
      <c r="C133" s="3117" t="s">
        <v>2780</v>
      </c>
      <c r="D133" s="3091" t="s">
        <v>2781</v>
      </c>
      <c r="E133" s="3117">
        <v>0.1</v>
      </c>
      <c r="F133" s="3117">
        <v>15</v>
      </c>
    </row>
    <row r="134" spans="1:6" ht="24">
      <c r="A134" s="3117">
        <v>62</v>
      </c>
      <c r="B134" s="3117" t="s">
        <v>2782</v>
      </c>
      <c r="C134" s="3117" t="s">
        <v>2783</v>
      </c>
      <c r="D134" s="3091" t="s">
        <v>2784</v>
      </c>
      <c r="E134" s="3117">
        <v>0.1</v>
      </c>
      <c r="F134" s="3117">
        <v>15</v>
      </c>
    </row>
    <row r="135" spans="1:6" ht="13.5">
      <c r="A135" s="3117">
        <v>63</v>
      </c>
      <c r="B135" s="3785" t="s">
        <v>2785</v>
      </c>
      <c r="C135" s="3117" t="s">
        <v>2786</v>
      </c>
      <c r="D135" s="3091" t="s">
        <v>2787</v>
      </c>
      <c r="E135" s="3117">
        <v>0.1</v>
      </c>
      <c r="F135" s="3117">
        <v>15</v>
      </c>
    </row>
    <row r="136" spans="1:6" ht="13.5">
      <c r="A136" s="3117">
        <v>64</v>
      </c>
      <c r="B136" s="3785"/>
      <c r="C136" s="3117" t="s">
        <v>2788</v>
      </c>
      <c r="D136" s="3091" t="s">
        <v>2789</v>
      </c>
      <c r="E136" s="3117">
        <v>0.1</v>
      </c>
      <c r="F136" s="3117">
        <v>15</v>
      </c>
    </row>
    <row r="137" spans="1:6" ht="13.5">
      <c r="A137" s="3117">
        <v>65</v>
      </c>
      <c r="B137" s="3117" t="s">
        <v>2790</v>
      </c>
      <c r="C137" s="3117" t="s">
        <v>2791</v>
      </c>
      <c r="D137" s="3091" t="s">
        <v>2792</v>
      </c>
      <c r="E137" s="3117">
        <v>0.1</v>
      </c>
      <c r="F137" s="3117">
        <v>15</v>
      </c>
    </row>
    <row r="138" spans="1:6" ht="13.5">
      <c r="A138" s="3117"/>
      <c r="B138" s="3117"/>
      <c r="C138" s="3117"/>
      <c r="D138" s="3117"/>
      <c r="E138" s="3117" t="s">
        <v>2793</v>
      </c>
      <c r="F138" s="3117"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2794</v>
      </c>
      <c r="B1" s="3126"/>
      <c r="C1" s="3126"/>
      <c r="D1" s="3126"/>
      <c r="E1" s="3126"/>
      <c r="F1" s="3126"/>
      <c r="G1" s="3126"/>
      <c r="H1" s="3126"/>
      <c r="I1" s="3126"/>
      <c r="J1" s="3126"/>
      <c r="K1" s="3126"/>
      <c r="L1" s="3126"/>
      <c r="M1" s="3126"/>
      <c r="N1" s="748"/>
    </row>
    <row r="2" spans="1:20">
      <c r="A2" s="3127" t="s">
        <v>2795</v>
      </c>
      <c r="B2" s="3128" t="s">
        <v>2591</v>
      </c>
      <c r="C2" s="3128" t="s">
        <v>2592</v>
      </c>
      <c r="D2" s="3128" t="s">
        <v>2593</v>
      </c>
      <c r="E2" s="3128" t="s">
        <v>2594</v>
      </c>
      <c r="F2" s="3128" t="s">
        <v>2595</v>
      </c>
      <c r="G2" s="3128" t="s">
        <v>2596</v>
      </c>
      <c r="H2" s="3129" t="s">
        <v>2597</v>
      </c>
      <c r="I2" s="3129" t="s">
        <v>2598</v>
      </c>
      <c r="J2" s="3130" t="s">
        <v>2599</v>
      </c>
      <c r="K2" s="3130" t="s">
        <v>2600</v>
      </c>
      <c r="L2" s="3130" t="s">
        <v>2601</v>
      </c>
      <c r="M2" s="3131" t="s">
        <v>2602</v>
      </c>
      <c r="Q2" s="3141" t="s">
        <v>2800</v>
      </c>
      <c r="R2" s="3141" t="s">
        <v>2801</v>
      </c>
      <c r="S2" s="3141" t="s">
        <v>2802</v>
      </c>
      <c r="T2" s="3141" t="s">
        <v>2803</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2796</v>
      </c>
      <c r="B93" s="3126"/>
      <c r="C93" s="3126"/>
      <c r="D93" s="3126"/>
      <c r="E93" s="3126"/>
      <c r="F93" s="3126"/>
      <c r="G93" s="3126"/>
      <c r="H93" s="3126"/>
      <c r="I93" s="3126"/>
      <c r="J93" s="3126"/>
      <c r="K93" s="3126"/>
      <c r="L93" s="3126"/>
      <c r="M93" s="3126"/>
    </row>
    <row r="94" spans="1:20">
      <c r="A94" s="3127" t="s">
        <v>2795</v>
      </c>
      <c r="B94" s="3128" t="s">
        <v>2591</v>
      </c>
      <c r="C94" s="3128" t="s">
        <v>2592</v>
      </c>
      <c r="D94" s="3128" t="s">
        <v>2593</v>
      </c>
      <c r="E94" s="3128" t="s">
        <v>2594</v>
      </c>
      <c r="F94" s="3128" t="s">
        <v>2595</v>
      </c>
      <c r="G94" s="3128" t="s">
        <v>2596</v>
      </c>
      <c r="H94" s="3129" t="s">
        <v>2597</v>
      </c>
      <c r="I94" s="3129" t="s">
        <v>2598</v>
      </c>
      <c r="J94" s="3130" t="s">
        <v>2599</v>
      </c>
      <c r="K94" s="3130" t="s">
        <v>2600</v>
      </c>
      <c r="L94" s="3130" t="s">
        <v>2601</v>
      </c>
      <c r="M94" s="3131" t="s">
        <v>2602</v>
      </c>
      <c r="N94" s="749">
        <f>SUMPRODUCT((A95:A184=ROUNDDOWN(基准地价修正!G3,1))*(B94:M94=基准地价修正!G2)*(B95:M184))</f>
        <v>0</v>
      </c>
      <c r="Q94" s="3141" t="s">
        <v>2800</v>
      </c>
      <c r="R94" s="3141" t="s">
        <v>2801</v>
      </c>
      <c r="S94" s="3141" t="s">
        <v>2802</v>
      </c>
      <c r="T94" s="3141" t="s">
        <v>2803</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2797</v>
      </c>
      <c r="B185" s="3126"/>
      <c r="C185" s="3126"/>
      <c r="D185" s="3126"/>
      <c r="E185" s="3126"/>
      <c r="F185" s="3126"/>
      <c r="G185" s="3126"/>
      <c r="H185" s="3126"/>
      <c r="I185" s="3126"/>
      <c r="J185" s="3126"/>
      <c r="K185" s="3126"/>
      <c r="L185" s="3126"/>
      <c r="M185" s="3126"/>
    </row>
    <row r="186" spans="1:20">
      <c r="A186" s="3127" t="s">
        <v>2795</v>
      </c>
      <c r="B186" s="3128" t="s">
        <v>2591</v>
      </c>
      <c r="C186" s="3128" t="s">
        <v>2592</v>
      </c>
      <c r="D186" s="3128" t="s">
        <v>2593</v>
      </c>
      <c r="E186" s="3128" t="s">
        <v>2594</v>
      </c>
      <c r="F186" s="3128" t="s">
        <v>2595</v>
      </c>
      <c r="G186" s="3128" t="s">
        <v>2596</v>
      </c>
      <c r="H186" s="3129" t="s">
        <v>2597</v>
      </c>
      <c r="I186" s="3129" t="s">
        <v>2598</v>
      </c>
      <c r="J186" s="3130" t="s">
        <v>2599</v>
      </c>
      <c r="K186" s="3130" t="s">
        <v>2600</v>
      </c>
      <c r="L186" s="3130" t="s">
        <v>2601</v>
      </c>
      <c r="M186" s="3131" t="s">
        <v>2602</v>
      </c>
      <c r="Q186" s="3141" t="s">
        <v>2800</v>
      </c>
      <c r="R186" s="3141" t="s">
        <v>2801</v>
      </c>
      <c r="S186" s="3141" t="s">
        <v>2802</v>
      </c>
      <c r="T186" s="3141" t="s">
        <v>2803</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2798</v>
      </c>
      <c r="B277" s="3126"/>
      <c r="C277" s="3126"/>
      <c r="D277" s="3126"/>
      <c r="E277" s="3126"/>
      <c r="F277" s="3126"/>
      <c r="G277" s="3126"/>
      <c r="H277" s="3126"/>
      <c r="I277" s="3126"/>
      <c r="J277" s="3126"/>
      <c r="K277" s="3126"/>
      <c r="L277" s="3126"/>
      <c r="M277" s="3126"/>
    </row>
    <row r="278" spans="1:21">
      <c r="A278" s="3127" t="s">
        <v>2795</v>
      </c>
      <c r="B278" s="3128" t="s">
        <v>2591</v>
      </c>
      <c r="C278" s="3128" t="s">
        <v>2592</v>
      </c>
      <c r="D278" s="3128" t="s">
        <v>2593</v>
      </c>
      <c r="E278" s="3128" t="s">
        <v>2594</v>
      </c>
      <c r="F278" s="3128" t="s">
        <v>2595</v>
      </c>
      <c r="G278" s="3128" t="s">
        <v>2596</v>
      </c>
      <c r="H278" s="3129" t="s">
        <v>2597</v>
      </c>
      <c r="I278" s="3129" t="s">
        <v>2598</v>
      </c>
      <c r="J278" s="3130" t="s">
        <v>2599</v>
      </c>
      <c r="K278" s="3130" t="s">
        <v>2600</v>
      </c>
      <c r="L278" s="3130" t="s">
        <v>2601</v>
      </c>
      <c r="M278" s="3131" t="s">
        <v>2602</v>
      </c>
      <c r="Q278" s="3141" t="s">
        <v>2800</v>
      </c>
      <c r="R278" s="3141" t="s">
        <v>2801</v>
      </c>
      <c r="S278" s="3141" t="s">
        <v>2804</v>
      </c>
      <c r="T278" s="3141" t="s">
        <v>2805</v>
      </c>
      <c r="U278" s="3141" t="s">
        <v>2803</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2799</v>
      </c>
      <c r="B369" s="3139"/>
      <c r="C369" s="3139"/>
      <c r="D369" s="3139"/>
      <c r="E369" s="3139"/>
      <c r="F369" s="3139"/>
      <c r="G369" s="3139"/>
      <c r="H369" s="3139"/>
      <c r="I369" s="3139"/>
      <c r="J369" s="3139"/>
      <c r="K369" s="3139"/>
      <c r="L369" s="3139"/>
      <c r="M369" s="3139"/>
    </row>
    <row r="370" spans="1:20">
      <c r="A370" s="3127" t="s">
        <v>2795</v>
      </c>
      <c r="B370" s="3128" t="s">
        <v>2591</v>
      </c>
      <c r="C370" s="3128" t="s">
        <v>2592</v>
      </c>
      <c r="D370" s="3128" t="s">
        <v>2593</v>
      </c>
      <c r="E370" s="3128" t="s">
        <v>2594</v>
      </c>
      <c r="F370" s="3128" t="s">
        <v>2595</v>
      </c>
      <c r="G370" s="3128" t="s">
        <v>2596</v>
      </c>
      <c r="H370" s="3129" t="s">
        <v>2597</v>
      </c>
      <c r="I370" s="3129" t="s">
        <v>2598</v>
      </c>
      <c r="J370" s="3130" t="s">
        <v>2599</v>
      </c>
      <c r="K370" s="3130" t="s">
        <v>2600</v>
      </c>
      <c r="L370" s="3130" t="s">
        <v>2601</v>
      </c>
      <c r="M370" s="3131" t="s">
        <v>2602</v>
      </c>
      <c r="N370" s="749">
        <f>SUMPRODUCT((A371:A460=ROUNDDOWN(基准地价修正!G3,1))*(B370:M370=基准地价修正!G2)*(B371:M460))</f>
        <v>0</v>
      </c>
      <c r="Q370" s="3141" t="s">
        <v>2800</v>
      </c>
      <c r="R370" s="3141" t="s">
        <v>2801</v>
      </c>
      <c r="S370" s="3141" t="s">
        <v>2802</v>
      </c>
      <c r="T370" s="3141" t="s">
        <v>2803</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29046</v>
      </c>
      <c r="C2" s="2" t="s">
        <v>106</v>
      </c>
      <c r="D2" s="199"/>
      <c r="E2" s="199"/>
      <c r="F2" s="199"/>
      <c r="G2" s="199"/>
    </row>
    <row r="3" spans="1:7" s="200" customFormat="1" ht="18" customHeight="1" thickBot="1">
      <c r="A3" s="203" t="s">
        <v>58</v>
      </c>
      <c r="B3" s="204">
        <f ca="1">ROUND(B2*10000/'数据-汇总表'!E3,0)</f>
        <v>470762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12</v>
      </c>
      <c r="D10" s="844">
        <f>'数据-汇总表'!E6</f>
        <v>617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12</v>
      </c>
      <c r="D19" s="848">
        <f>'数据-汇总表'!E3</f>
        <v>617</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1312</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13</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4207</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4207</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28797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216</v>
      </c>
      <c r="D34" s="217"/>
      <c r="E34" s="220"/>
      <c r="F34" s="257">
        <f>IF('数据-取费表'!B24=0,1,'数据-取费表'!N16)</f>
        <v>1</v>
      </c>
      <c r="G34" s="219" t="s">
        <v>89</v>
      </c>
    </row>
    <row r="35" spans="1:7" ht="13.5" customHeight="1">
      <c r="A35" s="779" t="s">
        <v>351</v>
      </c>
      <c r="B35" s="215" t="s">
        <v>33</v>
      </c>
      <c r="C35" s="220">
        <f>ROUND(C34*F35,0)</f>
        <v>11</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12</v>
      </c>
      <c r="D37" s="217">
        <f>'数据-汇总表'!E3</f>
        <v>617</v>
      </c>
      <c r="E37" s="249">
        <f>'数据-取费表'!B35</f>
        <v>200</v>
      </c>
      <c r="F37" s="259"/>
      <c r="G37" s="261" t="s">
        <v>92</v>
      </c>
    </row>
    <row r="38" spans="1:7" ht="13.5" customHeight="1">
      <c r="A38" s="779" t="s">
        <v>354</v>
      </c>
      <c r="B38" s="215" t="s">
        <v>36</v>
      </c>
      <c r="C38" s="220">
        <f>ROUND(C34*F38,0)</f>
        <v>4</v>
      </c>
      <c r="D38" s="220"/>
      <c r="E38" s="220"/>
      <c r="F38" s="259">
        <f>'数据-取费表'!B36</f>
        <v>0.02</v>
      </c>
      <c r="G38" s="219" t="s">
        <v>90</v>
      </c>
    </row>
    <row r="39" spans="1:7" s="214" customFormat="1" ht="13.5" customHeight="1">
      <c r="A39" s="776" t="s">
        <v>338</v>
      </c>
      <c r="B39" s="210" t="s">
        <v>77</v>
      </c>
      <c r="C39" s="232">
        <f>ROUND(C33*F20,0)</f>
        <v>5</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8</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8</v>
      </c>
      <c r="D42" s="238"/>
      <c r="E42" s="238"/>
      <c r="F42" s="239"/>
      <c r="G42" s="3659" t="s">
        <v>94</v>
      </c>
    </row>
    <row r="43" spans="1:7" ht="13.5" customHeight="1">
      <c r="A43" s="779" t="s">
        <v>347</v>
      </c>
      <c r="B43" s="215" t="s">
        <v>426</v>
      </c>
      <c r="C43" s="238">
        <f ca="1">ROUND(IF('数据-取费表'!B22&lt;=1,C39*F22*'数据-取费表'!B21/2,C39*(POWER((1+F22),'数据-取费表'!B21/2)-1)),0)</f>
        <v>0</v>
      </c>
      <c r="D43" s="238"/>
      <c r="E43" s="238"/>
      <c r="F43" s="239"/>
      <c r="G43" s="3660"/>
    </row>
    <row r="44" spans="1:7" ht="13.5" customHeight="1">
      <c r="A44" s="779" t="s">
        <v>348</v>
      </c>
      <c r="B44" s="215" t="s">
        <v>428</v>
      </c>
      <c r="C44" s="238">
        <f ca="1">ROUND(IF('数据-取费表'!B22&lt;=1,C40*F22*'数据-取费表'!B21/2,C40*(POWER((1+F22),'数据-取费表'!B21/2)-1)),4)</f>
        <v>5.9999999999999995E-4</v>
      </c>
      <c r="D44" s="238"/>
      <c r="E44" s="238"/>
      <c r="F44" s="239"/>
      <c r="G44" s="3661"/>
    </row>
    <row r="45" spans="1:7" s="214" customFormat="1" ht="13.5" customHeight="1">
      <c r="A45" s="776" t="s">
        <v>341</v>
      </c>
      <c r="B45" s="244" t="s">
        <v>85</v>
      </c>
      <c r="C45" s="245">
        <f>C46</f>
        <v>50</v>
      </c>
      <c r="D45" s="235">
        <f>C47</f>
        <v>4.0000000000000001E-3</v>
      </c>
      <c r="E45" s="236" t="s">
        <v>102</v>
      </c>
      <c r="F45" s="246"/>
      <c r="G45" s="247" t="s">
        <v>434</v>
      </c>
    </row>
    <row r="46" spans="1:7" s="214" customFormat="1" ht="13.5" customHeight="1">
      <c r="A46" s="779" t="s">
        <v>349</v>
      </c>
      <c r="B46" s="248" t="s">
        <v>427</v>
      </c>
      <c r="C46" s="249">
        <f>ROUND((C33+C39)*F27,0)</f>
        <v>50</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332</v>
      </c>
      <c r="D49" s="232"/>
      <c r="E49" s="232"/>
      <c r="F49" s="264"/>
      <c r="G49" s="234" t="s">
        <v>435</v>
      </c>
    </row>
    <row r="50" spans="1:7" s="258" customFormat="1" ht="24">
      <c r="A50" s="776" t="s">
        <v>344</v>
      </c>
      <c r="B50" s="210" t="s">
        <v>97</v>
      </c>
      <c r="C50" s="232"/>
      <c r="D50" s="232"/>
      <c r="E50" s="232"/>
      <c r="F50" s="264">
        <f>IF('数据-取费表'!B24=0,'数据-取费表'!N16,1)</f>
        <v>0.75</v>
      </c>
      <c r="G50" s="247" t="s">
        <v>98</v>
      </c>
    </row>
    <row r="51" spans="1:7" ht="16.5" customHeight="1">
      <c r="A51" s="776" t="s">
        <v>345</v>
      </c>
      <c r="B51" s="210" t="s">
        <v>105</v>
      </c>
      <c r="C51" s="232">
        <f ca="1">ROUND(C49*F50,0)</f>
        <v>249</v>
      </c>
      <c r="D51" s="232"/>
      <c r="E51" s="232"/>
      <c r="F51" s="264"/>
      <c r="G51" s="234" t="s">
        <v>37</v>
      </c>
    </row>
    <row r="52" spans="1:7" s="208" customFormat="1" ht="16.5" thickBot="1">
      <c r="A52" s="265" t="s">
        <v>38</v>
      </c>
      <c r="B52" s="266"/>
      <c r="C52" s="267">
        <f ca="1">C31+C51</f>
        <v>29046</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1"/>
      <c r="C2" s="3481"/>
      <c r="D2" s="3481"/>
      <c r="E2" s="3481"/>
    </row>
    <row r="3" spans="1:5" ht="18">
      <c r="A3" s="3482" t="str">
        <f>IF(项目基本情况!B9="房地产市场价值","估价结果一览表（市场价值不需“结果表-1”）","估价结果一览表")</f>
        <v>估价结果一览表</v>
      </c>
      <c r="B3" s="3482"/>
      <c r="C3" s="3482"/>
      <c r="D3" s="3482"/>
      <c r="E3" s="3482"/>
    </row>
    <row r="4" spans="1:5" ht="19.5" thickBot="1">
      <c r="A4" s="1492"/>
      <c r="B4" s="3480" t="s">
        <v>917</v>
      </c>
      <c r="C4" s="3480"/>
      <c r="D4" s="3480"/>
      <c r="E4" s="1492"/>
    </row>
    <row r="5" spans="1:5" ht="16.5" thickTop="1">
      <c r="A5" s="1490"/>
      <c r="B5" s="3478" t="s">
        <v>909</v>
      </c>
      <c r="C5" s="1493" t="s">
        <v>910</v>
      </c>
      <c r="D5" s="849">
        <f ca="1">结果表!H101</f>
        <v>1069</v>
      </c>
      <c r="E5" s="1490"/>
    </row>
    <row r="6" spans="1:5" ht="15.75">
      <c r="A6" s="1490"/>
      <c r="B6" s="3478"/>
      <c r="C6" s="1493" t="s">
        <v>911</v>
      </c>
      <c r="D6" s="849" t="str">
        <f ca="1">NUMBERSTRING(INT(D5*10000),2)&amp;"元整"</f>
        <v>壹仟零陆拾玖万元整</v>
      </c>
      <c r="E6" s="1490"/>
    </row>
    <row r="7" spans="1:5" ht="15.75">
      <c r="A7" s="1490"/>
      <c r="B7" s="3483"/>
      <c r="C7" s="1494" t="s">
        <v>912</v>
      </c>
      <c r="D7" s="850">
        <f ca="1">结果表!H102</f>
        <v>17318</v>
      </c>
      <c r="E7" s="1490"/>
    </row>
    <row r="8" spans="1:5" ht="15.75">
      <c r="A8" s="1490"/>
      <c r="B8" s="3484" t="str">
        <f>结果表!E103</f>
        <v>2.估价师知悉的法定优先受偿款</v>
      </c>
      <c r="C8" s="1495" t="s">
        <v>913</v>
      </c>
      <c r="D8" s="850">
        <f>结果表!H103</f>
        <v>0</v>
      </c>
      <c r="E8" s="1490"/>
    </row>
    <row r="9" spans="1:5" ht="15.75">
      <c r="A9" s="1490"/>
      <c r="B9" s="3486"/>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77" t="str">
        <f>结果表!E107</f>
        <v>3.房地产抵押价值</v>
      </c>
      <c r="C13" s="1498" t="s">
        <v>910</v>
      </c>
      <c r="D13" s="852">
        <f ca="1">结果表!H107</f>
        <v>1069</v>
      </c>
      <c r="E13" s="1490"/>
    </row>
    <row r="14" spans="1:5" ht="15.75">
      <c r="A14" s="1490"/>
      <c r="B14" s="3478"/>
      <c r="C14" s="1493" t="s">
        <v>911</v>
      </c>
      <c r="D14" s="849" t="str">
        <f ca="1">NUMBERSTRING(INT(D13*10000),2)&amp;"元整"</f>
        <v>壹仟零陆拾玖万元整</v>
      </c>
      <c r="E14" s="1490"/>
    </row>
    <row r="15" spans="1:5" ht="15">
      <c r="A15" s="1490"/>
      <c r="B15" s="3483"/>
      <c r="C15" s="1494" t="s">
        <v>921</v>
      </c>
      <c r="D15" s="858">
        <f ca="1">结果表!H108</f>
        <v>17318</v>
      </c>
      <c r="E15" s="1490"/>
    </row>
    <row r="16" spans="1:5" ht="15">
      <c r="A16" s="1490"/>
      <c r="B16" s="3484" t="str">
        <f>结果表!E109</f>
        <v>——</v>
      </c>
      <c r="C16" s="1498" t="s">
        <v>922</v>
      </c>
      <c r="D16" s="1499" t="str">
        <f>结果表!H109</f>
        <v>——</v>
      </c>
      <c r="E16" s="1490"/>
    </row>
    <row r="17" spans="1:5" ht="15.75">
      <c r="A17" s="1490"/>
      <c r="B17" s="3485"/>
      <c r="C17" s="1493" t="s">
        <v>923</v>
      </c>
      <c r="D17" s="849" t="e">
        <f>NUMBERSTRING(INT(D16*10000),2)&amp;"元整"</f>
        <v>#VALUE!</v>
      </c>
      <c r="E17" s="1490"/>
    </row>
    <row r="18" spans="1:5" ht="15">
      <c r="A18" s="1490"/>
      <c r="B18" s="3486"/>
      <c r="C18" s="1494" t="s">
        <v>912</v>
      </c>
      <c r="D18" s="858" t="str">
        <f>结果表!H110</f>
        <v>——</v>
      </c>
      <c r="E18" s="1490"/>
    </row>
    <row r="19" spans="1:5" ht="15.75">
      <c r="A19" s="1490"/>
      <c r="B19" s="3477" t="str">
        <f>结果表!E111</f>
        <v>——</v>
      </c>
      <c r="C19" s="1498" t="s">
        <v>910</v>
      </c>
      <c r="D19" s="850" t="str">
        <f>结果表!H111</f>
        <v>——</v>
      </c>
      <c r="E19" s="1490"/>
    </row>
    <row r="20" spans="1:5" ht="15.75">
      <c r="A20" s="1490"/>
      <c r="B20" s="3478"/>
      <c r="C20" s="1493" t="s">
        <v>923</v>
      </c>
      <c r="D20" s="849" t="e">
        <f>NUMBERSTRING(INT(D19*10000),2)&amp;"元整"</f>
        <v>#VALUE!</v>
      </c>
      <c r="E20" s="1490"/>
    </row>
    <row r="21" spans="1:5" ht="15.75" thickBot="1">
      <c r="A21" s="1490"/>
      <c r="B21" s="3479"/>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7" t="s">
        <v>3177</v>
      </c>
      <c r="B1" s="3797"/>
    </row>
    <row r="2" spans="1:7" ht="14.25" thickBot="1">
      <c r="A2" s="3254"/>
      <c r="B2" s="3254"/>
    </row>
    <row r="3" spans="1:7" ht="14.25" thickBot="1">
      <c r="A3" s="3254"/>
      <c r="B3" s="3254"/>
      <c r="C3" s="3255" t="s">
        <v>2807</v>
      </c>
      <c r="D3" s="3255" t="s">
        <v>2863</v>
      </c>
      <c r="E3" s="3255" t="s">
        <v>2809</v>
      </c>
      <c r="F3" s="3255" t="s">
        <v>2864</v>
      </c>
      <c r="G3" s="3255" t="s">
        <v>2627</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8" t="s">
        <v>3228</v>
      </c>
      <c r="B1" s="3798"/>
      <c r="C1" s="3798"/>
      <c r="D1" s="3798"/>
      <c r="E1" s="3798"/>
      <c r="F1" s="3799"/>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0">
        <f>基准地价修正!G23</f>
        <v>45765</v>
      </c>
      <c r="B1" s="3209" t="s">
        <v>3374</v>
      </c>
      <c r="C1" s="3210"/>
      <c r="D1" s="3210"/>
      <c r="E1" s="3210"/>
      <c r="F1" s="3210"/>
      <c r="G1" s="3210"/>
      <c r="H1" s="3210"/>
      <c r="I1" s="3210"/>
      <c r="J1" s="3164"/>
      <c r="K1" s="3210" t="s">
        <v>454</v>
      </c>
      <c r="L1" s="3210"/>
      <c r="M1" s="3210"/>
      <c r="N1" s="3210"/>
      <c r="O1" s="3210"/>
      <c r="P1" s="3210"/>
      <c r="Q1" s="3164"/>
      <c r="R1" s="3800" t="s">
        <v>456</v>
      </c>
      <c r="S1" s="3801"/>
      <c r="T1" s="3801"/>
      <c r="U1" s="3801"/>
      <c r="V1" s="3801"/>
      <c r="W1" s="3801"/>
      <c r="X1" s="3164"/>
      <c r="Y1" s="3800" t="s">
        <v>457</v>
      </c>
      <c r="Z1" s="3801"/>
      <c r="AA1" s="3801"/>
      <c r="AB1" s="3801"/>
      <c r="AC1" s="3801"/>
      <c r="AD1" s="3801"/>
    </row>
    <row r="2" spans="1:44" s="3142" customFormat="1" ht="14.25" thickBot="1">
      <c r="B2" s="3143"/>
      <c r="C2" s="3144"/>
      <c r="D2" s="3145" t="s">
        <v>2806</v>
      </c>
      <c r="E2" s="3146" t="s">
        <v>2807</v>
      </c>
      <c r="F2" s="3146" t="s">
        <v>2808</v>
      </c>
      <c r="G2" s="3146" t="s">
        <v>2809</v>
      </c>
      <c r="H2" s="3146" t="s">
        <v>2810</v>
      </c>
      <c r="I2" s="3146" t="s">
        <v>2627</v>
      </c>
      <c r="J2" s="3147"/>
      <c r="K2" s="3145" t="s">
        <v>2806</v>
      </c>
      <c r="L2" s="3146" t="s">
        <v>2807</v>
      </c>
      <c r="M2" s="3146" t="s">
        <v>2808</v>
      </c>
      <c r="N2" s="3146" t="s">
        <v>2809</v>
      </c>
      <c r="O2" s="3146" t="s">
        <v>2811</v>
      </c>
      <c r="P2" s="3146" t="s">
        <v>2627</v>
      </c>
      <c r="Q2" s="3147"/>
      <c r="R2" s="3145" t="s">
        <v>2806</v>
      </c>
      <c r="S2" s="3146" t="s">
        <v>2807</v>
      </c>
      <c r="T2" s="3146" t="s">
        <v>2808</v>
      </c>
      <c r="U2" s="3146" t="s">
        <v>2812</v>
      </c>
      <c r="V2" s="3146" t="s">
        <v>2813</v>
      </c>
      <c r="W2" s="3146" t="s">
        <v>2627</v>
      </c>
      <c r="X2" s="3147"/>
      <c r="Y2" s="3145" t="s">
        <v>2806</v>
      </c>
      <c r="Z2" s="3146" t="s">
        <v>2807</v>
      </c>
      <c r="AA2" s="3146" t="s">
        <v>2808</v>
      </c>
      <c r="AB2" s="3146" t="s">
        <v>2814</v>
      </c>
      <c r="AC2" s="3146" t="s">
        <v>2813</v>
      </c>
      <c r="AD2" s="3146" t="s">
        <v>2627</v>
      </c>
      <c r="AF2" t="s">
        <v>3401</v>
      </c>
      <c r="AG2" t="s">
        <v>673</v>
      </c>
      <c r="AH2" t="s">
        <v>21</v>
      </c>
      <c r="AI2" t="s">
        <v>3402</v>
      </c>
      <c r="AJ2" t="s">
        <v>3</v>
      </c>
      <c r="AK2" t="s">
        <v>3403</v>
      </c>
      <c r="AM2" t="s">
        <v>3401</v>
      </c>
      <c r="AN2" t="s">
        <v>673</v>
      </c>
      <c r="AO2" t="s">
        <v>21</v>
      </c>
      <c r="AP2" t="s">
        <v>3402</v>
      </c>
      <c r="AQ2" t="s">
        <v>3</v>
      </c>
      <c r="AR2" t="s">
        <v>3403</v>
      </c>
    </row>
    <row r="3" spans="1:44" s="3160" customFormat="1" ht="12.75">
      <c r="A3" s="3148" t="s">
        <v>2815</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3400</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4" t="s">
        <v>3399</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3398</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4" t="s">
        <v>3406</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4" t="s">
        <v>3405</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4" t="s">
        <v>3378</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3372</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3371</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3367</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3366</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3364</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3363</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3362</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3360</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3351</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2816</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2817</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2818</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2819</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2820</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3377</v>
      </c>
    </row>
    <row r="27" spans="1:44" s="3008" customFormat="1">
      <c r="I27" s="3207" t="s">
        <v>2821</v>
      </c>
    </row>
    <row r="28" spans="1:44" s="3008" customFormat="1"/>
    <row r="29" spans="1:44" s="3208" customFormat="1" ht="12.75">
      <c r="B29" s="3209" t="s">
        <v>3375</v>
      </c>
      <c r="C29" s="3210"/>
      <c r="D29" s="3210"/>
      <c r="E29" s="3210"/>
      <c r="F29" s="3210"/>
      <c r="G29" s="3210"/>
      <c r="H29" s="3210"/>
      <c r="I29" s="3210"/>
      <c r="J29" s="3164"/>
      <c r="K29" s="3210" t="s">
        <v>2822</v>
      </c>
      <c r="L29" s="3210"/>
      <c r="M29" s="3210"/>
      <c r="N29" s="3210"/>
      <c r="O29" s="3210"/>
      <c r="P29" s="3210"/>
      <c r="Q29" s="3164"/>
      <c r="R29" s="3800" t="s">
        <v>2823</v>
      </c>
      <c r="S29" s="3801"/>
      <c r="T29" s="3801"/>
      <c r="U29" s="3801"/>
      <c r="V29" s="3801"/>
      <c r="W29" s="3801"/>
      <c r="X29" s="3164"/>
      <c r="Y29" s="3800" t="s">
        <v>2824</v>
      </c>
      <c r="Z29" s="3801"/>
      <c r="AA29" s="3801"/>
      <c r="AB29" s="3801"/>
      <c r="AC29" s="3801"/>
      <c r="AD29" s="3801"/>
    </row>
    <row r="30" spans="1:44" s="3142" customFormat="1" ht="14.25" thickBot="1">
      <c r="B30" s="3143"/>
      <c r="C30" s="3144"/>
      <c r="D30" s="3145" t="s">
        <v>2825</v>
      </c>
      <c r="E30" s="3146" t="s">
        <v>2826</v>
      </c>
      <c r="F30" s="3146" t="s">
        <v>2827</v>
      </c>
      <c r="G30" s="3146" t="s">
        <v>2828</v>
      </c>
      <c r="H30" s="3146"/>
      <c r="I30" s="3146" t="s">
        <v>2829</v>
      </c>
      <c r="J30" s="3147"/>
      <c r="K30" s="3145" t="s">
        <v>2825</v>
      </c>
      <c r="L30" s="3146" t="s">
        <v>2826</v>
      </c>
      <c r="M30" s="3146" t="s">
        <v>2827</v>
      </c>
      <c r="N30" s="3146" t="s">
        <v>2828</v>
      </c>
      <c r="O30" s="3146"/>
      <c r="P30" s="3146" t="s">
        <v>2829</v>
      </c>
      <c r="Q30" s="3147"/>
      <c r="R30" s="3145" t="s">
        <v>2825</v>
      </c>
      <c r="S30" s="3146" t="s">
        <v>2826</v>
      </c>
      <c r="T30" s="3146" t="s">
        <v>2827</v>
      </c>
      <c r="U30" s="3146" t="s">
        <v>2828</v>
      </c>
      <c r="V30" s="3146"/>
      <c r="W30" s="3146" t="s">
        <v>2829</v>
      </c>
      <c r="X30" s="3147"/>
      <c r="Y30" s="3145" t="s">
        <v>2825</v>
      </c>
      <c r="Z30" s="3146" t="s">
        <v>2826</v>
      </c>
      <c r="AA30" s="3146" t="s">
        <v>2827</v>
      </c>
      <c r="AB30" s="3146" t="s">
        <v>2828</v>
      </c>
      <c r="AC30" s="3146"/>
      <c r="AD30" s="3146" t="s">
        <v>2829</v>
      </c>
      <c r="AG30" t="s">
        <v>673</v>
      </c>
      <c r="AH30" t="s">
        <v>21</v>
      </c>
      <c r="AI30" t="s">
        <v>3402</v>
      </c>
      <c r="AJ30"/>
      <c r="AK30" t="s">
        <v>3403</v>
      </c>
      <c r="AN30" t="s">
        <v>673</v>
      </c>
      <c r="AO30" t="s">
        <v>21</v>
      </c>
      <c r="AP30" t="s">
        <v>3402</v>
      </c>
      <c r="AQ30"/>
      <c r="AR30" t="s">
        <v>3403</v>
      </c>
    </row>
    <row r="31" spans="1:44" s="3160" customFormat="1" ht="12.75">
      <c r="A31" s="3148" t="s">
        <v>2830</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3400</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4" t="s">
        <v>3399</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3407</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4" t="s">
        <v>3404</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4" t="s">
        <v>3405</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4" t="s">
        <v>3369</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3373</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3370</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3368</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3366</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3365</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3363</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3362</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3361</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3351</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2831</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2832</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2833</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2834</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2820</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7" t="s">
        <v>452</v>
      </c>
      <c r="C1" s="3807"/>
      <c r="D1" s="3807"/>
      <c r="E1" s="3807"/>
      <c r="F1" s="3807"/>
      <c r="G1" s="3806" t="s">
        <v>453</v>
      </c>
      <c r="H1" s="3806"/>
      <c r="I1" s="3806"/>
      <c r="J1" s="3806"/>
      <c r="K1" s="3806"/>
      <c r="L1" s="3806"/>
      <c r="N1" s="3806" t="s">
        <v>454</v>
      </c>
      <c r="O1" s="3806"/>
      <c r="P1" s="3806"/>
      <c r="Q1" s="3806"/>
      <c r="S1" s="3806" t="s">
        <v>455</v>
      </c>
      <c r="T1" s="3806"/>
      <c r="U1" s="3806"/>
      <c r="V1" s="3806"/>
      <c r="X1" s="3805" t="s">
        <v>456</v>
      </c>
      <c r="Y1" s="3806"/>
      <c r="Z1" s="3806"/>
      <c r="AA1" s="3806"/>
      <c r="AB1" s="3806"/>
      <c r="AD1" s="3805" t="s">
        <v>457</v>
      </c>
      <c r="AE1" s="3806"/>
      <c r="AF1" s="3806"/>
      <c r="AG1" s="3806"/>
      <c r="AH1" s="380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2432</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2309</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2308</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2307</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2304</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2303</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3">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4">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3">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4">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5" t="s">
        <v>2835</v>
      </c>
      <c r="B1" s="3815"/>
      <c r="C1" s="3815"/>
      <c r="D1" s="3815"/>
      <c r="E1" s="3815"/>
      <c r="F1" s="3815"/>
      <c r="G1" s="3816"/>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813" t="s">
        <v>2862</v>
      </c>
      <c r="B3" s="3229"/>
      <c r="C3" s="3230" t="s">
        <v>2807</v>
      </c>
      <c r="D3" s="3230" t="s">
        <v>2863</v>
      </c>
      <c r="E3" s="3230" t="s">
        <v>2809</v>
      </c>
      <c r="F3" s="3230" t="s">
        <v>2864</v>
      </c>
      <c r="G3" s="3230" t="s">
        <v>2627</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814"/>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45765</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2305</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34" sqref="R34"/>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4" t="str">
        <f>IF(项目基本情况!B9="房地产市场价值","估价结果一览表","结果表-2")</f>
        <v>结果表-2</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在建建筑物价值</v>
      </c>
      <c r="G2" s="3495"/>
      <c r="H2" s="3495" t="str">
        <f>IF(项目基本情况!B9="房地产市场价值","房地产市场价值","房地产价值")</f>
        <v>房地产价值</v>
      </c>
      <c r="I2" s="3495"/>
    </row>
    <row r="3" spans="1:9" ht="15">
      <c r="A3" s="3490"/>
      <c r="B3" s="3490"/>
      <c r="C3" s="3490"/>
      <c r="D3" s="853" t="s">
        <v>925</v>
      </c>
      <c r="E3" s="853" t="s">
        <v>931</v>
      </c>
      <c r="F3" s="853" t="s">
        <v>925</v>
      </c>
      <c r="G3" s="853" t="s">
        <v>926</v>
      </c>
      <c r="H3" s="853" t="s">
        <v>925</v>
      </c>
      <c r="I3" s="853" t="s">
        <v>926</v>
      </c>
    </row>
    <row r="4" spans="1:9" ht="15">
      <c r="A4" s="1504" t="str">
        <f>项目基本情况!S2</f>
        <v>北京市房地产</v>
      </c>
      <c r="B4" s="853">
        <f>项目基本情况!C17</f>
        <v>617</v>
      </c>
      <c r="C4" s="853">
        <f>项目基本情况!C18</f>
        <v>0</v>
      </c>
      <c r="D4" s="853">
        <f ca="1">结果表!D118</f>
        <v>773</v>
      </c>
      <c r="E4" s="853">
        <f ca="1">结果表!E118</f>
        <v>12521</v>
      </c>
      <c r="F4" s="853">
        <f ca="1">结果表!F118</f>
        <v>296</v>
      </c>
      <c r="G4" s="853">
        <f ca="1">结果表!G118</f>
        <v>4797</v>
      </c>
      <c r="H4" s="853">
        <f ca="1">结果表!H118</f>
        <v>1069</v>
      </c>
      <c r="I4" s="853">
        <f ca="1">结果表!I118</f>
        <v>17318</v>
      </c>
    </row>
    <row r="5" spans="1:9" ht="30" customHeight="1">
      <c r="A5" s="3490" t="s">
        <v>927</v>
      </c>
      <c r="B5" s="3490"/>
      <c r="C5" s="3490"/>
      <c r="D5" s="3490" t="str">
        <f ca="1">结果表!D119</f>
        <v>柒佰柒拾叁万元整</v>
      </c>
      <c r="E5" s="3490"/>
      <c r="F5" s="3490" t="str">
        <f ca="1">结果表!F119</f>
        <v>贰佰玖拾陆万元整</v>
      </c>
      <c r="G5" s="3490"/>
      <c r="H5" s="3490" t="str">
        <f ca="1">结果表!H119</f>
        <v>壹仟零陆拾玖万元整</v>
      </c>
      <c r="I5" s="3490"/>
    </row>
    <row r="6" spans="1:9" ht="15.75">
      <c r="A6" s="3489" t="str">
        <f>结果表!A120</f>
        <v>估价师知悉的法定优先受偿款</v>
      </c>
      <c r="B6" s="3489"/>
      <c r="C6" s="3489"/>
      <c r="D6" s="3489">
        <f>结果表!D120</f>
        <v>0</v>
      </c>
      <c r="E6" s="3489"/>
      <c r="F6" s="3489"/>
      <c r="G6" s="3489"/>
      <c r="H6" s="3489"/>
      <c r="I6" s="3489"/>
    </row>
    <row r="7" spans="1:9" ht="15">
      <c r="A7" s="3490" t="s">
        <v>927</v>
      </c>
      <c r="B7" s="3490"/>
      <c r="C7" s="3490"/>
      <c r="D7" s="3491" t="str">
        <f>结果表!D121</f>
        <v>零元整</v>
      </c>
      <c r="E7" s="3492"/>
      <c r="F7" s="3492"/>
      <c r="G7" s="3492"/>
      <c r="H7" s="3492"/>
      <c r="I7" s="3493"/>
    </row>
    <row r="8" spans="1:9" ht="15.75">
      <c r="A8" s="3489" t="str">
        <f>结果表!A122</f>
        <v>房地产抵押价值</v>
      </c>
      <c r="B8" s="3489"/>
      <c r="C8" s="3489"/>
      <c r="D8" s="3489">
        <f ca="1">结果表!D122</f>
        <v>1069</v>
      </c>
      <c r="E8" s="3489"/>
      <c r="F8" s="3489"/>
      <c r="G8" s="3489"/>
      <c r="H8" s="3489"/>
      <c r="I8" s="3489"/>
    </row>
    <row r="9" spans="1:9" ht="15">
      <c r="A9" s="3490" t="s">
        <v>927</v>
      </c>
      <c r="B9" s="3490"/>
      <c r="C9" s="3490"/>
      <c r="D9" s="3490" t="str">
        <f ca="1">结果表!D123</f>
        <v>壹仟零陆拾玖万元整</v>
      </c>
      <c r="E9" s="3490"/>
      <c r="F9" s="3490"/>
      <c r="G9" s="3490"/>
      <c r="H9" s="3490"/>
      <c r="I9" s="3490"/>
    </row>
    <row r="10" spans="1:9" ht="15.75">
      <c r="A10" s="3489" t="str">
        <f>结果表!A124</f>
        <v/>
      </c>
      <c r="B10" s="3489"/>
      <c r="C10" s="3489"/>
      <c r="D10" s="3489" t="str">
        <f>结果表!D124</f>
        <v>——</v>
      </c>
      <c r="E10" s="3489"/>
      <c r="F10" s="3489"/>
      <c r="G10" s="3489"/>
      <c r="H10" s="3489"/>
      <c r="I10" s="3489"/>
    </row>
    <row r="11" spans="1:9" ht="15">
      <c r="A11" s="3490" t="s">
        <v>927</v>
      </c>
      <c r="B11" s="3490"/>
      <c r="C11" s="3490"/>
      <c r="D11" s="3490" t="e">
        <f>结果表!D125</f>
        <v>#VALUE!</v>
      </c>
      <c r="E11" s="3490"/>
      <c r="F11" s="3490"/>
      <c r="G11" s="3490"/>
      <c r="H11" s="3490"/>
      <c r="I11" s="3490"/>
    </row>
    <row r="12" spans="1:9" ht="15.75">
      <c r="A12" s="3489" t="str">
        <f>结果表!A126</f>
        <v/>
      </c>
      <c r="B12" s="3489"/>
      <c r="C12" s="3489"/>
      <c r="D12" s="3489" t="str">
        <f>结果表!D126</f>
        <v>——</v>
      </c>
      <c r="E12" s="3489"/>
      <c r="F12" s="3489"/>
      <c r="G12" s="3489"/>
      <c r="H12" s="3489"/>
      <c r="I12" s="3489"/>
    </row>
    <row r="13" spans="1:9" ht="15.75" thickBot="1">
      <c r="A13" s="3487" t="s">
        <v>927</v>
      </c>
      <c r="B13" s="3487"/>
      <c r="C13" s="3487"/>
      <c r="D13" s="3487" t="e">
        <f>结果表!D127</f>
        <v>#VALUE!</v>
      </c>
      <c r="E13" s="3487"/>
      <c r="F13" s="3487"/>
      <c r="G13" s="3487"/>
      <c r="H13" s="3487"/>
      <c r="I13" s="3487"/>
    </row>
    <row r="14" spans="1:9" ht="15" thickTop="1">
      <c r="A14" s="3488" t="s">
        <v>932</v>
      </c>
      <c r="B14" s="3488"/>
      <c r="C14" s="3488"/>
      <c r="D14" s="3488"/>
      <c r="E14" s="3488"/>
      <c r="F14" s="3488"/>
      <c r="G14" s="3488"/>
      <c r="H14" s="3488"/>
      <c r="I14" s="348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2" t="s">
        <v>949</v>
      </c>
      <c r="B1" s="3502"/>
      <c r="C1" s="3502"/>
      <c r="D1" s="3502"/>
    </row>
    <row r="2" spans="1:4" ht="18">
      <c r="A2" s="3503" t="s">
        <v>933</v>
      </c>
      <c r="B2" s="3503"/>
      <c r="C2" s="3503"/>
      <c r="D2" s="3503"/>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3" t="s">
        <v>939</v>
      </c>
      <c r="B6" s="3503"/>
      <c r="C6" s="3503"/>
      <c r="D6" s="3503"/>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04" t="s">
        <v>942</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1"/>
      <c r="C12" s="3501"/>
      <c r="D12" s="3501"/>
    </row>
    <row r="13" spans="1:4" ht="30" customHeight="1">
      <c r="A13" s="34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1"/>
      <c r="C13" s="3501"/>
      <c r="D13" s="3501"/>
    </row>
    <row r="14" spans="1:4" ht="15.75" customHeight="1">
      <c r="A14" s="3496" t="str">
        <f>IF(项目基本情况!B8="抵押","4.本次评估估价师所知悉的法定优先受偿款情况说明如下：","——")</f>
        <v>4.本次评估估价师所知悉的法定优先受偿款情况说明如下：</v>
      </c>
      <c r="B14" s="3501"/>
      <c r="C14" s="3501"/>
      <c r="D14" s="3501"/>
    </row>
    <row r="15" spans="1:4" ht="42" customHeight="1">
      <c r="A15" s="34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6"/>
      <c r="C15" s="3496"/>
      <c r="D15" s="3496"/>
    </row>
    <row r="16" spans="1:4" ht="30" customHeight="1">
      <c r="A16" s="3498" t="s">
        <v>943</v>
      </c>
      <c r="B16" s="3498"/>
      <c r="C16" s="3498"/>
      <c r="D16" s="3498"/>
    </row>
    <row r="17" spans="1:4" ht="144" customHeight="1">
      <c r="A17" s="3498" t="s">
        <v>944</v>
      </c>
      <c r="B17" s="3498"/>
      <c r="C17" s="3498"/>
      <c r="D17" s="3498"/>
    </row>
    <row r="18" spans="1:4" ht="15.75" customHeight="1">
      <c r="A18" s="3496" t="str">
        <f>IF(项目基本情况!B8="抵押",结果表!K120,"——")</f>
        <v>故，本次评估不存在估价师知悉的法定优先受偿款</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9"/>
      <c r="C21" s="3499"/>
      <c r="D21" s="3499"/>
    </row>
    <row r="22" spans="1:4" ht="18.75" customHeight="1">
      <c r="A22" s="3500" t="s">
        <v>945</v>
      </c>
      <c r="B22" s="3500"/>
      <c r="C22" s="3500"/>
      <c r="D22" s="350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7">
        <v>42551</v>
      </c>
      <c r="D31" s="34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0" t="s">
        <v>956</v>
      </c>
      <c r="B15" s="3505" t="s">
        <v>109</v>
      </c>
      <c r="C15" s="3506"/>
    </row>
    <row r="16" spans="1:7" ht="13.5">
      <c r="A16" s="3511"/>
      <c r="B16" s="3505" t="s">
        <v>42</v>
      </c>
      <c r="C16" s="3506"/>
    </row>
    <row r="17" spans="1:3" ht="13.5">
      <c r="A17" s="3511"/>
      <c r="B17" s="3508" t="s">
        <v>957</v>
      </c>
      <c r="C17" s="1531" t="s">
        <v>956</v>
      </c>
    </row>
    <row r="18" spans="1:3" ht="13.5">
      <c r="A18" s="3511"/>
      <c r="B18" s="3508"/>
      <c r="C18" s="1531" t="s">
        <v>958</v>
      </c>
    </row>
    <row r="19" spans="1:3" ht="13.5">
      <c r="A19" s="3511"/>
      <c r="B19" s="3508"/>
      <c r="C19" s="1531" t="s">
        <v>959</v>
      </c>
    </row>
    <row r="20" spans="1:3" ht="13.5">
      <c r="A20" s="3512"/>
      <c r="B20" s="3507" t="s">
        <v>960</v>
      </c>
      <c r="C20" s="3506"/>
    </row>
    <row r="21" spans="1:3" ht="13.5">
      <c r="A21" s="1532" t="s">
        <v>961</v>
      </c>
      <c r="B21" s="1533"/>
      <c r="C21" s="1534"/>
    </row>
    <row r="22" spans="1:3" ht="13.5">
      <c r="A22" s="3509" t="s">
        <v>962</v>
      </c>
      <c r="B22" s="3507" t="s">
        <v>963</v>
      </c>
      <c r="C22" s="3506"/>
    </row>
    <row r="23" spans="1:3" ht="13.5">
      <c r="A23" s="3509"/>
      <c r="B23" s="3507" t="s">
        <v>964</v>
      </c>
      <c r="C23" s="3506"/>
    </row>
    <row r="24" spans="1:3" ht="13.5">
      <c r="A24" s="3509"/>
      <c r="B24" s="3507" t="s">
        <v>965</v>
      </c>
      <c r="C24" s="3506"/>
    </row>
    <row r="25" spans="1:3" ht="13.5">
      <c r="A25" s="3509"/>
      <c r="B25" s="3508" t="s">
        <v>966</v>
      </c>
      <c r="C25" s="1531" t="s">
        <v>967</v>
      </c>
    </row>
    <row r="26" spans="1:3" ht="13.5">
      <c r="A26" s="3509"/>
      <c r="B26" s="3508"/>
      <c r="C26" s="1531" t="s">
        <v>968</v>
      </c>
    </row>
    <row r="27" spans="1:3" ht="13.5">
      <c r="A27" s="3509"/>
      <c r="B27" s="3508"/>
      <c r="C27" s="1531" t="s">
        <v>969</v>
      </c>
    </row>
    <row r="28" spans="1:3" ht="13.5">
      <c r="A28" s="3509"/>
      <c r="B28" s="3508"/>
      <c r="C28" s="1531" t="s">
        <v>970</v>
      </c>
    </row>
    <row r="29" spans="1:3" ht="13.5">
      <c r="A29" s="3509"/>
      <c r="B29" s="3508"/>
      <c r="C29" s="1531" t="s">
        <v>971</v>
      </c>
    </row>
    <row r="30" spans="1:3" ht="13.5">
      <c r="A30" s="3509"/>
      <c r="B30" s="3508"/>
      <c r="C30" s="1531" t="s">
        <v>972</v>
      </c>
    </row>
    <row r="31" spans="1:3" ht="13.5">
      <c r="A31" s="3509"/>
      <c r="B31" s="3508"/>
      <c r="C31" s="1531" t="s">
        <v>973</v>
      </c>
    </row>
    <row r="32" spans="1:3" ht="13.5">
      <c r="A32" s="3509"/>
      <c r="B32" s="3508"/>
      <c r="C32" s="1531" t="s">
        <v>974</v>
      </c>
    </row>
    <row r="33" spans="1:3" ht="13.5">
      <c r="A33" s="3509"/>
      <c r="B33" s="350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45770</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t="str">
        <f ca="1">IF(C10&lt;B2,"已过期",1120100036)</f>
        <v>已过期</v>
      </c>
      <c r="C10" s="2349">
        <v>45752</v>
      </c>
      <c r="D10" s="2345" t="str">
        <f t="shared" ca="1" si="0"/>
        <v>崔锴（注册号：已过期）</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2433</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3" t="s">
        <v>2160</v>
      </c>
      <c r="B17" s="3513"/>
      <c r="C17" s="3513"/>
      <c r="D17" s="3513"/>
      <c r="E17" s="3513"/>
      <c r="F17" s="3513"/>
      <c r="G17" s="3513"/>
      <c r="H17" s="3513"/>
    </row>
    <row r="18" spans="1:8" ht="24" customHeight="1">
      <c r="A18" s="3514" t="s">
        <v>2161</v>
      </c>
      <c r="B18" s="3514"/>
      <c r="C18" s="3514"/>
      <c r="D18" s="2342"/>
      <c r="E18" s="3515" t="s">
        <v>2162</v>
      </c>
      <c r="F18" s="3514"/>
      <c r="G18" s="3514"/>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2434</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2025-04-23T02:36:11Z</dcterms:modified>
</cp:coreProperties>
</file>