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90" yWindow="7365" windowWidth="28620" windowHeight="460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20200214地块划分明细表" sheetId="82"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state="hidden" r:id="rId21"/>
    <sheet name="成本法 (元)" sheetId="69" state="hidden" r:id="rId22"/>
    <sheet name="假设开发法" sheetId="12" r:id="rId23"/>
    <sheet name="比较法-住宅" sheetId="21" state="hidden"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未售清单" sheetId="79" state="hidden" r:id="rId46"/>
    <sheet name="土地案例" sheetId="77" state="hidden" r:id="rId47"/>
    <sheet name="土地案例-商业" sheetId="81" r:id="rId48"/>
    <sheet name="案例" sheetId="78" r:id="rId49"/>
    <sheet name="结果汇总" sheetId="80"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45" hidden="1">未售清单!$A$1:$AF$476</definedName>
    <definedName name="_xlnm._FilterDatabase" localSheetId="11" hidden="1">项目基本情况!$A$42:$N$42</definedName>
    <definedName name="_xlnm.Print_Area" localSheetId="9">'20200214地块划分明细表'!$A$1:$M$6</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 i="39" l="1"/>
  <c r="F6" i="15"/>
  <c r="F8" i="15"/>
  <c r="F7" i="15"/>
  <c r="F9" i="15"/>
  <c r="C6" i="15"/>
  <c r="F4" i="73"/>
  <c r="I1" i="73"/>
  <c r="B39" i="1"/>
  <c r="F11" i="15"/>
  <c r="C10" i="15"/>
  <c r="C5" i="15"/>
  <c r="C32" i="15"/>
  <c r="C33" i="15"/>
  <c r="R6" i="1"/>
  <c r="F35" i="15"/>
  <c r="C34" i="15"/>
  <c r="C31" i="15"/>
  <c r="C14" i="15"/>
  <c r="F15" i="15"/>
  <c r="C15" i="15"/>
  <c r="F16" i="15"/>
  <c r="C16" i="15"/>
  <c r="F43" i="15"/>
  <c r="B35" i="1"/>
  <c r="F17" i="15"/>
  <c r="C17" i="15"/>
  <c r="C18" i="15"/>
  <c r="C19" i="15"/>
  <c r="F20" i="15"/>
  <c r="C20" i="15"/>
  <c r="D6" i="73"/>
  <c r="K1" i="73"/>
  <c r="D5" i="73"/>
  <c r="G1" i="73"/>
  <c r="B40" i="1"/>
  <c r="F24" i="15"/>
  <c r="C23" i="15"/>
  <c r="F26" i="15"/>
  <c r="C26" i="15"/>
  <c r="F21" i="15"/>
  <c r="C24" i="15"/>
  <c r="C27" i="15"/>
  <c r="C29" i="15"/>
  <c r="F36" i="15"/>
  <c r="C36" i="15"/>
  <c r="F13" i="15"/>
  <c r="C13" i="15"/>
  <c r="F37" i="15"/>
  <c r="C37" i="15"/>
  <c r="F38" i="15"/>
  <c r="C38" i="15"/>
  <c r="C30" i="15"/>
  <c r="C39" i="15"/>
  <c r="F42" i="15"/>
  <c r="F40" i="15"/>
  <c r="E15" i="4"/>
  <c r="F6" i="1"/>
  <c r="L48" i="15"/>
  <c r="J53" i="15"/>
  <c r="F1" i="15"/>
  <c r="AE6" i="1"/>
  <c r="F41" i="15"/>
  <c r="C40" i="15"/>
  <c r="M6" i="15"/>
  <c r="M8" i="15"/>
  <c r="M7" i="15"/>
  <c r="M9" i="15"/>
  <c r="J6" i="15"/>
  <c r="M11" i="15"/>
  <c r="J10" i="15"/>
  <c r="J5" i="15"/>
  <c r="J26" i="15"/>
  <c r="J29" i="15"/>
  <c r="J60" i="15"/>
  <c r="L46" i="15"/>
  <c r="B2" i="15"/>
  <c r="C8" i="12"/>
  <c r="C4" i="12"/>
  <c r="C11" i="12"/>
  <c r="F12" i="12"/>
  <c r="C12" i="12"/>
  <c r="F13" i="12"/>
  <c r="C13" i="12"/>
  <c r="D14" i="12"/>
  <c r="F11" i="12"/>
  <c r="E14" i="12"/>
  <c r="C14" i="12"/>
  <c r="C15" i="12"/>
  <c r="C16" i="12"/>
  <c r="D17" i="12"/>
  <c r="E17" i="12"/>
  <c r="C17" i="12"/>
  <c r="D19" i="12"/>
  <c r="C19" i="12"/>
  <c r="D20" i="12"/>
  <c r="C20" i="12"/>
  <c r="C18" i="12"/>
  <c r="C21" i="12"/>
  <c r="F22" i="12"/>
  <c r="C22" i="12"/>
  <c r="F23" i="12"/>
  <c r="C23" i="12"/>
  <c r="F25" i="12"/>
  <c r="C27" i="12"/>
  <c r="C25" i="12"/>
  <c r="F28" i="12"/>
  <c r="C30" i="12"/>
  <c r="C28" i="12"/>
  <c r="C31" i="12"/>
  <c r="C26" i="12"/>
  <c r="D25" i="12"/>
  <c r="C29" i="12"/>
  <c r="D28" i="12"/>
  <c r="C32" i="12"/>
  <c r="B2" i="12"/>
  <c r="D19" i="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1" i="73"/>
  <c r="L1" i="73"/>
  <c r="C42" i="1"/>
  <c r="J1" i="73"/>
  <c r="B22" i="1"/>
  <c r="E1" i="73"/>
  <c r="F23" i="15"/>
  <c r="C28" i="15"/>
  <c r="B24" i="1"/>
  <c r="J51" i="15"/>
  <c r="C24" i="12"/>
  <c r="D27" i="9"/>
  <c r="D30" i="9"/>
  <c r="C24" i="9"/>
  <c r="W26" i="1"/>
  <c r="C94" i="9"/>
  <c r="C88" i="9"/>
  <c r="E111" i="9"/>
  <c r="C89" i="9"/>
  <c r="C87" i="9"/>
  <c r="F34" i="68"/>
  <c r="C34" i="68"/>
  <c r="F35" i="68"/>
  <c r="C35" i="68"/>
  <c r="F36" i="68"/>
  <c r="C36" i="68"/>
  <c r="D9" i="68"/>
  <c r="D10" i="68"/>
  <c r="D19" i="68"/>
  <c r="D37" i="68"/>
  <c r="E37" i="68"/>
  <c r="C37" i="68"/>
  <c r="C38" i="68"/>
  <c r="C33" i="68"/>
  <c r="C91" i="9"/>
  <c r="C92" i="9"/>
  <c r="M56" i="9"/>
  <c r="B26" i="31"/>
  <c r="B25" i="31"/>
  <c r="B24" i="31"/>
  <c r="A26" i="31"/>
  <c r="A25" i="31"/>
  <c r="A24" i="31"/>
  <c r="W25" i="1"/>
  <c r="W24" i="1"/>
  <c r="W23" i="1"/>
  <c r="W22" i="1"/>
  <c r="L6" i="1"/>
  <c r="M23" i="1"/>
  <c r="O23" i="1"/>
  <c r="O25" i="1"/>
  <c r="O26" i="1"/>
  <c r="I13" i="3"/>
  <c r="K33" i="80"/>
  <c r="L33" i="80"/>
  <c r="A3" i="3"/>
  <c r="H6" i="82"/>
  <c r="G6" i="82"/>
  <c r="F6" i="82"/>
  <c r="E6" i="82"/>
  <c r="D6" i="82"/>
  <c r="J5" i="82"/>
  <c r="K5" i="82"/>
  <c r="J4" i="82"/>
  <c r="K4" i="82"/>
  <c r="K3" i="82"/>
  <c r="L6" i="82"/>
  <c r="K6" i="82"/>
  <c r="J6" i="82"/>
  <c r="N14" i="1"/>
  <c r="L14" i="1"/>
  <c r="I46" i="39"/>
  <c r="G46" i="39"/>
  <c r="E46" i="39"/>
  <c r="I38" i="39"/>
  <c r="G38" i="39"/>
  <c r="E38" i="39"/>
  <c r="I11" i="39"/>
  <c r="G11" i="39"/>
  <c r="E11" i="39"/>
  <c r="I7" i="39"/>
  <c r="G7" i="39"/>
  <c r="E7" i="39"/>
  <c r="I5" i="39"/>
  <c r="G5" i="39"/>
  <c r="E5" i="39"/>
  <c r="S4" i="81"/>
  <c r="S3" i="81"/>
  <c r="S2" i="81"/>
  <c r="S41" i="81"/>
  <c r="S40" i="81"/>
  <c r="S39" i="81"/>
  <c r="S38" i="81"/>
  <c r="S37" i="81"/>
  <c r="S36" i="81"/>
  <c r="S35" i="81"/>
  <c r="S34" i="81"/>
  <c r="S33" i="81"/>
  <c r="S32" i="81"/>
  <c r="S31" i="81"/>
  <c r="S30" i="81"/>
  <c r="S29" i="81"/>
  <c r="S28" i="81"/>
  <c r="S27" i="81"/>
  <c r="S26" i="81"/>
  <c r="S25" i="81"/>
  <c r="S24" i="81"/>
  <c r="S23" i="81"/>
  <c r="S22" i="81"/>
  <c r="S21" i="81"/>
  <c r="S20" i="81"/>
  <c r="S19" i="81"/>
  <c r="S18" i="81"/>
  <c r="S17" i="81"/>
  <c r="S16" i="81"/>
  <c r="S15" i="81"/>
  <c r="S14" i="81"/>
  <c r="S13" i="81"/>
  <c r="S12" i="81"/>
  <c r="S11" i="81"/>
  <c r="S10" i="81"/>
  <c r="S9" i="81"/>
  <c r="S8" i="81"/>
  <c r="C11" i="4"/>
  <c r="B7" i="4"/>
  <c r="G42" i="80"/>
  <c r="F42" i="80"/>
  <c r="I47" i="21"/>
  <c r="G47" i="21"/>
  <c r="E47" i="21"/>
  <c r="I33" i="80"/>
  <c r="I41" i="80"/>
  <c r="I42" i="80"/>
  <c r="H28" i="80"/>
  <c r="H29" i="80"/>
  <c r="H30" i="80"/>
  <c r="H31" i="80"/>
  <c r="H32" i="80"/>
  <c r="H34" i="80"/>
  <c r="H35" i="80"/>
  <c r="H36" i="80"/>
  <c r="H37" i="80"/>
  <c r="H38" i="80"/>
  <c r="H39" i="80"/>
  <c r="H40" i="80"/>
  <c r="H27" i="80"/>
  <c r="H41" i="80"/>
  <c r="H42" i="80"/>
  <c r="K41" i="80"/>
  <c r="K42" i="80"/>
  <c r="L28" i="80"/>
  <c r="L29" i="80"/>
  <c r="L30" i="80"/>
  <c r="L31" i="80"/>
  <c r="L32" i="80"/>
  <c r="L34" i="80"/>
  <c r="L35" i="80"/>
  <c r="L36" i="80"/>
  <c r="L37" i="80"/>
  <c r="L38" i="80"/>
  <c r="L39" i="80"/>
  <c r="L40" i="80"/>
  <c r="L27" i="80"/>
  <c r="K2" i="80"/>
  <c r="B16" i="80"/>
  <c r="B17" i="80"/>
  <c r="E8" i="80"/>
  <c r="K4" i="80"/>
  <c r="K5" i="80"/>
  <c r="K6" i="80"/>
  <c r="K7" i="80"/>
  <c r="K8" i="80"/>
  <c r="G8" i="80"/>
  <c r="K9" i="80"/>
  <c r="K10" i="80"/>
  <c r="K11" i="80"/>
  <c r="K12" i="80"/>
  <c r="K13" i="80"/>
  <c r="K14" i="80"/>
  <c r="K15" i="80"/>
  <c r="E3" i="80"/>
  <c r="E4" i="80"/>
  <c r="E5" i="80"/>
  <c r="C4" i="80"/>
  <c r="C5" i="80"/>
  <c r="C6" i="80"/>
  <c r="C7" i="80"/>
  <c r="C8" i="80"/>
  <c r="C9" i="80"/>
  <c r="C10" i="80"/>
  <c r="C11" i="80"/>
  <c r="C12" i="80"/>
  <c r="C13" i="80"/>
  <c r="C14" i="80"/>
  <c r="C15" i="80"/>
  <c r="C3" i="80"/>
  <c r="K3" i="80"/>
  <c r="K16" i="80"/>
  <c r="C16" i="80"/>
  <c r="C17" i="80"/>
  <c r="G4" i="80"/>
  <c r="F4" i="80"/>
  <c r="G3" i="80"/>
  <c r="F3" i="80"/>
  <c r="G5" i="80"/>
  <c r="F5" i="80"/>
  <c r="E6" i="80"/>
  <c r="E7" i="80"/>
  <c r="E9" i="80"/>
  <c r="G6" i="80"/>
  <c r="F6" i="80"/>
  <c r="G7" i="80"/>
  <c r="F7" i="80"/>
  <c r="F8" i="80"/>
  <c r="G9" i="80"/>
  <c r="F9" i="80"/>
  <c r="E10" i="80"/>
  <c r="E11" i="80"/>
  <c r="G10" i="80"/>
  <c r="F10" i="80"/>
  <c r="E12" i="80"/>
  <c r="G11" i="80"/>
  <c r="F11" i="80"/>
  <c r="E13" i="80"/>
  <c r="E14" i="80"/>
  <c r="E15" i="80"/>
  <c r="G12" i="80"/>
  <c r="F12" i="80"/>
  <c r="G13" i="80"/>
  <c r="F13" i="80"/>
  <c r="G15" i="80"/>
  <c r="F15" i="80"/>
  <c r="G14" i="80"/>
  <c r="F14" i="80"/>
  <c r="C38" i="39"/>
  <c r="T301" i="78"/>
  <c r="T286" i="78"/>
  <c r="O250" i="78"/>
  <c r="O247" i="78"/>
  <c r="O246" i="78"/>
  <c r="BM13" i="3"/>
  <c r="BQ13" i="3"/>
  <c r="AC13" i="3"/>
  <c r="D81" i="39"/>
  <c r="E81" i="39"/>
  <c r="F81" i="39"/>
  <c r="G81" i="39"/>
  <c r="H81" i="39"/>
  <c r="I81" i="39"/>
  <c r="J81" i="39"/>
  <c r="K81" i="39"/>
  <c r="L81" i="39"/>
  <c r="M81" i="39"/>
  <c r="D89" i="39"/>
  <c r="E89" i="39"/>
  <c r="F89" i="39"/>
  <c r="T46" i="39"/>
  <c r="H19" i="39"/>
  <c r="AB19" i="39"/>
  <c r="C19" i="68"/>
  <c r="F20" i="68"/>
  <c r="F21" i="68"/>
  <c r="C21" i="68"/>
  <c r="F50" i="68"/>
  <c r="L20" i="6"/>
  <c r="D77" i="21"/>
  <c r="E77" i="21"/>
  <c r="F77" i="21"/>
  <c r="D81" i="21"/>
  <c r="E81" i="21"/>
  <c r="C17" i="9"/>
  <c r="D17" i="9"/>
  <c r="C30" i="9"/>
  <c r="B27" i="9"/>
  <c r="D7" i="12"/>
  <c r="A7" i="1"/>
  <c r="A8" i="1"/>
  <c r="K8" i="1"/>
  <c r="M8" i="1"/>
  <c r="BB13" i="3"/>
  <c r="BC13" i="3"/>
  <c r="H13" i="3"/>
  <c r="E21" i="6"/>
  <c r="L21" i="6"/>
  <c r="R8" i="1"/>
  <c r="AE8" i="1"/>
  <c r="D7" i="1"/>
  <c r="M483" i="79"/>
  <c r="M484" i="79"/>
  <c r="M485" i="79"/>
  <c r="M486" i="79"/>
  <c r="M487" i="79"/>
  <c r="M488" i="79"/>
  <c r="M489" i="79"/>
  <c r="M490" i="79"/>
  <c r="M492" i="79"/>
  <c r="K495" i="79"/>
  <c r="M495" i="79"/>
  <c r="K494" i="79"/>
  <c r="M494" i="79"/>
  <c r="K493" i="79"/>
  <c r="M493" i="79"/>
  <c r="K491" i="79"/>
  <c r="M491" i="79"/>
  <c r="K488" i="79"/>
  <c r="K482" i="79"/>
  <c r="M482" i="79"/>
  <c r="K481" i="79"/>
  <c r="M481" i="79"/>
  <c r="K480" i="79"/>
  <c r="M480" i="79"/>
  <c r="K23" i="21"/>
  <c r="K21" i="21"/>
  <c r="D83" i="21"/>
  <c r="K17" i="21"/>
  <c r="K98" i="79"/>
  <c r="E482" i="79"/>
  <c r="K62" i="79"/>
  <c r="E483" i="79"/>
  <c r="F483" i="79"/>
  <c r="K64" i="79"/>
  <c r="E484" i="79"/>
  <c r="F484" i="79"/>
  <c r="K69" i="79"/>
  <c r="E485" i="79"/>
  <c r="F485" i="79"/>
  <c r="K76" i="79"/>
  <c r="E486" i="79"/>
  <c r="F486" i="79"/>
  <c r="K89" i="79"/>
  <c r="E487" i="79"/>
  <c r="F487" i="79"/>
  <c r="K455" i="79"/>
  <c r="E488" i="79"/>
  <c r="K459" i="79"/>
  <c r="E489" i="79"/>
  <c r="F489" i="79"/>
  <c r="K465" i="79"/>
  <c r="E490" i="79"/>
  <c r="F490" i="79"/>
  <c r="K470" i="79"/>
  <c r="E491" i="79"/>
  <c r="K474" i="79"/>
  <c r="E492" i="79"/>
  <c r="F492" i="79"/>
  <c r="K477" i="79"/>
  <c r="E495" i="79"/>
  <c r="K28" i="79"/>
  <c r="D480" i="79"/>
  <c r="F480" i="79"/>
  <c r="K57" i="79"/>
  <c r="D481" i="79"/>
  <c r="F481" i="79"/>
  <c r="K59" i="79"/>
  <c r="D482" i="79"/>
  <c r="F482" i="79"/>
  <c r="K147" i="79"/>
  <c r="D488" i="79"/>
  <c r="F488" i="79"/>
  <c r="K185" i="79"/>
  <c r="D491" i="79"/>
  <c r="F491" i="79"/>
  <c r="K293" i="79"/>
  <c r="D493" i="79"/>
  <c r="F493" i="79"/>
  <c r="K345" i="79"/>
  <c r="D494" i="79"/>
  <c r="F494" i="79"/>
  <c r="K452" i="79"/>
  <c r="D495" i="79"/>
  <c r="F495" i="79"/>
  <c r="A6" i="1"/>
  <c r="G1" i="15"/>
  <c r="B43" i="1"/>
  <c r="B41" i="1"/>
  <c r="F32" i="15"/>
  <c r="C7" i="21"/>
  <c r="C58" i="21"/>
  <c r="BS13" i="3"/>
  <c r="BR13" i="3"/>
  <c r="BT13" i="3"/>
  <c r="BD13" i="3"/>
  <c r="BE13" i="3"/>
  <c r="BF13" i="3"/>
  <c r="BG13" i="3"/>
  <c r="BH13" i="3"/>
  <c r="BI13" i="3"/>
  <c r="BJ13" i="3"/>
  <c r="BK13" i="3"/>
  <c r="BB10" i="3"/>
  <c r="BC10" i="3"/>
  <c r="F18" i="15"/>
  <c r="F33" i="15"/>
  <c r="BN13" i="3"/>
  <c r="BO13" i="3"/>
  <c r="BP13" i="3"/>
  <c r="B52" i="1"/>
  <c r="F34" i="15"/>
  <c r="M47" i="15"/>
  <c r="F8" i="1"/>
  <c r="J50" i="15"/>
  <c r="D8" i="1"/>
  <c r="D79" i="21"/>
  <c r="E79" i="21"/>
  <c r="F21" i="21"/>
  <c r="AA21" i="21"/>
  <c r="D85" i="21"/>
  <c r="K115" i="78"/>
  <c r="C492" i="79"/>
  <c r="C490" i="79"/>
  <c r="C489" i="79"/>
  <c r="C495" i="79"/>
  <c r="C494" i="79"/>
  <c r="C493" i="79"/>
  <c r="C491" i="79"/>
  <c r="C488" i="79"/>
  <c r="C487" i="79"/>
  <c r="C486" i="79"/>
  <c r="C485" i="79"/>
  <c r="C484" i="79"/>
  <c r="C483" i="79"/>
  <c r="C482" i="79"/>
  <c r="C481" i="79"/>
  <c r="C480" i="79"/>
  <c r="AC28" i="79"/>
  <c r="E11" i="21"/>
  <c r="D122" i="21"/>
  <c r="E122" i="21"/>
  <c r="F122" i="21"/>
  <c r="C122" i="21"/>
  <c r="D104" i="21"/>
  <c r="E104" i="21"/>
  <c r="F104" i="21"/>
  <c r="G104" i="21"/>
  <c r="G59" i="21"/>
  <c r="H59" i="21"/>
  <c r="I59" i="21"/>
  <c r="J59" i="21"/>
  <c r="E59" i="21"/>
  <c r="F59" i="21"/>
  <c r="D59" i="21"/>
  <c r="E71" i="39"/>
  <c r="F71" i="39"/>
  <c r="G71" i="39"/>
  <c r="H71" i="39"/>
  <c r="I71" i="39"/>
  <c r="J71" i="39"/>
  <c r="K71" i="39"/>
  <c r="L71" i="39"/>
  <c r="M71" i="39"/>
  <c r="N71" i="39"/>
  <c r="O71" i="39"/>
  <c r="D71" i="39"/>
  <c r="J38" i="39"/>
  <c r="H38" i="39"/>
  <c r="F38" i="39"/>
  <c r="A9" i="1"/>
  <c r="K9" i="1"/>
  <c r="M9" i="1"/>
  <c r="G1" i="67"/>
  <c r="F9"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c r="AD10" i="71"/>
  <c r="AD11" i="71"/>
  <c r="AG11" i="71"/>
  <c r="AH11" i="71"/>
  <c r="AE11" i="71"/>
  <c r="AF11" i="71"/>
  <c r="N11" i="71"/>
  <c r="Q11" i="71"/>
  <c r="P11" i="71"/>
  <c r="O11" i="71"/>
  <c r="C11" i="71"/>
  <c r="Q12" i="71"/>
  <c r="F11" i="71"/>
  <c r="F10" i="71"/>
  <c r="F9"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A15" i="62"/>
  <c r="L21" i="4"/>
  <c r="L22" i="4"/>
  <c r="A14" i="62"/>
  <c r="A13" i="62"/>
  <c r="B59" i="72"/>
  <c r="A19" i="62"/>
  <c r="A12" i="62"/>
  <c r="B58" i="72"/>
  <c r="A120" i="9"/>
  <c r="H2" i="52"/>
  <c r="A1" i="52"/>
  <c r="A3" i="53"/>
  <c r="Q13" i="71"/>
  <c r="P13" i="71"/>
  <c r="O13" i="71"/>
  <c r="N13" i="71"/>
  <c r="A15" i="51"/>
  <c r="B12" i="72"/>
  <c r="C76" i="9"/>
  <c r="I107" i="40"/>
  <c r="K6" i="4"/>
  <c r="B22" i="31"/>
  <c r="N56" i="9"/>
  <c r="E16" i="74"/>
  <c r="F16" i="74"/>
  <c r="E17" i="74"/>
  <c r="F17" i="74"/>
  <c r="E18" i="74"/>
  <c r="F18" i="74"/>
  <c r="E19" i="74"/>
  <c r="F19" i="74"/>
  <c r="E20" i="74"/>
  <c r="F20" i="74"/>
  <c r="E21" i="74"/>
  <c r="F21" i="74"/>
  <c r="E22" i="74"/>
  <c r="F22" i="74"/>
  <c r="E23" i="74"/>
  <c r="F23" i="74"/>
  <c r="B3" i="74"/>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A126" i="9"/>
  <c r="E109" i="9"/>
  <c r="A124" i="9"/>
  <c r="B44" i="72"/>
  <c r="B42" i="72"/>
  <c r="B69" i="72"/>
  <c r="B68" i="72"/>
  <c r="B63" i="72"/>
  <c r="B62" i="72"/>
  <c r="B16" i="72"/>
  <c r="B65" i="72"/>
  <c r="B60" i="72"/>
  <c r="B67" i="72"/>
  <c r="B66" i="72"/>
  <c r="B10" i="72"/>
  <c r="C53" i="10"/>
  <c r="B51" i="10"/>
  <c r="B19"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C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C54" i="71"/>
  <c r="B55" i="71"/>
  <c r="S55" i="71"/>
  <c r="B54" i="71"/>
  <c r="B53" i="71"/>
  <c r="N52"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D45" i="71"/>
  <c r="N44" i="71"/>
  <c r="B45" i="71"/>
  <c r="B46" i="71"/>
  <c r="B47" i="71"/>
  <c r="S47" i="71"/>
  <c r="D44" i="71"/>
  <c r="Q43" i="71"/>
  <c r="P43" i="71"/>
  <c r="O43" i="71"/>
  <c r="N43" i="71"/>
  <c r="Q42" i="71"/>
  <c r="P42" i="71"/>
  <c r="O42" i="71"/>
  <c r="N42" i="71"/>
  <c r="Q41" i="71"/>
  <c r="P41" i="71"/>
  <c r="O41" i="71"/>
  <c r="N41" i="71"/>
  <c r="C41" i="71"/>
  <c r="D41" i="71"/>
  <c r="Q40" i="71"/>
  <c r="F41" i="71"/>
  <c r="F42" i="71"/>
  <c r="F43" i="71"/>
  <c r="V43" i="71"/>
  <c r="P40" i="71"/>
  <c r="E41" i="71"/>
  <c r="E42" i="71"/>
  <c r="O40"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N28" i="71"/>
  <c r="B29" i="71"/>
  <c r="B30" i="71"/>
  <c r="B31" i="71"/>
  <c r="S31" i="71"/>
  <c r="D28" i="71"/>
  <c r="Q27" i="71"/>
  <c r="P27" i="71"/>
  <c r="O27" i="71"/>
  <c r="N27" i="71"/>
  <c r="AB26" i="71"/>
  <c r="Q26" i="71"/>
  <c r="P26" i="71"/>
  <c r="AA1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X19"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X16" i="71"/>
  <c r="Q17" i="71"/>
  <c r="AB17" i="71"/>
  <c r="P17" i="71"/>
  <c r="O17" i="71"/>
  <c r="Y17" i="71"/>
  <c r="Z17" i="71"/>
  <c r="N17" i="71"/>
  <c r="Q16" i="71"/>
  <c r="P16" i="71"/>
  <c r="O16" i="71"/>
  <c r="N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C23" i="71"/>
  <c r="AB20" i="71"/>
  <c r="AA22" i="71"/>
  <c r="X23" i="71"/>
  <c r="AA23" i="71"/>
  <c r="AB24" i="71"/>
  <c r="X25" i="71"/>
  <c r="AA25" i="71"/>
  <c r="F39" i="71"/>
  <c r="V39" i="71"/>
  <c r="C15" i="71"/>
  <c r="C14" i="71"/>
  <c r="C13" i="71"/>
  <c r="D13" i="71"/>
  <c r="X14" i="71"/>
  <c r="D21" i="71"/>
  <c r="D25" i="71"/>
  <c r="D29" i="71"/>
  <c r="C38" i="71"/>
  <c r="D38" i="71"/>
  <c r="P15" i="71"/>
  <c r="E43" i="71"/>
  <c r="U43" i="71"/>
  <c r="E54" i="71"/>
  <c r="E53" i="71"/>
  <c r="Q15" i="71"/>
  <c r="C46" i="71"/>
  <c r="D46" i="71"/>
  <c r="N54" i="71"/>
  <c r="O55" i="71"/>
  <c r="C58" i="71"/>
  <c r="D58" i="71"/>
  <c r="E58" i="71"/>
  <c r="E57" i="71"/>
  <c r="D59" i="71"/>
  <c r="C62" i="71"/>
  <c r="C61" i="71"/>
  <c r="C66" i="71"/>
  <c r="C65" i="71"/>
  <c r="D65" i="71"/>
  <c r="E66" i="71"/>
  <c r="E65" i="71"/>
  <c r="D67" i="71"/>
  <c r="C70" i="71"/>
  <c r="D70" i="71"/>
  <c r="C74" i="71"/>
  <c r="T15" i="71"/>
  <c r="F15" i="71"/>
  <c r="F14" i="71"/>
  <c r="F13" i="71"/>
  <c r="AB12" i="71"/>
  <c r="E15" i="71"/>
  <c r="E14" i="71"/>
  <c r="E13" i="71"/>
  <c r="AA12" i="71"/>
  <c r="D15" i="71"/>
  <c r="U15" i="71"/>
  <c r="C69" i="71"/>
  <c r="D69" i="71"/>
  <c r="D61" i="71"/>
  <c r="D74" i="71"/>
  <c r="C73" i="71"/>
  <c r="D73" i="71"/>
  <c r="D66" i="71"/>
  <c r="C57" i="71"/>
  <c r="D57" i="71"/>
  <c r="P54" i="71"/>
  <c r="C39" i="71"/>
  <c r="D39" i="71"/>
  <c r="C31" i="71"/>
  <c r="D30" i="71"/>
  <c r="D22" i="71"/>
  <c r="V15" i="71"/>
  <c r="P52" i="71"/>
  <c r="P53" i="71"/>
  <c r="T31" i="71"/>
  <c r="D31" i="71"/>
  <c r="T39" i="71"/>
  <c r="O27" i="6"/>
  <c r="N27" i="6"/>
  <c r="P20" i="6"/>
  <c r="P27" i="6"/>
  <c r="P21" i="6"/>
  <c r="P22" i="6"/>
  <c r="P23" i="6"/>
  <c r="P24" i="6"/>
  <c r="P25" i="6"/>
  <c r="P26" i="6"/>
  <c r="P19" i="6"/>
  <c r="AP8" i="1"/>
  <c r="AP9" i="1"/>
  <c r="AP10" i="1"/>
  <c r="AP11" i="1"/>
  <c r="AP12" i="1"/>
  <c r="AP13" i="1"/>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H29" i="39"/>
  <c r="AB29" i="39"/>
  <c r="F29" i="39"/>
  <c r="AA29"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G20" i="20"/>
  <c r="B86" i="43"/>
  <c r="C22" i="20"/>
  <c r="B75" i="43"/>
  <c r="B55" i="43"/>
  <c r="C25" i="40"/>
  <c r="S25" i="40"/>
  <c r="S29" i="39"/>
  <c r="S18" i="36"/>
  <c r="S21" i="34"/>
  <c r="H25" i="40"/>
  <c r="J25" i="40"/>
  <c r="J29" i="39"/>
  <c r="J18" i="36"/>
  <c r="F68" i="35"/>
  <c r="G68" i="35"/>
  <c r="H18" i="35"/>
  <c r="S18" i="35"/>
  <c r="J18" i="35"/>
  <c r="H21" i="37"/>
  <c r="AB21" i="37"/>
  <c r="F21" i="37"/>
  <c r="F84" i="34"/>
  <c r="G84" i="34"/>
  <c r="H21" i="34"/>
  <c r="H21" i="33"/>
  <c r="F21" i="33"/>
  <c r="AA21" i="33"/>
  <c r="E83" i="21"/>
  <c r="S21" i="21"/>
  <c r="H1" i="69"/>
  <c r="AC25" i="40"/>
  <c r="W25" i="40"/>
  <c r="AB25" i="40"/>
  <c r="U25" i="40"/>
  <c r="U29" i="39"/>
  <c r="AC29" i="39"/>
  <c r="W29" i="39"/>
  <c r="AC18" i="36"/>
  <c r="W18" i="36"/>
  <c r="U21" i="37"/>
  <c r="AA21" i="37"/>
  <c r="S21" i="37"/>
  <c r="AB21" i="34"/>
  <c r="U21" i="34"/>
  <c r="U21" i="33"/>
  <c r="AB21" i="33"/>
  <c r="S21" i="33"/>
  <c r="AB18" i="35"/>
  <c r="U18" i="35"/>
  <c r="AC18" i="35"/>
  <c r="W18" i="35"/>
  <c r="J21" i="37"/>
  <c r="AC21" i="37"/>
  <c r="J21" i="34"/>
  <c r="AC21" i="34"/>
  <c r="J21" i="33"/>
  <c r="AC21" i="33"/>
  <c r="F83" i="21"/>
  <c r="F38" i="69"/>
  <c r="E37" i="69"/>
  <c r="F36" i="69"/>
  <c r="F35" i="69"/>
  <c r="F21" i="69"/>
  <c r="C40" i="69"/>
  <c r="F20" i="69"/>
  <c r="E10" i="69"/>
  <c r="E9" i="69"/>
  <c r="C7" i="69"/>
  <c r="W21" i="37"/>
  <c r="W21" i="34"/>
  <c r="W21" i="33"/>
  <c r="G83" i="21"/>
  <c r="F38" i="68"/>
  <c r="E10" i="68"/>
  <c r="E9" i="68"/>
  <c r="Q72" i="67"/>
  <c r="Q59" i="67"/>
  <c r="Q58" i="67"/>
  <c r="Q51" i="67"/>
  <c r="J50" i="67"/>
  <c r="J51"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G10" i="1"/>
  <c r="F11" i="1"/>
  <c r="F12" i="1"/>
  <c r="F13" i="1"/>
  <c r="D6" i="1"/>
  <c r="D9" i="1"/>
  <c r="D10" i="1"/>
  <c r="D11" i="1"/>
  <c r="D12" i="1"/>
  <c r="D13" i="1"/>
  <c r="B8" i="1"/>
  <c r="E8" i="1"/>
  <c r="A10" i="1"/>
  <c r="K10" i="1"/>
  <c r="M10" i="1"/>
  <c r="A11" i="1"/>
  <c r="K11" i="1"/>
  <c r="M11" i="1"/>
  <c r="A12" i="1"/>
  <c r="K12" i="1"/>
  <c r="M12" i="1"/>
  <c r="A13" i="1"/>
  <c r="K13" i="1"/>
  <c r="M13" i="1"/>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S28" i="31"/>
  <c r="R29" i="31"/>
  <c r="S29" i="31"/>
  <c r="R30" i="31"/>
  <c r="S30" i="31"/>
  <c r="R31" i="31"/>
  <c r="S31" i="31"/>
  <c r="R32" i="31"/>
  <c r="R33" i="31"/>
  <c r="S33" i="31"/>
  <c r="R34" i="31"/>
  <c r="R35" i="31"/>
  <c r="R36" i="31"/>
  <c r="S36" i="31"/>
  <c r="R37" i="31"/>
  <c r="S37" i="31"/>
  <c r="R38" i="31"/>
  <c r="S38" i="31"/>
  <c r="R39" i="31"/>
  <c r="S39" i="31"/>
  <c r="R40" i="31"/>
  <c r="S40" i="31"/>
  <c r="R41" i="31"/>
  <c r="S41" i="31"/>
  <c r="R42" i="31"/>
  <c r="R43" i="31"/>
  <c r="R44" i="31"/>
  <c r="S44" i="31"/>
  <c r="R45" i="31"/>
  <c r="S45" i="31"/>
  <c r="R46" i="31"/>
  <c r="S46" i="31"/>
  <c r="R47" i="31"/>
  <c r="S47" i="31"/>
  <c r="R48" i="31"/>
  <c r="S48" i="31"/>
  <c r="R49" i="31"/>
  <c r="S49" i="31"/>
  <c r="R50" i="31"/>
  <c r="R51" i="31"/>
  <c r="S51" i="31"/>
  <c r="R52" i="31"/>
  <c r="S52" i="31"/>
  <c r="R53" i="31"/>
  <c r="S53" i="31"/>
  <c r="R54" i="31"/>
  <c r="S54" i="31"/>
  <c r="R55" i="31"/>
  <c r="S55" i="31"/>
  <c r="R56" i="31"/>
  <c r="R57" i="31"/>
  <c r="S57" i="31"/>
  <c r="R58" i="31"/>
  <c r="R59" i="31"/>
  <c r="S59" i="31"/>
  <c r="R60" i="31"/>
  <c r="S60" i="31"/>
  <c r="R61" i="31"/>
  <c r="S61" i="31"/>
  <c r="R62" i="31"/>
  <c r="S62" i="31"/>
  <c r="R63" i="31"/>
  <c r="S63" i="31"/>
  <c r="R64" i="31"/>
  <c r="S64" i="31"/>
  <c r="R65" i="31"/>
  <c r="S65" i="31"/>
  <c r="R66" i="31"/>
  <c r="R67" i="31"/>
  <c r="S67" i="31"/>
  <c r="R68" i="31"/>
  <c r="S68" i="31"/>
  <c r="R69" i="31"/>
  <c r="S69" i="31"/>
  <c r="R70" i="31"/>
  <c r="S70" i="31"/>
  <c r="R71" i="31"/>
  <c r="S71" i="31"/>
  <c r="R72" i="31"/>
  <c r="S72" i="31"/>
  <c r="R73" i="31"/>
  <c r="S73" i="31"/>
  <c r="R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R89" i="31"/>
  <c r="S89" i="31"/>
  <c r="R90" i="31"/>
  <c r="S90" i="31"/>
  <c r="R91" i="31"/>
  <c r="S91" i="31"/>
  <c r="R92" i="31"/>
  <c r="S92" i="31"/>
  <c r="R93" i="31"/>
  <c r="S93" i="31"/>
  <c r="R94" i="31"/>
  <c r="S94" i="31"/>
  <c r="R95" i="31"/>
  <c r="S95" i="31"/>
  <c r="R96" i="31"/>
  <c r="R97" i="31"/>
  <c r="S97" i="31"/>
  <c r="R98" i="31"/>
  <c r="S98" i="31"/>
  <c r="R99" i="31"/>
  <c r="S99" i="31"/>
  <c r="R100" i="31"/>
  <c r="S100" i="31"/>
  <c r="R101" i="31"/>
  <c r="S101" i="31"/>
  <c r="R102" i="31"/>
  <c r="S102" i="31"/>
  <c r="R103" i="31"/>
  <c r="S103" i="31"/>
  <c r="R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R121" i="31"/>
  <c r="S121" i="31"/>
  <c r="R122" i="31"/>
  <c r="S122" i="31"/>
  <c r="R123" i="31"/>
  <c r="S123" i="31"/>
  <c r="R124" i="31"/>
  <c r="S124" i="31"/>
  <c r="R125" i="31"/>
  <c r="S125" i="31"/>
  <c r="R126" i="31"/>
  <c r="S126" i="31"/>
  <c r="R127" i="31"/>
  <c r="S127" i="31"/>
  <c r="R128" i="31"/>
  <c r="R129" i="31"/>
  <c r="S129" i="31"/>
  <c r="R130" i="31"/>
  <c r="S130" i="31"/>
  <c r="R131" i="31"/>
  <c r="S131" i="31"/>
  <c r="R132" i="31"/>
  <c r="S132" i="31"/>
  <c r="R133" i="31"/>
  <c r="S133" i="31"/>
  <c r="R134" i="31"/>
  <c r="S134" i="31"/>
  <c r="R135" i="31"/>
  <c r="S135" i="31"/>
  <c r="R136" i="31"/>
  <c r="R137" i="31"/>
  <c r="R138" i="31"/>
  <c r="S138" i="31"/>
  <c r="R139" i="31"/>
  <c r="S139" i="31"/>
  <c r="R140" i="31"/>
  <c r="S140" i="31"/>
  <c r="R141" i="31"/>
  <c r="S141" i="31"/>
  <c r="R142" i="31"/>
  <c r="S142" i="31"/>
  <c r="R143" i="31"/>
  <c r="S143" i="31"/>
  <c r="R144" i="31"/>
  <c r="R145" i="31"/>
  <c r="R146" i="31"/>
  <c r="S146" i="31"/>
  <c r="R147" i="31"/>
  <c r="S147" i="31"/>
  <c r="R148" i="31"/>
  <c r="S148" i="31"/>
  <c r="R149" i="31"/>
  <c r="S149" i="31"/>
  <c r="R150" i="31"/>
  <c r="S150" i="31"/>
  <c r="R151" i="31"/>
  <c r="S151" i="31"/>
  <c r="R152" i="31"/>
  <c r="R153" i="31"/>
  <c r="R154" i="31"/>
  <c r="S154" i="31"/>
  <c r="R155" i="31"/>
  <c r="S155" i="31"/>
  <c r="R156" i="31"/>
  <c r="S156" i="31"/>
  <c r="R157" i="31"/>
  <c r="S157" i="31"/>
  <c r="R158" i="31"/>
  <c r="S158" i="31"/>
  <c r="R159" i="31"/>
  <c r="S159" i="31"/>
  <c r="R160" i="31"/>
  <c r="R161" i="31"/>
  <c r="S161" i="31"/>
  <c r="R162" i="31"/>
  <c r="S162" i="31"/>
  <c r="R163" i="31"/>
  <c r="S163" i="31"/>
  <c r="R164" i="31"/>
  <c r="S164" i="31"/>
  <c r="R165" i="31"/>
  <c r="S165" i="31"/>
  <c r="R166" i="31"/>
  <c r="S166" i="31"/>
  <c r="R167" i="31"/>
  <c r="S167" i="31"/>
  <c r="R168" i="31"/>
  <c r="R169" i="31"/>
  <c r="R170" i="31"/>
  <c r="S170" i="31"/>
  <c r="R171" i="31"/>
  <c r="S171" i="31"/>
  <c r="R172" i="31"/>
  <c r="S172" i="31"/>
  <c r="R173" i="31"/>
  <c r="S173" i="31"/>
  <c r="R174" i="31"/>
  <c r="S174" i="31"/>
  <c r="R175" i="31"/>
  <c r="S175" i="31"/>
  <c r="R176" i="31"/>
  <c r="R177" i="31"/>
  <c r="R178" i="31"/>
  <c r="S178" i="31"/>
  <c r="R179" i="31"/>
  <c r="S179" i="31"/>
  <c r="R180" i="31"/>
  <c r="S180" i="31"/>
  <c r="R181" i="31"/>
  <c r="S181" i="31"/>
  <c r="R182" i="31"/>
  <c r="S182" i="31"/>
  <c r="R183" i="31"/>
  <c r="S183" i="31"/>
  <c r="R184" i="31"/>
  <c r="R185" i="31"/>
  <c r="R186" i="31"/>
  <c r="S186" i="31"/>
  <c r="R187" i="31"/>
  <c r="S187" i="31"/>
  <c r="R188" i="31"/>
  <c r="S188" i="31"/>
  <c r="R189" i="31"/>
  <c r="S189" i="31"/>
  <c r="R190" i="31"/>
  <c r="S190" i="31"/>
  <c r="R191" i="31"/>
  <c r="S191" i="31"/>
  <c r="R192" i="31"/>
  <c r="R193" i="31"/>
  <c r="S193" i="31"/>
  <c r="R194" i="31"/>
  <c r="S194" i="31"/>
  <c r="R195" i="31"/>
  <c r="S195" i="31"/>
  <c r="R196" i="31"/>
  <c r="S196" i="31"/>
  <c r="R197" i="31"/>
  <c r="S197" i="31"/>
  <c r="R198" i="31"/>
  <c r="S198" i="31"/>
  <c r="R199" i="31"/>
  <c r="S199" i="31"/>
  <c r="R200" i="31"/>
  <c r="R201" i="31"/>
  <c r="R202" i="31"/>
  <c r="S202" i="31"/>
  <c r="R203" i="31"/>
  <c r="S203" i="31"/>
  <c r="R204" i="31"/>
  <c r="S204" i="31"/>
  <c r="R205" i="31"/>
  <c r="S205" i="31"/>
  <c r="R206" i="31"/>
  <c r="S206" i="31"/>
  <c r="R207" i="31"/>
  <c r="S207" i="31"/>
  <c r="R208" i="31"/>
  <c r="R209" i="31"/>
  <c r="R210" i="31"/>
  <c r="S210" i="31"/>
  <c r="R211" i="31"/>
  <c r="S211" i="31"/>
  <c r="R212" i="31"/>
  <c r="S212" i="31"/>
  <c r="R213" i="31"/>
  <c r="S213" i="31"/>
  <c r="R214" i="31"/>
  <c r="S214" i="31"/>
  <c r="R215" i="31"/>
  <c r="S215" i="31"/>
  <c r="R216" i="31"/>
  <c r="R217" i="31"/>
  <c r="R218" i="31"/>
  <c r="S218" i="31"/>
  <c r="R219" i="31"/>
  <c r="S219" i="31"/>
  <c r="R220" i="31"/>
  <c r="S220" i="31"/>
  <c r="R221" i="31"/>
  <c r="S221" i="31"/>
  <c r="R222" i="31"/>
  <c r="S222" i="31"/>
  <c r="R223" i="31"/>
  <c r="S223" i="31"/>
  <c r="R224" i="31"/>
  <c r="R225" i="31"/>
  <c r="S225" i="31"/>
  <c r="R226" i="31"/>
  <c r="R227" i="31"/>
  <c r="S227" i="31"/>
  <c r="R228" i="31"/>
  <c r="S228" i="31"/>
  <c r="R229" i="31"/>
  <c r="S229" i="31"/>
  <c r="R230" i="31"/>
  <c r="S230" i="31"/>
  <c r="R231" i="31"/>
  <c r="S231" i="31"/>
  <c r="R232" i="31"/>
  <c r="R233" i="31"/>
  <c r="S233" i="31"/>
  <c r="R234" i="31"/>
  <c r="R235" i="31"/>
  <c r="R236" i="31"/>
  <c r="S236" i="31"/>
  <c r="R237" i="31"/>
  <c r="S237" i="31"/>
  <c r="R238" i="31"/>
  <c r="S238" i="31"/>
  <c r="R239" i="31"/>
  <c r="S239" i="31"/>
  <c r="R240" i="31"/>
  <c r="S240" i="31"/>
  <c r="R241" i="31"/>
  <c r="S241" i="31"/>
  <c r="R242" i="31"/>
  <c r="R243" i="31"/>
  <c r="R244" i="31"/>
  <c r="S244" i="31"/>
  <c r="R245" i="31"/>
  <c r="S245" i="31"/>
  <c r="R246" i="31"/>
  <c r="S246" i="31"/>
  <c r="R247" i="31"/>
  <c r="S247" i="31"/>
  <c r="R248" i="31"/>
  <c r="S248" i="31"/>
  <c r="R249" i="31"/>
  <c r="S249" i="31"/>
  <c r="R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R279" i="31"/>
  <c r="S279" i="31"/>
  <c r="R280" i="31"/>
  <c r="R281" i="31"/>
  <c r="S281" i="31"/>
  <c r="R282" i="31"/>
  <c r="S282" i="31"/>
  <c r="R283" i="31"/>
  <c r="S283" i="31"/>
  <c r="R284" i="31"/>
  <c r="S284" i="31"/>
  <c r="R285" i="31"/>
  <c r="S285" i="31"/>
  <c r="R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R299" i="31"/>
  <c r="S299" i="31"/>
  <c r="R300" i="31"/>
  <c r="S300" i="31"/>
  <c r="R301" i="31"/>
  <c r="S301" i="31"/>
  <c r="R302" i="31"/>
  <c r="S302" i="31"/>
  <c r="R303" i="31"/>
  <c r="S303" i="31"/>
  <c r="R304" i="31"/>
  <c r="S304" i="31"/>
  <c r="R305" i="31"/>
  <c r="S305" i="31"/>
  <c r="R306" i="31"/>
  <c r="R307" i="31"/>
  <c r="S307" i="31"/>
  <c r="R308" i="31"/>
  <c r="S308" i="31"/>
  <c r="R309" i="31"/>
  <c r="S309" i="31"/>
  <c r="R310" i="31"/>
  <c r="R311" i="31"/>
  <c r="S311" i="31"/>
  <c r="R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R327" i="31"/>
  <c r="S327" i="31"/>
  <c r="R328" i="31"/>
  <c r="S328" i="31"/>
  <c r="R329" i="31"/>
  <c r="S329" i="31"/>
  <c r="R330" i="31"/>
  <c r="S330" i="31"/>
  <c r="R331" i="31"/>
  <c r="S331" i="31"/>
  <c r="R332" i="31"/>
  <c r="S332" i="31"/>
  <c r="R333" i="31"/>
  <c r="S333" i="31"/>
  <c r="R334" i="31"/>
  <c r="S334" i="31"/>
  <c r="R335" i="31"/>
  <c r="S335" i="31"/>
  <c r="R336" i="31"/>
  <c r="R337" i="31"/>
  <c r="S337" i="31"/>
  <c r="R338" i="31"/>
  <c r="S338" i="31"/>
  <c r="R339" i="31"/>
  <c r="S339" i="31"/>
  <c r="R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R389" i="31"/>
  <c r="S389" i="31"/>
  <c r="R390" i="31"/>
  <c r="S390" i="31"/>
  <c r="R391" i="31"/>
  <c r="S391" i="31"/>
  <c r="R392" i="31"/>
  <c r="S392" i="31"/>
  <c r="R393" i="31"/>
  <c r="S393" i="31"/>
  <c r="R394" i="31"/>
  <c r="R395" i="31"/>
  <c r="S395" i="31"/>
  <c r="R396" i="31"/>
  <c r="S396" i="31"/>
  <c r="R397" i="31"/>
  <c r="S397" i="31"/>
  <c r="R398" i="31"/>
  <c r="S398" i="31"/>
  <c r="R399" i="31"/>
  <c r="S399" i="31"/>
  <c r="R400" i="31"/>
  <c r="R401" i="31"/>
  <c r="S401" i="31"/>
  <c r="R402" i="31"/>
  <c r="R403" i="31"/>
  <c r="S403" i="31"/>
  <c r="R404" i="31"/>
  <c r="S404" i="31"/>
  <c r="R405" i="31"/>
  <c r="S405" i="31"/>
  <c r="R406" i="31"/>
  <c r="S406" i="31"/>
  <c r="R407" i="31"/>
  <c r="S407" i="31"/>
  <c r="R408" i="31"/>
  <c r="S408" i="31"/>
  <c r="R409" i="31"/>
  <c r="S409" i="31"/>
  <c r="R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R429" i="31"/>
  <c r="S429" i="31"/>
  <c r="R430" i="31"/>
  <c r="S430" i="31"/>
  <c r="R431" i="31"/>
  <c r="S431" i="31"/>
  <c r="R432" i="31"/>
  <c r="R433" i="31"/>
  <c r="S433" i="31"/>
  <c r="R434" i="31"/>
  <c r="S434" i="31"/>
  <c r="R435" i="31"/>
  <c r="S435" i="31"/>
  <c r="R436" i="31"/>
  <c r="S436" i="31"/>
  <c r="R437" i="31"/>
  <c r="S437" i="31"/>
  <c r="R438" i="31"/>
  <c r="S438" i="31"/>
  <c r="R439" i="31"/>
  <c r="S439" i="31"/>
  <c r="R440" i="31"/>
  <c r="R441" i="31"/>
  <c r="S441" i="31"/>
  <c r="R442" i="31"/>
  <c r="S442" i="31"/>
  <c r="R443" i="31"/>
  <c r="S443" i="31"/>
  <c r="R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R459" i="31"/>
  <c r="S459" i="31"/>
  <c r="R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R475" i="31"/>
  <c r="S475" i="31"/>
  <c r="R476" i="31"/>
  <c r="R477" i="31"/>
  <c r="S477" i="31"/>
  <c r="R478" i="31"/>
  <c r="S478" i="31"/>
  <c r="R479" i="31"/>
  <c r="S479" i="31"/>
  <c r="R480" i="31"/>
  <c r="S480" i="31"/>
  <c r="R481" i="31"/>
  <c r="S481" i="31"/>
  <c r="R482" i="31"/>
  <c r="S482" i="31"/>
  <c r="R483" i="31"/>
  <c r="S483" i="31"/>
  <c r="R484" i="31"/>
  <c r="S484" i="31"/>
  <c r="R485" i="31"/>
  <c r="S485" i="31"/>
  <c r="R486" i="31"/>
  <c r="S486" i="31"/>
  <c r="R487" i="31"/>
  <c r="R488" i="31"/>
  <c r="S488" i="31"/>
  <c r="R489" i="31"/>
  <c r="S489" i="31"/>
  <c r="R490" i="31"/>
  <c r="R491" i="31"/>
  <c r="S491" i="31"/>
  <c r="R492" i="31"/>
  <c r="R493" i="31"/>
  <c r="S493" i="31"/>
  <c r="R494" i="31"/>
  <c r="S494" i="31"/>
  <c r="R495" i="31"/>
  <c r="S495" i="31"/>
  <c r="R496" i="31"/>
  <c r="S496" i="31"/>
  <c r="R497" i="31"/>
  <c r="S497" i="31"/>
  <c r="R498" i="31"/>
  <c r="R499" i="31"/>
  <c r="S499" i="31"/>
  <c r="R500" i="31"/>
  <c r="R501" i="31"/>
  <c r="S501" i="31"/>
  <c r="R502" i="31"/>
  <c r="S502" i="31"/>
  <c r="R503" i="31"/>
  <c r="S503" i="31"/>
  <c r="R504" i="31"/>
  <c r="S504" i="31"/>
  <c r="R505" i="31"/>
  <c r="S505" i="31"/>
  <c r="R506" i="31"/>
  <c r="S506" i="31"/>
  <c r="R507" i="31"/>
  <c r="S507" i="31"/>
  <c r="R508" i="31"/>
  <c r="R509" i="31"/>
  <c r="S509" i="31"/>
  <c r="R510" i="31"/>
  <c r="S510" i="31"/>
  <c r="R511" i="31"/>
  <c r="S511" i="31"/>
  <c r="R512" i="31"/>
  <c r="S512" i="31"/>
  <c r="R513" i="31"/>
  <c r="S513" i="31"/>
  <c r="R514" i="31"/>
  <c r="S514" i="31"/>
  <c r="R515" i="31"/>
  <c r="S515" i="31"/>
  <c r="R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7" i="1"/>
  <c r="G7" i="1"/>
  <c r="D15" i="4"/>
  <c r="G6"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B2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L15" i="3"/>
  <c r="BN16" i="3"/>
  <c r="BN17" i="3"/>
  <c r="BP14" i="3"/>
  <c r="BP15" i="3"/>
  <c r="BP16" i="3"/>
  <c r="BP17" i="3"/>
  <c r="D24" i="15"/>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L16" i="3"/>
  <c r="H14" i="3"/>
  <c r="AC14" i="3"/>
  <c r="G14" i="3"/>
  <c r="H15" i="3"/>
  <c r="AC15" i="3"/>
  <c r="H16" i="3"/>
  <c r="AC16" i="3"/>
  <c r="H17" i="3"/>
  <c r="AC17" i="3"/>
  <c r="AT5" i="3"/>
  <c r="I5" i="3"/>
  <c r="F19" i="6"/>
  <c r="E19" i="6"/>
  <c r="AD5" i="3"/>
  <c r="AH5" i="3"/>
  <c r="AL5" i="3"/>
  <c r="AP5" i="3"/>
  <c r="F35" i="11"/>
  <c r="F36" i="11"/>
  <c r="F38" i="11"/>
  <c r="E37" i="11"/>
  <c r="F20" i="11"/>
  <c r="F21" i="11"/>
  <c r="C21" i="11"/>
  <c r="F7" i="11"/>
  <c r="C7" i="11"/>
  <c r="C5" i="11"/>
  <c r="F15" i="12"/>
  <c r="BC11" i="3"/>
  <c r="BD11" i="3"/>
  <c r="BB11" i="3"/>
  <c r="E19" i="12"/>
  <c r="E20" i="12"/>
  <c r="I55" i="9"/>
  <c r="F55" i="9"/>
  <c r="O53" i="9"/>
  <c r="D89" i="9"/>
  <c r="G12" i="1"/>
  <c r="J55" i="9"/>
  <c r="B31" i="1"/>
  <c r="E19" i="68"/>
  <c r="M20" i="15"/>
  <c r="T4" i="1"/>
  <c r="D3" i="35"/>
  <c r="E59" i="9"/>
  <c r="N55" i="9"/>
  <c r="K55" i="9"/>
  <c r="F59" i="9"/>
  <c r="O55" i="9"/>
  <c r="N54" i="9"/>
  <c r="N53" i="9"/>
  <c r="E48" i="9"/>
  <c r="N52"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2" i="31"/>
  <c r="S400" i="31"/>
  <c r="S394" i="31"/>
  <c r="S388" i="31"/>
  <c r="S340" i="31"/>
  <c r="S336" i="31"/>
  <c r="S326" i="31"/>
  <c r="S314" i="31"/>
  <c r="S312" i="31"/>
  <c r="S310" i="31"/>
  <c r="S306" i="31"/>
  <c r="S298" i="31"/>
  <c r="S286" i="31"/>
  <c r="S280" i="31"/>
  <c r="S278" i="31"/>
  <c r="S264" i="31"/>
  <c r="S250" i="31"/>
  <c r="S243" i="31"/>
  <c r="S242" i="31"/>
  <c r="S235" i="31"/>
  <c r="S234" i="31"/>
  <c r="S232" i="31"/>
  <c r="S226" i="31"/>
  <c r="S224" i="31"/>
  <c r="S428" i="31"/>
  <c r="S217" i="31"/>
  <c r="S216" i="31"/>
  <c r="S209" i="31"/>
  <c r="S208" i="31"/>
  <c r="S201" i="31"/>
  <c r="S200" i="31"/>
  <c r="S192" i="31"/>
  <c r="S185" i="31"/>
  <c r="S184" i="31"/>
  <c r="S177" i="31"/>
  <c r="S176" i="31"/>
  <c r="S169" i="31"/>
  <c r="S168" i="31"/>
  <c r="S160" i="31"/>
  <c r="S153" i="31"/>
  <c r="S152" i="31"/>
  <c r="S145" i="31"/>
  <c r="S144" i="31"/>
  <c r="S137" i="31"/>
  <c r="S136" i="31"/>
  <c r="S128" i="31"/>
  <c r="S492" i="31"/>
  <c r="S490" i="31"/>
  <c r="S487" i="31"/>
  <c r="S476" i="31"/>
  <c r="S474" i="31"/>
  <c r="S444" i="31"/>
  <c r="S440" i="31"/>
  <c r="S432" i="31"/>
  <c r="S120" i="31"/>
  <c r="S500" i="31"/>
  <c r="S498" i="31"/>
  <c r="S460" i="31"/>
  <c r="S458" i="31"/>
  <c r="S50" i="31"/>
  <c r="S43" i="31"/>
  <c r="S42" i="31"/>
  <c r="S35" i="31"/>
  <c r="S34" i="31"/>
  <c r="S32" i="31"/>
  <c r="S74" i="31"/>
  <c r="S66" i="31"/>
  <c r="S58" i="31"/>
  <c r="S56" i="31"/>
  <c r="S96" i="31"/>
  <c r="S88" i="31"/>
  <c r="S104" i="31"/>
  <c r="S50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H25" i="39"/>
  <c r="AB2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H23" i="39"/>
  <c r="AB23" i="39"/>
  <c r="D95" i="39"/>
  <c r="E95" i="39"/>
  <c r="D93" i="39"/>
  <c r="E93" i="39"/>
  <c r="F93" i="39"/>
  <c r="G93" i="39"/>
  <c r="D91" i="39"/>
  <c r="E91" i="39"/>
  <c r="F91" i="39"/>
  <c r="G91" i="39"/>
  <c r="H17" i="39"/>
  <c r="AB17" i="39"/>
  <c r="B86" i="39"/>
  <c r="J14" i="39"/>
  <c r="B84" i="39"/>
  <c r="B82" i="39"/>
  <c r="J12" i="39"/>
  <c r="M79" i="39"/>
  <c r="L79" i="39"/>
  <c r="K79" i="39"/>
  <c r="J79" i="39"/>
  <c r="I79" i="39"/>
  <c r="H79" i="39"/>
  <c r="G79" i="39"/>
  <c r="F79" i="39"/>
  <c r="E79" i="39"/>
  <c r="D79" i="39"/>
  <c r="C79" i="39"/>
  <c r="P48" i="39"/>
  <c r="P47" i="39"/>
  <c r="V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W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E123" i="33"/>
  <c r="F123" i="33"/>
  <c r="D117" i="33"/>
  <c r="E117" i="33"/>
  <c r="F117" i="33"/>
  <c r="G117" i="33"/>
  <c r="D115" i="33"/>
  <c r="E115" i="33"/>
  <c r="F115" i="33"/>
  <c r="G115" i="33"/>
  <c r="H115" i="33"/>
  <c r="I115" i="33"/>
  <c r="J115" i="33"/>
  <c r="K115" i="33"/>
  <c r="L115" i="33"/>
  <c r="M115" i="33"/>
  <c r="D108" i="33"/>
  <c r="E108" i="33"/>
  <c r="F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F81" i="21"/>
  <c r="B130" i="21"/>
  <c r="H46" i="21"/>
  <c r="AB46" i="21"/>
  <c r="B128" i="21"/>
  <c r="J45" i="21"/>
  <c r="W45" i="21"/>
  <c r="B126" i="21"/>
  <c r="J44" i="21"/>
  <c r="B98" i="21"/>
  <c r="H31" i="21"/>
  <c r="B96" i="21"/>
  <c r="B94" i="21"/>
  <c r="J29" i="21"/>
  <c r="AC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E20" i="6"/>
  <c r="J5" i="3"/>
  <c r="BE10" i="3"/>
  <c r="BB585" i="3"/>
  <c r="BC585" i="3"/>
  <c r="BD585" i="3"/>
  <c r="BD5" i="3"/>
  <c r="BE585" i="3"/>
  <c r="BF585" i="3"/>
  <c r="BG585" i="3"/>
  <c r="BH585" i="3"/>
  <c r="BH5" i="3"/>
  <c r="BI585" i="3"/>
  <c r="BJ585" i="3"/>
  <c r="BK585" i="3"/>
  <c r="BM585" i="3"/>
  <c r="BL585" i="3"/>
  <c r="BN585" i="3"/>
  <c r="BO585" i="3"/>
  <c r="BP585" i="3"/>
  <c r="BQ585" i="3"/>
  <c r="BR585" i="3"/>
  <c r="BS585" i="3"/>
  <c r="BT585" i="3"/>
  <c r="BB586" i="3"/>
  <c r="BA586" i="3"/>
  <c r="BC586" i="3"/>
  <c r="BD586" i="3"/>
  <c r="BE586" i="3"/>
  <c r="BF586" i="3"/>
  <c r="BG586" i="3"/>
  <c r="BH586" i="3"/>
  <c r="BI586" i="3"/>
  <c r="BJ586" i="3"/>
  <c r="BK586" i="3"/>
  <c r="BM586" i="3"/>
  <c r="BL586" i="3"/>
  <c r="BN586" i="3"/>
  <c r="BO586" i="3"/>
  <c r="BP586" i="3"/>
  <c r="BP5" i="3"/>
  <c r="BQ586" i="3"/>
  <c r="BR586" i="3"/>
  <c r="BS586" i="3"/>
  <c r="BT586" i="3"/>
  <c r="BB587" i="3"/>
  <c r="BC587" i="3"/>
  <c r="BA587" i="3"/>
  <c r="BD587" i="3"/>
  <c r="BE587" i="3"/>
  <c r="BE5" i="3"/>
  <c r="BF587" i="3"/>
  <c r="BG587" i="3"/>
  <c r="BH587" i="3"/>
  <c r="BI587" i="3"/>
  <c r="BI5"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c r="H40" i="39"/>
  <c r="AB40" i="39"/>
  <c r="H39" i="39"/>
  <c r="U39" i="39"/>
  <c r="S34" i="39"/>
  <c r="H34" i="39"/>
  <c r="U34" i="39"/>
  <c r="E109" i="39"/>
  <c r="H31" i="39"/>
  <c r="AB31" i="39"/>
  <c r="F31" i="39"/>
  <c r="AA31" i="39"/>
  <c r="E101" i="39"/>
  <c r="F19" i="39"/>
  <c r="AA19" i="39"/>
  <c r="F17" i="39"/>
  <c r="AA17" i="39"/>
  <c r="J23" i="40"/>
  <c r="AC23" i="40"/>
  <c r="F21" i="40"/>
  <c r="AA21" i="40"/>
  <c r="J21" i="40"/>
  <c r="W21" i="40"/>
  <c r="H42" i="39"/>
  <c r="AB42" i="39"/>
  <c r="J34" i="39"/>
  <c r="AC34" i="39"/>
  <c r="F109" i="39"/>
  <c r="G109" i="39"/>
  <c r="H109" i="39"/>
  <c r="I109" i="39"/>
  <c r="J109" i="39"/>
  <c r="K109" i="39"/>
  <c r="L109" i="39"/>
  <c r="M109" i="39"/>
  <c r="J31" i="39"/>
  <c r="W31" i="39"/>
  <c r="F101" i="39"/>
  <c r="H27" i="39"/>
  <c r="AB27" i="39"/>
  <c r="U27" i="39"/>
  <c r="J19" i="39"/>
  <c r="AC19" i="39"/>
  <c r="J17" i="39"/>
  <c r="AC17" i="39"/>
  <c r="J27" i="39"/>
  <c r="AC27" i="39"/>
  <c r="F27" i="39"/>
  <c r="S27" i="39"/>
  <c r="S40" i="21"/>
  <c r="U34" i="21"/>
  <c r="S34" i="21"/>
  <c r="C25" i="39"/>
  <c r="C21" i="39"/>
  <c r="S40" i="39"/>
  <c r="H32" i="33"/>
  <c r="AB32" i="33"/>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H16" i="35"/>
  <c r="U16" i="35"/>
  <c r="F16" i="35"/>
  <c r="S16" i="35"/>
  <c r="H14" i="35"/>
  <c r="J29" i="35"/>
  <c r="W29" i="35"/>
  <c r="H33" i="35"/>
  <c r="AB33" i="35"/>
  <c r="AC8" i="35"/>
  <c r="J20" i="35"/>
  <c r="F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S19" i="34"/>
  <c r="H17" i="34"/>
  <c r="U17" i="34"/>
  <c r="F15" i="34"/>
  <c r="J15" i="34"/>
  <c r="W15" i="34"/>
  <c r="H15" i="34"/>
  <c r="AB15" i="34"/>
  <c r="S9" i="34"/>
  <c r="W8" i="34"/>
  <c r="J28" i="34"/>
  <c r="W28" i="34"/>
  <c r="F41" i="33"/>
  <c r="AA41" i="33"/>
  <c r="S38" i="33"/>
  <c r="E113" i="33"/>
  <c r="F113" i="33"/>
  <c r="F32" i="33"/>
  <c r="AA32" i="33"/>
  <c r="J19" i="33"/>
  <c r="AC19" i="33"/>
  <c r="J15" i="33"/>
  <c r="AC15" i="33"/>
  <c r="F11" i="33"/>
  <c r="AA11" i="33"/>
  <c r="U40" i="33"/>
  <c r="W40" i="33"/>
  <c r="U8" i="33"/>
  <c r="S8" i="33"/>
  <c r="F37" i="40"/>
  <c r="AA37" i="40"/>
  <c r="F36" i="40"/>
  <c r="AA36" i="40"/>
  <c r="H28" i="40"/>
  <c r="F23" i="40"/>
  <c r="F17" i="40"/>
  <c r="AA17" i="40"/>
  <c r="J17" i="40"/>
  <c r="W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J36" i="34"/>
  <c r="H37" i="34"/>
  <c r="U37" i="34"/>
  <c r="H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AC44" i="21"/>
  <c r="U46" i="21"/>
  <c r="F119" i="21"/>
  <c r="G119" i="21"/>
  <c r="H119" i="21"/>
  <c r="I119" i="21"/>
  <c r="J119" i="21"/>
  <c r="K119" i="21"/>
  <c r="L119" i="21"/>
  <c r="M119" i="21"/>
  <c r="H26" i="33"/>
  <c r="H28" i="33"/>
  <c r="F28" i="33"/>
  <c r="AA28" i="33"/>
  <c r="J28" i="33"/>
  <c r="F33" i="35"/>
  <c r="S33" i="35"/>
  <c r="J33" i="35"/>
  <c r="F30" i="35"/>
  <c r="S30" i="35"/>
  <c r="E89" i="35"/>
  <c r="F89" i="35"/>
  <c r="G89" i="35"/>
  <c r="H89" i="35"/>
  <c r="I89" i="35"/>
  <c r="J89" i="35"/>
  <c r="K89" i="35"/>
  <c r="L89" i="35"/>
  <c r="M89" i="35"/>
  <c r="H10" i="36"/>
  <c r="AB10" i="36"/>
  <c r="J14" i="36"/>
  <c r="AC14" i="36"/>
  <c r="H14" i="36"/>
  <c r="U14" i="36"/>
  <c r="F28" i="36"/>
  <c r="AA28" i="36"/>
  <c r="J31" i="21"/>
  <c r="AC31" i="21"/>
  <c r="F31" i="21"/>
  <c r="S31" i="21"/>
  <c r="F45" i="21"/>
  <c r="AA45" i="21"/>
  <c r="F27" i="33"/>
  <c r="AA27" i="33"/>
  <c r="J13" i="33"/>
  <c r="H13" i="33"/>
  <c r="AB13" i="33"/>
  <c r="F13" i="33"/>
  <c r="S13" i="33"/>
  <c r="J29" i="33"/>
  <c r="H29" i="33"/>
  <c r="F29" i="33"/>
  <c r="S29" i="33"/>
  <c r="J31" i="33"/>
  <c r="H31" i="33"/>
  <c r="AB31" i="33"/>
  <c r="F31" i="33"/>
  <c r="H45" i="33"/>
  <c r="U45" i="33"/>
  <c r="J45" i="33"/>
  <c r="W45" i="33"/>
  <c r="F45" i="33"/>
  <c r="J14" i="34"/>
  <c r="W14" i="34"/>
  <c r="F14" i="34"/>
  <c r="S14" i="34"/>
  <c r="H14" i="34"/>
  <c r="AB14" i="34"/>
  <c r="H30" i="34"/>
  <c r="F30" i="34"/>
  <c r="S30" i="34"/>
  <c r="J30" i="34"/>
  <c r="H32" i="34"/>
  <c r="AB32" i="34"/>
  <c r="F32" i="34"/>
  <c r="J32" i="34"/>
  <c r="H46" i="34"/>
  <c r="U46" i="34"/>
  <c r="F46" i="34"/>
  <c r="AA46" i="34"/>
  <c r="J46" i="34"/>
  <c r="H11" i="35"/>
  <c r="U11" i="35"/>
  <c r="J11" i="35"/>
  <c r="F11" i="35"/>
  <c r="J26" i="36"/>
  <c r="W26" i="36"/>
  <c r="H28" i="36"/>
  <c r="H32" i="36"/>
  <c r="J32" i="36"/>
  <c r="J11" i="36"/>
  <c r="AC11" i="36"/>
  <c r="H11" i="36"/>
  <c r="F11" i="36"/>
  <c r="H13" i="36"/>
  <c r="J13" i="36"/>
  <c r="AC13" i="36"/>
  <c r="F13" i="36"/>
  <c r="S13" i="36"/>
  <c r="E89" i="37"/>
  <c r="F89" i="37"/>
  <c r="G89" i="37"/>
  <c r="H89" i="37"/>
  <c r="I89" i="37"/>
  <c r="J89" i="37"/>
  <c r="K89" i="37"/>
  <c r="L89" i="37"/>
  <c r="M89" i="37"/>
  <c r="J29" i="37"/>
  <c r="W29" i="37"/>
  <c r="F29" i="37"/>
  <c r="S29" i="37"/>
  <c r="F105" i="37"/>
  <c r="H36" i="37"/>
  <c r="AB36" i="37"/>
  <c r="F107" i="37"/>
  <c r="J37" i="37"/>
  <c r="H37" i="37"/>
  <c r="H40" i="37"/>
  <c r="J40" i="37"/>
  <c r="AC40" i="37"/>
  <c r="F40" i="37"/>
  <c r="AC12" i="40"/>
  <c r="H14" i="33"/>
  <c r="F14" i="33"/>
  <c r="J14" i="33"/>
  <c r="W14" i="33"/>
  <c r="H30" i="33"/>
  <c r="AB30" i="33"/>
  <c r="F30" i="33"/>
  <c r="J30" i="33"/>
  <c r="W30" i="33"/>
  <c r="H44" i="33"/>
  <c r="J44" i="33"/>
  <c r="F44" i="33"/>
  <c r="J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c r="H14" i="40"/>
  <c r="AB14" i="40"/>
  <c r="J14" i="40"/>
  <c r="W14" i="40"/>
  <c r="F14" i="40"/>
  <c r="AA14" i="40"/>
  <c r="J14" i="37"/>
  <c r="AC14" i="37"/>
  <c r="J27" i="37"/>
  <c r="AC27" i="37"/>
  <c r="AA13" i="35"/>
  <c r="U31" i="34"/>
  <c r="U46" i="33"/>
  <c r="J36" i="37"/>
  <c r="AC36" i="37"/>
  <c r="G105" i="37"/>
  <c r="AB11" i="35"/>
  <c r="J10" i="36"/>
  <c r="AC10" i="36"/>
  <c r="AB30" i="21"/>
  <c r="AA14" i="37"/>
  <c r="W31" i="34"/>
  <c r="W11" i="36"/>
  <c r="AA14" i="34"/>
  <c r="U31" i="33"/>
  <c r="AC28" i="21"/>
  <c r="BA585" i="3"/>
  <c r="AZ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AZ558" i="3"/>
  <c r="BA556" i="3"/>
  <c r="AZ556" i="3"/>
  <c r="BA554" i="3"/>
  <c r="AZ554" i="3"/>
  <c r="BA552" i="3"/>
  <c r="AZ552" i="3"/>
  <c r="BA548" i="3"/>
  <c r="AZ548" i="3"/>
  <c r="BA546" i="3"/>
  <c r="AZ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BA498" i="3"/>
  <c r="AZ498" i="3"/>
  <c r="BA496" i="3"/>
  <c r="BA494"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BL493" i="3"/>
  <c r="O27" i="31"/>
  <c r="O28" i="31"/>
  <c r="O26" i="31"/>
  <c r="M27" i="31"/>
  <c r="M28" i="31"/>
  <c r="M26" i="31"/>
  <c r="I26" i="31"/>
  <c r="I25" i="31"/>
  <c r="Q26" i="31"/>
  <c r="K26" i="31"/>
  <c r="I27" i="31"/>
  <c r="Q27" i="31"/>
  <c r="K27" i="31"/>
  <c r="I28" i="31"/>
  <c r="Q28" i="31"/>
  <c r="K28" i="31"/>
  <c r="AC28" i="34"/>
  <c r="S21" i="40"/>
  <c r="H25" i="21"/>
  <c r="U25" i="21"/>
  <c r="F25" i="21"/>
  <c r="J25" i="21"/>
  <c r="AC25" i="21"/>
  <c r="E125" i="33"/>
  <c r="F125" i="33"/>
  <c r="G125" i="33"/>
  <c r="H43" i="33"/>
  <c r="AB43" i="33"/>
  <c r="H17" i="37"/>
  <c r="AB27" i="37"/>
  <c r="U32" i="33"/>
  <c r="AA36" i="39"/>
  <c r="F39" i="33"/>
  <c r="AA39" i="33"/>
  <c r="F42" i="33"/>
  <c r="H28" i="34"/>
  <c r="F14" i="36"/>
  <c r="AA14" i="36"/>
  <c r="F22" i="36"/>
  <c r="F26" i="36"/>
  <c r="H27" i="34"/>
  <c r="AB27" i="34"/>
  <c r="H35" i="34"/>
  <c r="U35" i="34"/>
  <c r="F41" i="34"/>
  <c r="S41" i="34"/>
  <c r="H41" i="34"/>
  <c r="J41" i="34"/>
  <c r="AC41" i="34"/>
  <c r="F10" i="35"/>
  <c r="F24" i="35"/>
  <c r="AA24" i="35"/>
  <c r="H24" i="35"/>
  <c r="H23" i="37"/>
  <c r="J32" i="37"/>
  <c r="F36" i="37"/>
  <c r="F37" i="37"/>
  <c r="AA37" i="37"/>
  <c r="F31" i="40"/>
  <c r="H31" i="40"/>
  <c r="F32" i="40"/>
  <c r="H32" i="40"/>
  <c r="AB32" i="40"/>
  <c r="J36" i="40"/>
  <c r="AA41" i="34"/>
  <c r="H19" i="37"/>
  <c r="AB19" i="37"/>
  <c r="G123" i="33"/>
  <c r="H123" i="33"/>
  <c r="I123" i="33"/>
  <c r="J123" i="33"/>
  <c r="K123" i="33"/>
  <c r="L123" i="33"/>
  <c r="M123" i="33"/>
  <c r="H42" i="33"/>
  <c r="AB42" i="33"/>
  <c r="J43" i="33"/>
  <c r="U43" i="33"/>
  <c r="S27" i="31"/>
  <c r="U14" i="40"/>
  <c r="AC33" i="36"/>
  <c r="U35" i="35"/>
  <c r="AA12" i="35"/>
  <c r="W14" i="37"/>
  <c r="AB28" i="37"/>
  <c r="U33" i="37"/>
  <c r="W26" i="37"/>
  <c r="AC8" i="37"/>
  <c r="U26" i="37"/>
  <c r="W47" i="34"/>
  <c r="AB13" i="34"/>
  <c r="AB37" i="34"/>
  <c r="AA13" i="33"/>
  <c r="AC45" i="33"/>
  <c r="U11" i="33"/>
  <c r="W44" i="21"/>
  <c r="U26" i="21"/>
  <c r="AB38" i="21"/>
  <c r="F43" i="33"/>
  <c r="AA43" i="33"/>
  <c r="AC15" i="34"/>
  <c r="W40" i="37"/>
  <c r="G107" i="37"/>
  <c r="H107" i="37"/>
  <c r="I107" i="37"/>
  <c r="J107" i="37"/>
  <c r="K107" i="37"/>
  <c r="L107" i="37"/>
  <c r="M107" i="37"/>
  <c r="H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H21" i="40"/>
  <c r="AC12" i="37"/>
  <c r="H31" i="37"/>
  <c r="U31" i="37"/>
  <c r="F71" i="37"/>
  <c r="G71" i="37"/>
  <c r="J15" i="37"/>
  <c r="W15" i="37"/>
  <c r="U12" i="37"/>
  <c r="AT6" i="3"/>
  <c r="C12" i="43"/>
  <c r="H19" i="40"/>
  <c r="U19" i="40"/>
  <c r="F88" i="40"/>
  <c r="G88" i="40"/>
  <c r="F19" i="40"/>
  <c r="S19" i="40"/>
  <c r="S14" i="40"/>
  <c r="AC13" i="40"/>
  <c r="AB33" i="40"/>
  <c r="AC43" i="39"/>
  <c r="W43" i="39"/>
  <c r="U45" i="39"/>
  <c r="AB45" i="39"/>
  <c r="AB44" i="39"/>
  <c r="U44" i="39"/>
  <c r="G101" i="39"/>
  <c r="H37" i="39"/>
  <c r="AB37" i="39"/>
  <c r="AC37" i="39"/>
  <c r="W37" i="39"/>
  <c r="J25" i="39"/>
  <c r="AC25" i="39"/>
  <c r="F25" i="39"/>
  <c r="AA25" i="39"/>
  <c r="H41" i="39"/>
  <c r="AB34" i="39"/>
  <c r="S42" i="39"/>
  <c r="W9" i="39"/>
  <c r="W8" i="39"/>
  <c r="J19" i="40"/>
  <c r="AC19" i="40"/>
  <c r="J50" i="40"/>
  <c r="B54" i="72"/>
  <c r="H103" i="9"/>
  <c r="D8" i="53"/>
  <c r="B16" i="53"/>
  <c r="B33" i="72"/>
  <c r="C7" i="36"/>
  <c r="C46" i="36"/>
  <c r="D46" i="36"/>
  <c r="E46" i="36"/>
  <c r="F46" i="36"/>
  <c r="G46" i="36"/>
  <c r="W35" i="40"/>
  <c r="A118" i="9"/>
  <c r="A4" i="52"/>
  <c r="B41" i="72"/>
  <c r="A12" i="52"/>
  <c r="B56" i="72"/>
  <c r="G4" i="4"/>
  <c r="I4" i="4"/>
  <c r="K5" i="4"/>
  <c r="B47" i="48"/>
  <c r="A2" i="9"/>
  <c r="F59" i="43"/>
  <c r="AZ20" i="3"/>
  <c r="AZ24" i="3"/>
  <c r="AZ28" i="3"/>
  <c r="AZ32" i="3"/>
  <c r="AZ497" i="3"/>
  <c r="BL549" i="3"/>
  <c r="AZ494" i="3"/>
  <c r="AZ514" i="3"/>
  <c r="AZ530"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AZ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AZ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J5" i="3"/>
  <c r="BF5" i="3"/>
  <c r="AZ309" i="3"/>
  <c r="AZ317" i="3"/>
  <c r="AZ325" i="3"/>
  <c r="AZ333" i="3"/>
  <c r="AZ341" i="3"/>
  <c r="AZ549" i="3"/>
  <c r="AZ496" i="3"/>
  <c r="G548" i="3"/>
  <c r="G538" i="3"/>
  <c r="G520" i="3"/>
  <c r="G502" i="3"/>
  <c r="BN5" i="3"/>
  <c r="BK5" i="3"/>
  <c r="BG5" i="3"/>
  <c r="G17" i="3"/>
  <c r="BA17" i="3"/>
  <c r="AZ350" i="3"/>
  <c r="AZ356" i="3"/>
  <c r="AZ364" i="3"/>
  <c r="AZ368" i="3"/>
  <c r="BA15" i="3"/>
  <c r="AZ15" i="3"/>
  <c r="AZ380" i="3"/>
  <c r="AZ388" i="3"/>
  <c r="AZ396" i="3"/>
  <c r="AZ499" i="3"/>
  <c r="G509" i="3"/>
  <c r="AZ491" i="3"/>
  <c r="AZ493" i="3"/>
  <c r="U36" i="40"/>
  <c r="F36" i="43"/>
  <c r="F81" i="43"/>
  <c r="H83" i="43"/>
  <c r="H113" i="43"/>
  <c r="F48" i="43"/>
  <c r="F70" i="43"/>
  <c r="M11" i="43"/>
  <c r="D17" i="43"/>
  <c r="F39" i="43"/>
  <c r="I17" i="43"/>
  <c r="F35" i="43"/>
  <c r="J17" i="43"/>
  <c r="U17" i="39"/>
  <c r="U43" i="21"/>
  <c r="AC35" i="21"/>
  <c r="U10" i="21"/>
  <c r="G8" i="1"/>
  <c r="G9" i="1"/>
  <c r="F48" i="9"/>
  <c r="O52" i="9"/>
  <c r="AZ501" i="3"/>
  <c r="W44" i="34"/>
  <c r="AC44" i="34"/>
  <c r="S15" i="37"/>
  <c r="U13" i="37"/>
  <c r="U12" i="40"/>
  <c r="AA12" i="40"/>
  <c r="J37" i="33"/>
  <c r="W37" i="33"/>
  <c r="AC17" i="34"/>
  <c r="G106" i="33"/>
  <c r="H106" i="33"/>
  <c r="I106" i="33"/>
  <c r="J106" i="33"/>
  <c r="K106" i="33"/>
  <c r="L106" i="33"/>
  <c r="M106" i="33"/>
  <c r="J34" i="33"/>
  <c r="W34" i="33"/>
  <c r="F33" i="34"/>
  <c r="S33" i="34"/>
  <c r="AC12" i="36"/>
  <c r="H20" i="36"/>
  <c r="U20" i="36"/>
  <c r="J20" i="36"/>
  <c r="W20" i="36"/>
  <c r="J27" i="36"/>
  <c r="W27" i="36"/>
  <c r="AB25" i="37"/>
  <c r="AC33" i="40"/>
  <c r="F111" i="40"/>
  <c r="G111" i="40"/>
  <c r="H111" i="40"/>
  <c r="I111" i="40"/>
  <c r="J111" i="40"/>
  <c r="K111" i="40"/>
  <c r="L111" i="40"/>
  <c r="M111" i="40"/>
  <c r="H35" i="40"/>
  <c r="AB35" i="40"/>
  <c r="AC29" i="35"/>
  <c r="H35" i="37"/>
  <c r="U35" i="37"/>
  <c r="AC14" i="35"/>
  <c r="H20" i="35"/>
  <c r="U20" i="35"/>
  <c r="F20" i="35"/>
  <c r="AA20" i="35"/>
  <c r="AB29" i="36"/>
  <c r="U29" i="36"/>
  <c r="H32" i="37"/>
  <c r="F96" i="37"/>
  <c r="G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H27" i="36"/>
  <c r="U27" i="36"/>
  <c r="F27" i="36"/>
  <c r="AA27" i="36"/>
  <c r="H33" i="34"/>
  <c r="U33" i="34"/>
  <c r="F32" i="37"/>
  <c r="AA32" i="37"/>
  <c r="H96" i="37"/>
  <c r="I96" i="37"/>
  <c r="J96" i="37"/>
  <c r="K96" i="37"/>
  <c r="L96" i="37"/>
  <c r="M96" i="37"/>
  <c r="F20" i="36"/>
  <c r="AA20" i="36"/>
  <c r="J33" i="34"/>
  <c r="U23" i="39"/>
  <c r="H86" i="43"/>
  <c r="H82" i="43"/>
  <c r="H87" i="43"/>
  <c r="AE9" i="1"/>
  <c r="D93" i="9"/>
  <c r="G29" i="6"/>
  <c r="AC26" i="33"/>
  <c r="W26" i="33"/>
  <c r="AC27" i="34"/>
  <c r="AB34" i="36"/>
  <c r="U34" i="36"/>
  <c r="AB33" i="36"/>
  <c r="U33" i="36"/>
  <c r="AC39" i="40"/>
  <c r="W39" i="40"/>
  <c r="AZ401" i="3"/>
  <c r="AZ412" i="3"/>
  <c r="AZ417" i="3"/>
  <c r="AZ428" i="3"/>
  <c r="AZ433" i="3"/>
  <c r="AZ465" i="3"/>
  <c r="W12" i="33"/>
  <c r="AA32" i="36"/>
  <c r="S32" i="36"/>
  <c r="AZ551" i="3"/>
  <c r="AZ550" i="3"/>
  <c r="AZ408" i="3"/>
  <c r="AZ437" i="3"/>
  <c r="AZ441" i="3"/>
  <c r="AZ457" i="3"/>
  <c r="AZ473" i="3"/>
  <c r="AZ490" i="3"/>
  <c r="AA39" i="34"/>
  <c r="BL14" i="3"/>
  <c r="AZ266" i="3"/>
  <c r="U30" i="33"/>
  <c r="AC13" i="34"/>
  <c r="AA47" i="34"/>
  <c r="W28" i="37"/>
  <c r="F12" i="33"/>
  <c r="S12" i="33"/>
  <c r="H12" i="39"/>
  <c r="AB12" i="39"/>
  <c r="F39" i="40"/>
  <c r="AA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S13" i="1"/>
  <c r="AR13" i="1"/>
  <c r="R13" i="1"/>
  <c r="S11" i="1"/>
  <c r="AQ11" i="1"/>
  <c r="R11" i="1"/>
  <c r="S9" i="1"/>
  <c r="AR9" i="1"/>
  <c r="R9" i="1"/>
  <c r="F31" i="12"/>
  <c r="H100" i="43"/>
  <c r="C30" i="66"/>
  <c r="E26" i="66"/>
  <c r="AC34" i="33"/>
  <c r="AA34" i="33"/>
  <c r="F53" i="9"/>
  <c r="J100" i="43"/>
  <c r="AB37" i="40"/>
  <c r="S35" i="40"/>
  <c r="S17" i="40"/>
  <c r="AC17" i="40"/>
  <c r="AC15" i="40"/>
  <c r="AB27" i="40"/>
  <c r="S30" i="40"/>
  <c r="AA19" i="40"/>
  <c r="S28" i="40"/>
  <c r="AA27" i="40"/>
  <c r="AB19" i="40"/>
  <c r="U37" i="39"/>
  <c r="S43" i="39"/>
  <c r="S37" i="39"/>
  <c r="U35" i="39"/>
  <c r="F32" i="39"/>
  <c r="F107" i="39"/>
  <c r="G107" i="39"/>
  <c r="U25" i="39"/>
  <c r="U31" i="39"/>
  <c r="S25" i="39"/>
  <c r="W19" i="39"/>
  <c r="U19" i="39"/>
  <c r="S17" i="39"/>
  <c r="S9" i="39"/>
  <c r="S23" i="36"/>
  <c r="AC27" i="36"/>
  <c r="AB27" i="36"/>
  <c r="U26" i="36"/>
  <c r="S33" i="36"/>
  <c r="S27" i="36"/>
  <c r="AA34" i="36"/>
  <c r="AC26" i="36"/>
  <c r="W14" i="36"/>
  <c r="AB14" i="36"/>
  <c r="U22" i="36"/>
  <c r="S16" i="36"/>
  <c r="AA25" i="36"/>
  <c r="U23" i="36"/>
  <c r="AB20" i="36"/>
  <c r="S14" i="36"/>
  <c r="U10" i="36"/>
  <c r="W10" i="36"/>
  <c r="AA25" i="35"/>
  <c r="S23" i="35"/>
  <c r="W24" i="35"/>
  <c r="AB13" i="35"/>
  <c r="U29" i="35"/>
  <c r="U28" i="35"/>
  <c r="AB27" i="35"/>
  <c r="U36" i="35"/>
  <c r="U32" i="35"/>
  <c r="AA33" i="35"/>
  <c r="S32" i="35"/>
  <c r="AA36" i="35"/>
  <c r="W32" i="35"/>
  <c r="S28" i="35"/>
  <c r="AB16" i="35"/>
  <c r="S20" i="35"/>
  <c r="S22" i="35"/>
  <c r="AC10" i="35"/>
  <c r="AB10" i="35"/>
  <c r="S8" i="35"/>
  <c r="AC9" i="35"/>
  <c r="W9" i="35"/>
  <c r="AC12" i="35"/>
  <c r="W13" i="35"/>
  <c r="F9" i="35"/>
  <c r="H9" i="35"/>
  <c r="AB9" i="35"/>
  <c r="F26" i="35"/>
  <c r="AA26" i="35"/>
  <c r="J26" i="35"/>
  <c r="H26" i="35"/>
  <c r="U26" i="35"/>
  <c r="S25" i="37"/>
  <c r="W27" i="37"/>
  <c r="S26" i="37"/>
  <c r="AC9" i="37"/>
  <c r="AC29" i="37"/>
  <c r="U29" i="37"/>
  <c r="S32" i="37"/>
  <c r="AB31" i="37"/>
  <c r="W30" i="37"/>
  <c r="AA38" i="37"/>
  <c r="W38" i="37"/>
  <c r="AC35" i="37"/>
  <c r="W39" i="37"/>
  <c r="S30" i="37"/>
  <c r="S37" i="37"/>
  <c r="AC15" i="37"/>
  <c r="J17" i="37"/>
  <c r="W17" i="37"/>
  <c r="G73" i="37"/>
  <c r="F17" i="37"/>
  <c r="AA17" i="37"/>
  <c r="F75" i="37"/>
  <c r="G75" i="37"/>
  <c r="F19" i="37"/>
  <c r="F79" i="37"/>
  <c r="F23" i="37"/>
  <c r="S23" i="37"/>
  <c r="U15" i="37"/>
  <c r="AC13" i="37"/>
  <c r="U9" i="37"/>
  <c r="AA13" i="37"/>
  <c r="AA12" i="37"/>
  <c r="AA9" i="37"/>
  <c r="H10" i="37"/>
  <c r="AB10" i="37"/>
  <c r="H60" i="37"/>
  <c r="F63" i="37"/>
  <c r="G63" i="37"/>
  <c r="F11" i="37"/>
  <c r="S11" i="37"/>
  <c r="W25" i="34"/>
  <c r="AB8" i="34"/>
  <c r="AA33" i="34"/>
  <c r="U44" i="34"/>
  <c r="U43" i="34"/>
  <c r="AC39" i="34"/>
  <c r="W41" i="34"/>
  <c r="AC42" i="34"/>
  <c r="AB35" i="34"/>
  <c r="U39" i="34"/>
  <c r="S43" i="34"/>
  <c r="AA45" i="34"/>
  <c r="W34" i="34"/>
  <c r="AA25" i="34"/>
  <c r="S17" i="34"/>
  <c r="AA29" i="34"/>
  <c r="U27" i="34"/>
  <c r="S23" i="34"/>
  <c r="U15" i="34"/>
  <c r="S10" i="34"/>
  <c r="S13" i="34"/>
  <c r="H67" i="34"/>
  <c r="H10" i="34"/>
  <c r="AB10" i="34"/>
  <c r="F11" i="34"/>
  <c r="S11" i="34"/>
  <c r="F70" i="34"/>
  <c r="W42" i="33"/>
  <c r="AA35" i="33"/>
  <c r="S27" i="33"/>
  <c r="S32" i="33"/>
  <c r="AA29" i="33"/>
  <c r="W38" i="33"/>
  <c r="H41" i="33"/>
  <c r="F121" i="33"/>
  <c r="G121" i="33"/>
  <c r="H121" i="33"/>
  <c r="I121" i="33"/>
  <c r="J121" i="33"/>
  <c r="K121" i="33"/>
  <c r="L121" i="33"/>
  <c r="M121" i="33"/>
  <c r="U42" i="33"/>
  <c r="F36" i="33"/>
  <c r="S36" i="33"/>
  <c r="G111" i="33"/>
  <c r="G108" i="33"/>
  <c r="H108" i="33"/>
  <c r="I108" i="33"/>
  <c r="J108" i="33"/>
  <c r="K108" i="33"/>
  <c r="L108" i="33"/>
  <c r="M108" i="33"/>
  <c r="J35" i="33"/>
  <c r="S37" i="33"/>
  <c r="AA37" i="33"/>
  <c r="S39" i="33"/>
  <c r="F101" i="33"/>
  <c r="G101" i="33"/>
  <c r="H101" i="33"/>
  <c r="I101" i="33"/>
  <c r="J101" i="33"/>
  <c r="K101" i="33"/>
  <c r="L101" i="33"/>
  <c r="M101" i="33"/>
  <c r="J32" i="33"/>
  <c r="S46" i="33"/>
  <c r="S43" i="33"/>
  <c r="F91" i="33"/>
  <c r="H27" i="33"/>
  <c r="U27" i="33"/>
  <c r="F87" i="33"/>
  <c r="H25" i="33"/>
  <c r="U25" i="33"/>
  <c r="F25" i="33"/>
  <c r="J23" i="33"/>
  <c r="AC23" i="33"/>
  <c r="F85" i="33"/>
  <c r="H23" i="33"/>
  <c r="AB23" i="33"/>
  <c r="F81" i="33"/>
  <c r="F19" i="33"/>
  <c r="W19" i="33"/>
  <c r="J17" i="33"/>
  <c r="F79" i="33"/>
  <c r="S15" i="33"/>
  <c r="W15" i="33"/>
  <c r="U9" i="33"/>
  <c r="I66" i="33"/>
  <c r="J10" i="33"/>
  <c r="H10" i="33"/>
  <c r="U10" i="33"/>
  <c r="AA10" i="33"/>
  <c r="AC11" i="33"/>
  <c r="W43" i="21"/>
  <c r="W36" i="21"/>
  <c r="W41" i="21"/>
  <c r="AB39" i="21"/>
  <c r="AA43" i="21"/>
  <c r="S39" i="21"/>
  <c r="AA38" i="21"/>
  <c r="AA36" i="21"/>
  <c r="AC40" i="21"/>
  <c r="G77" i="21"/>
  <c r="E85" i="21"/>
  <c r="AA14" i="21"/>
  <c r="AB8" i="21"/>
  <c r="S8" i="21"/>
  <c r="M3" i="43"/>
  <c r="M1" i="43"/>
  <c r="N8" i="43"/>
  <c r="D120" i="9"/>
  <c r="D6" i="52"/>
  <c r="F34" i="67"/>
  <c r="F62" i="67"/>
  <c r="M20" i="67"/>
  <c r="F62" i="15"/>
  <c r="BL17" i="3"/>
  <c r="AZ17" i="3"/>
  <c r="J56" i="9"/>
  <c r="J57" i="9"/>
  <c r="J59" i="9"/>
  <c r="J61" i="9"/>
  <c r="A24" i="51"/>
  <c r="B18" i="72"/>
  <c r="U29" i="34"/>
  <c r="G1" i="68"/>
  <c r="K1" i="12"/>
  <c r="E19" i="69"/>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c r="T35" i="4"/>
  <c r="A4" i="51"/>
  <c r="B6" i="72"/>
  <c r="H66" i="43"/>
  <c r="H64" i="43"/>
  <c r="H55" i="43"/>
  <c r="H72" i="43"/>
  <c r="B6" i="1"/>
  <c r="E6" i="1"/>
  <c r="B9" i="1"/>
  <c r="E9" i="1"/>
  <c r="G1" i="69"/>
  <c r="W23" i="40"/>
  <c r="U32" i="40"/>
  <c r="S37" i="40"/>
  <c r="W28" i="40"/>
  <c r="W34" i="40"/>
  <c r="W19" i="40"/>
  <c r="W27" i="40"/>
  <c r="S36" i="40"/>
  <c r="W37" i="40"/>
  <c r="AC14" i="40"/>
  <c r="S13" i="40"/>
  <c r="S33" i="40"/>
  <c r="U11" i="40"/>
  <c r="AB13" i="40"/>
  <c r="AB17" i="40"/>
  <c r="U8" i="40"/>
  <c r="S8" i="40"/>
  <c r="AA39" i="39"/>
  <c r="AC41" i="39"/>
  <c r="U41" i="39"/>
  <c r="AB41" i="39"/>
  <c r="W25" i="39"/>
  <c r="U13" i="39"/>
  <c r="AA13" i="39"/>
  <c r="S13" i="39"/>
  <c r="S14" i="39"/>
  <c r="U43" i="39"/>
  <c r="AB43" i="39"/>
  <c r="AA27" i="39"/>
  <c r="W17" i="39"/>
  <c r="AC31" i="39"/>
  <c r="AA45" i="39"/>
  <c r="AB39" i="39"/>
  <c r="W34" i="39"/>
  <c r="S8" i="39"/>
  <c r="S20" i="36"/>
  <c r="AC25" i="36"/>
  <c r="S28" i="36"/>
  <c r="W29" i="36"/>
  <c r="AC20" i="36"/>
  <c r="U25" i="36"/>
  <c r="AA13" i="36"/>
  <c r="W9" i="36"/>
  <c r="W22" i="36"/>
  <c r="W23" i="36"/>
  <c r="S9" i="36"/>
  <c r="AB20" i="35"/>
  <c r="AC25" i="35"/>
  <c r="U25" i="35"/>
  <c r="S24" i="35"/>
  <c r="AA30" i="35"/>
  <c r="S35" i="35"/>
  <c r="W35" i="35"/>
  <c r="AA16" i="35"/>
  <c r="W36" i="37"/>
  <c r="S27" i="37"/>
  <c r="S28" i="37"/>
  <c r="U36" i="37"/>
  <c r="U38" i="37"/>
  <c r="S33" i="37"/>
  <c r="AC34" i="37"/>
  <c r="AB35" i="37"/>
  <c r="AA11" i="37"/>
  <c r="AA31" i="37"/>
  <c r="U19" i="37"/>
  <c r="AA29" i="37"/>
  <c r="AA8" i="37"/>
  <c r="U8" i="37"/>
  <c r="AA40" i="34"/>
  <c r="AB40" i="34"/>
  <c r="U19" i="34"/>
  <c r="W19" i="34"/>
  <c r="AB33" i="34"/>
  <c r="AC45" i="34"/>
  <c r="AA31" i="34"/>
  <c r="AA30" i="34"/>
  <c r="AB45" i="34"/>
  <c r="AB47" i="34"/>
  <c r="AB36" i="34"/>
  <c r="AC14" i="34"/>
  <c r="AC29" i="34"/>
  <c r="W46" i="34"/>
  <c r="AC46" i="34"/>
  <c r="S32" i="34"/>
  <c r="AA32" i="34"/>
  <c r="U30" i="34"/>
  <c r="AB30" i="34"/>
  <c r="S37" i="34"/>
  <c r="AC40" i="34"/>
  <c r="W40" i="34"/>
  <c r="AA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AB42" i="21"/>
  <c r="U28" i="21"/>
  <c r="S45" i="21"/>
  <c r="F33" i="21"/>
  <c r="J33" i="21"/>
  <c r="H33" i="21"/>
  <c r="AB33" i="21"/>
  <c r="AA26" i="21"/>
  <c r="AB14" i="21"/>
  <c r="U40" i="21"/>
  <c r="AB31" i="21"/>
  <c r="U31" i="21"/>
  <c r="AB13" i="21"/>
  <c r="W8" i="21"/>
  <c r="J37" i="21"/>
  <c r="W39" i="21"/>
  <c r="AC14" i="21"/>
  <c r="W30" i="21"/>
  <c r="H45" i="21"/>
  <c r="U45" i="21"/>
  <c r="F29" i="21"/>
  <c r="S29" i="21"/>
  <c r="F13" i="21"/>
  <c r="AA13" i="21"/>
  <c r="AC38" i="21"/>
  <c r="H32" i="21"/>
  <c r="H9" i="21"/>
  <c r="J9" i="21"/>
  <c r="AC9" i="21"/>
  <c r="F32" i="21"/>
  <c r="S32" i="21"/>
  <c r="AA31" i="21"/>
  <c r="W29" i="21"/>
  <c r="S9" i="21"/>
  <c r="K141" i="21"/>
  <c r="K144" i="21"/>
  <c r="K143" i="21"/>
  <c r="AB25" i="21"/>
  <c r="AA30" i="21"/>
  <c r="W42" i="21"/>
  <c r="AC45" i="21"/>
  <c r="F10" i="21"/>
  <c r="K145" i="21"/>
  <c r="W25" i="21"/>
  <c r="AA29" i="21"/>
  <c r="W31" i="21"/>
  <c r="AC27" i="21"/>
  <c r="AC26" i="21"/>
  <c r="S28" i="21"/>
  <c r="AC34" i="21"/>
  <c r="W10" i="21"/>
  <c r="W12" i="21"/>
  <c r="AB36" i="21"/>
  <c r="W30" i="40"/>
  <c r="C19" i="39"/>
  <c r="C15" i="40"/>
  <c r="C17" i="40"/>
  <c r="C23" i="40"/>
  <c r="C21" i="40"/>
  <c r="U30" i="40"/>
  <c r="B65" i="43"/>
  <c r="B49" i="43"/>
  <c r="B52" i="43"/>
  <c r="B56" i="43"/>
  <c r="B60" i="43"/>
  <c r="B63" i="43"/>
  <c r="B67" i="43"/>
  <c r="D23" i="15"/>
  <c r="D22" i="15"/>
  <c r="F30" i="68"/>
  <c r="F30" i="11"/>
  <c r="C48" i="11"/>
  <c r="F28" i="67"/>
  <c r="F52" i="9"/>
  <c r="M18" i="67"/>
  <c r="F32" i="67"/>
  <c r="F60" i="67"/>
  <c r="F30" i="69"/>
  <c r="F60" i="15"/>
  <c r="M18" i="15"/>
  <c r="S39" i="40"/>
  <c r="AA12" i="33"/>
  <c r="D68" i="9"/>
  <c r="F54" i="9"/>
  <c r="J32" i="39"/>
  <c r="H107" i="39"/>
  <c r="I107" i="39"/>
  <c r="J107" i="39"/>
  <c r="K107" i="39"/>
  <c r="L107" i="39"/>
  <c r="M107" i="39"/>
  <c r="H32" i="39"/>
  <c r="AB32" i="39"/>
  <c r="AA32" i="39"/>
  <c r="S32" i="39"/>
  <c r="S26" i="35"/>
  <c r="U9" i="35"/>
  <c r="AA9" i="35"/>
  <c r="S9" i="35"/>
  <c r="AC26" i="35"/>
  <c r="W26" i="35"/>
  <c r="AB26" i="35"/>
  <c r="AC17" i="37"/>
  <c r="S17" i="37"/>
  <c r="J19" i="37"/>
  <c r="AC19" i="37"/>
  <c r="S19" i="37"/>
  <c r="AA19" i="37"/>
  <c r="AA23" i="37"/>
  <c r="J23" i="37"/>
  <c r="G79" i="37"/>
  <c r="J10" i="37"/>
  <c r="I60" i="37"/>
  <c r="H11" i="37"/>
  <c r="U11" i="37"/>
  <c r="U10" i="37"/>
  <c r="G70" i="34"/>
  <c r="H11" i="34"/>
  <c r="U10" i="34"/>
  <c r="J10" i="34"/>
  <c r="I67" i="34"/>
  <c r="AB41" i="33"/>
  <c r="U41" i="33"/>
  <c r="W35" i="33"/>
  <c r="AC35" i="33"/>
  <c r="H111" i="33"/>
  <c r="I111" i="33"/>
  <c r="J111" i="33"/>
  <c r="K111" i="33"/>
  <c r="L111" i="33"/>
  <c r="M111" i="33"/>
  <c r="J36" i="33"/>
  <c r="H36" i="33"/>
  <c r="AB36" i="33"/>
  <c r="AA36" i="33"/>
  <c r="AC32" i="33"/>
  <c r="W32" i="33"/>
  <c r="AB27" i="33"/>
  <c r="G91" i="33"/>
  <c r="H91" i="33"/>
  <c r="I91" i="33"/>
  <c r="J91" i="33"/>
  <c r="K91" i="33"/>
  <c r="L91" i="33"/>
  <c r="M91" i="33"/>
  <c r="J27" i="33"/>
  <c r="AB25" i="33"/>
  <c r="S25" i="33"/>
  <c r="AA25" i="33"/>
  <c r="G87" i="33"/>
  <c r="H87" i="33"/>
  <c r="I87" i="33"/>
  <c r="J87" i="33"/>
  <c r="K87" i="33"/>
  <c r="L87" i="33"/>
  <c r="M87" i="33"/>
  <c r="J25" i="33"/>
  <c r="U23" i="33"/>
  <c r="F23" i="33"/>
  <c r="G85" i="33"/>
  <c r="W23" i="33"/>
  <c r="H19" i="33"/>
  <c r="U19" i="33"/>
  <c r="G81" i="33"/>
  <c r="G79" i="33"/>
  <c r="H17" i="33"/>
  <c r="F17" i="33"/>
  <c r="S17" i="33"/>
  <c r="W17" i="33"/>
  <c r="AC17" i="33"/>
  <c r="AB10" i="33"/>
  <c r="AC10" i="33"/>
  <c r="W10" i="33"/>
  <c r="U33" i="21"/>
  <c r="F85" i="21"/>
  <c r="G85" i="21"/>
  <c r="S13" i="21"/>
  <c r="D121" i="9"/>
  <c r="D7" i="52"/>
  <c r="K120" i="9"/>
  <c r="AP7" i="1"/>
  <c r="AB45" i="21"/>
  <c r="S33" i="21"/>
  <c r="AA33" i="21"/>
  <c r="AB9" i="21"/>
  <c r="U9" i="21"/>
  <c r="AA32" i="21"/>
  <c r="W9" i="21"/>
  <c r="AB32" i="21"/>
  <c r="U32" i="21"/>
  <c r="AA10" i="21"/>
  <c r="S10" i="21"/>
  <c r="C30" i="11"/>
  <c r="A18" i="62"/>
  <c r="B64" i="72"/>
  <c r="U32" i="39"/>
  <c r="AC32" i="39"/>
  <c r="W32" i="39"/>
  <c r="W19" i="37"/>
  <c r="W23" i="37"/>
  <c r="AC23" i="37"/>
  <c r="AB11" i="37"/>
  <c r="H63" i="37"/>
  <c r="I63" i="37"/>
  <c r="J63" i="37"/>
  <c r="K63" i="37"/>
  <c r="L63" i="37"/>
  <c r="M63" i="37"/>
  <c r="J11" i="37"/>
  <c r="W11" i="37"/>
  <c r="W10" i="37"/>
  <c r="AC10" i="37"/>
  <c r="U11" i="34"/>
  <c r="AB11" i="34"/>
  <c r="AC10" i="34"/>
  <c r="W10" i="34"/>
  <c r="H70" i="34"/>
  <c r="I70" i="34"/>
  <c r="J70" i="34"/>
  <c r="K70" i="34"/>
  <c r="L70" i="34"/>
  <c r="M70" i="34"/>
  <c r="J11" i="34"/>
  <c r="AC36" i="33"/>
  <c r="W36" i="33"/>
  <c r="U36" i="33"/>
  <c r="W27" i="33"/>
  <c r="AC27" i="33"/>
  <c r="W25" i="33"/>
  <c r="AC25" i="33"/>
  <c r="AA23" i="33"/>
  <c r="S23" i="33"/>
  <c r="AB19" i="33"/>
  <c r="AA17" i="33"/>
  <c r="U17" i="33"/>
  <c r="AB17" i="33"/>
  <c r="AC11" i="37"/>
  <c r="W11" i="34"/>
  <c r="AC11" i="34"/>
  <c r="F50" i="11"/>
  <c r="F50" i="69"/>
  <c r="AG6" i="1"/>
  <c r="H109" i="9"/>
  <c r="H110" i="9"/>
  <c r="D18" i="53"/>
  <c r="B35" i="72"/>
  <c r="D124" i="9"/>
  <c r="D16" i="53"/>
  <c r="B34" i="72"/>
  <c r="D10" i="52"/>
  <c r="H14" i="74"/>
  <c r="D17" i="53"/>
  <c r="B36" i="72"/>
  <c r="D125" i="9"/>
  <c r="D11" i="52"/>
  <c r="B7" i="74"/>
  <c r="D59" i="9"/>
  <c r="M55" i="9"/>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c r="C16" i="43"/>
  <c r="O17" i="43"/>
  <c r="M17" i="43"/>
  <c r="E17" i="43"/>
  <c r="D11" i="71"/>
  <c r="U11" i="71"/>
  <c r="S11" i="71"/>
  <c r="T11" i="71"/>
  <c r="AB9" i="71"/>
  <c r="X7" i="71"/>
  <c r="X6" i="71"/>
  <c r="AA7" i="71"/>
  <c r="AA6" i="71"/>
  <c r="X10" i="71"/>
  <c r="Y6" i="71"/>
  <c r="Z6" i="71"/>
  <c r="AB7" i="71"/>
  <c r="AB6" i="71"/>
  <c r="B6" i="71"/>
  <c r="B5" i="71"/>
  <c r="S7" i="71"/>
  <c r="F8" i="71"/>
  <c r="F7" i="71"/>
  <c r="F6" i="71"/>
  <c r="F5" i="71"/>
  <c r="Y7" i="71"/>
  <c r="Z7" i="71"/>
  <c r="AB3" i="71"/>
  <c r="X3" i="71"/>
  <c r="E8" i="71"/>
  <c r="E7" i="71"/>
  <c r="AF3" i="71"/>
  <c r="F31" i="15"/>
  <c r="M17" i="67"/>
  <c r="F59" i="67"/>
  <c r="F59" i="15"/>
  <c r="M17" i="15"/>
  <c r="F31" i="67"/>
  <c r="G20" i="43"/>
  <c r="E41" i="43"/>
  <c r="C41" i="43"/>
  <c r="B7" i="76"/>
  <c r="F26" i="67"/>
  <c r="C76" i="15"/>
  <c r="E7" i="76"/>
  <c r="E9" i="76"/>
  <c r="AO13" i="1"/>
  <c r="E12" i="76"/>
  <c r="E11" i="76"/>
  <c r="F3" i="73"/>
  <c r="M24" i="15"/>
  <c r="D2" i="37"/>
  <c r="AO9" i="1"/>
  <c r="AO11" i="1"/>
  <c r="E2" i="68"/>
  <c r="B11" i="76"/>
  <c r="M28" i="15"/>
  <c r="F16" i="67"/>
  <c r="E2" i="69"/>
  <c r="F36" i="67"/>
  <c r="F6" i="67"/>
  <c r="D2" i="33"/>
  <c r="B8" i="76"/>
  <c r="D2" i="21"/>
  <c r="F6" i="73"/>
  <c r="D2" i="34"/>
  <c r="L47" i="15"/>
  <c r="F7" i="73"/>
  <c r="AO8" i="1"/>
  <c r="B10" i="76"/>
  <c r="M8" i="67"/>
  <c r="F20" i="31"/>
  <c r="E8" i="76"/>
  <c r="M28" i="67"/>
  <c r="M23" i="67"/>
  <c r="F38" i="67"/>
  <c r="M22" i="67"/>
  <c r="F13" i="67"/>
  <c r="AO10" i="1"/>
  <c r="M26" i="15"/>
  <c r="AO12" i="1"/>
  <c r="B9" i="76"/>
  <c r="F9" i="67"/>
  <c r="F5" i="73"/>
  <c r="L48" i="67"/>
  <c r="B12" i="76"/>
  <c r="D4" i="73"/>
  <c r="J15" i="67"/>
  <c r="D7" i="73"/>
  <c r="M9" i="67"/>
  <c r="E10" i="76"/>
  <c r="E13" i="76"/>
  <c r="D2" i="36"/>
  <c r="J15" i="15"/>
  <c r="F8" i="67"/>
  <c r="M27" i="67"/>
  <c r="B13" i="76"/>
  <c r="F42" i="67"/>
  <c r="M23" i="15"/>
  <c r="F40" i="67"/>
  <c r="D3" i="73"/>
  <c r="C76" i="67"/>
  <c r="F37" i="67"/>
  <c r="M24" i="67"/>
  <c r="M27" i="15"/>
  <c r="M6" i="67"/>
  <c r="L47" i="67"/>
  <c r="M22" i="15"/>
  <c r="D2" i="35"/>
  <c r="M26" i="67"/>
  <c r="T11" i="1"/>
  <c r="AQ13" i="1"/>
  <c r="C7" i="34"/>
  <c r="C59" i="34"/>
  <c r="D59" i="34"/>
  <c r="E59" i="34"/>
  <c r="C7" i="37"/>
  <c r="C52" i="37"/>
  <c r="D52" i="37"/>
  <c r="E52" i="37"/>
  <c r="F52" i="37"/>
  <c r="C7" i="40"/>
  <c r="C63" i="40"/>
  <c r="C7" i="33"/>
  <c r="C58" i="33"/>
  <c r="C7" i="35"/>
  <c r="C48" i="35"/>
  <c r="M47" i="9"/>
  <c r="T10" i="1"/>
  <c r="E6" i="71"/>
  <c r="E5" i="71"/>
  <c r="V7" i="71"/>
  <c r="D5" i="43"/>
  <c r="C5" i="43"/>
  <c r="S19" i="33"/>
  <c r="AA19" i="33"/>
  <c r="U35" i="40"/>
  <c r="AC33" i="34"/>
  <c r="W33" i="34"/>
  <c r="H73" i="43"/>
  <c r="H75" i="43"/>
  <c r="H78" i="43"/>
  <c r="AZ321" i="3"/>
  <c r="H62" i="43"/>
  <c r="H65" i="43"/>
  <c r="H63" i="43"/>
  <c r="D9" i="53"/>
  <c r="B25" i="72"/>
  <c r="B24" i="72"/>
  <c r="AB21" i="40"/>
  <c r="U21" i="40"/>
  <c r="AC43" i="33"/>
  <c r="W43" i="33"/>
  <c r="W36" i="40"/>
  <c r="AC36" i="40"/>
  <c r="S32" i="40"/>
  <c r="AA32" i="40"/>
  <c r="AA31" i="40"/>
  <c r="S31" i="40"/>
  <c r="AA36" i="37"/>
  <c r="S36" i="37"/>
  <c r="AB23" i="37"/>
  <c r="U23" i="37"/>
  <c r="S22" i="36"/>
  <c r="AA22" i="36"/>
  <c r="AB28" i="34"/>
  <c r="U28" i="34"/>
  <c r="AC5" i="3"/>
  <c r="AZ557" i="3"/>
  <c r="AZ495" i="3"/>
  <c r="AZ513" i="3"/>
  <c r="AZ517" i="3"/>
  <c r="AZ563" i="3"/>
  <c r="AZ567" i="3"/>
  <c r="AZ571" i="3"/>
  <c r="AZ575" i="3"/>
  <c r="AZ579" i="3"/>
  <c r="S44" i="34"/>
  <c r="U13" i="33"/>
  <c r="AB45" i="33"/>
  <c r="AB46" i="34"/>
  <c r="W13" i="36"/>
  <c r="S44" i="33"/>
  <c r="AA44" i="33"/>
  <c r="S14" i="33"/>
  <c r="AA14" i="33"/>
  <c r="U37" i="37"/>
  <c r="AB37" i="37"/>
  <c r="AB13" i="36"/>
  <c r="U13" i="36"/>
  <c r="U11" i="36"/>
  <c r="AB11" i="36"/>
  <c r="W32" i="36"/>
  <c r="AC32" i="36"/>
  <c r="U28" i="36"/>
  <c r="AB28" i="36"/>
  <c r="S11" i="35"/>
  <c r="AA11" i="35"/>
  <c r="W32" i="34"/>
  <c r="AC32" i="34"/>
  <c r="W31" i="33"/>
  <c r="AC31" i="33"/>
  <c r="U29" i="33"/>
  <c r="AB29" i="33"/>
  <c r="U26" i="33"/>
  <c r="AB26" i="33"/>
  <c r="AC37" i="34"/>
  <c r="W37" i="34"/>
  <c r="AB25" i="34"/>
  <c r="U25" i="34"/>
  <c r="W36" i="34"/>
  <c r="AC36" i="34"/>
  <c r="S15" i="40"/>
  <c r="AA15" i="40"/>
  <c r="U28" i="40"/>
  <c r="AB28" i="40"/>
  <c r="S35" i="37"/>
  <c r="AA35" i="37"/>
  <c r="AB14" i="35"/>
  <c r="U14" i="35"/>
  <c r="F11" i="21"/>
  <c r="H11" i="21"/>
  <c r="J11" i="21"/>
  <c r="F69" i="21"/>
  <c r="G69" i="21"/>
  <c r="H69" i="21"/>
  <c r="I69" i="21"/>
  <c r="J69" i="21"/>
  <c r="K69" i="21"/>
  <c r="L69" i="21"/>
  <c r="M69" i="21"/>
  <c r="J32" i="21"/>
  <c r="F101" i="21"/>
  <c r="G101" i="21"/>
  <c r="H101" i="21"/>
  <c r="I101" i="21"/>
  <c r="J101" i="21"/>
  <c r="K101" i="21"/>
  <c r="L101" i="21"/>
  <c r="M101" i="21"/>
  <c r="W37" i="21"/>
  <c r="AC37" i="21"/>
  <c r="W33" i="21"/>
  <c r="AC33" i="21"/>
  <c r="H15" i="21"/>
  <c r="J15" i="21"/>
  <c r="AQ12" i="1"/>
  <c r="T12" i="1"/>
  <c r="AA23" i="39"/>
  <c r="S23" i="39"/>
  <c r="AC39" i="39"/>
  <c r="W39" i="39"/>
  <c r="AB32" i="37"/>
  <c r="U32" i="37"/>
  <c r="H52" i="43"/>
  <c r="H56" i="43"/>
  <c r="AC42" i="39"/>
  <c r="W42" i="39"/>
  <c r="U37" i="21"/>
  <c r="AB37" i="21"/>
  <c r="U31" i="40"/>
  <c r="AB31" i="40"/>
  <c r="AC32" i="37"/>
  <c r="W32" i="37"/>
  <c r="AB24" i="35"/>
  <c r="U24" i="35"/>
  <c r="S10" i="35"/>
  <c r="AA10" i="35"/>
  <c r="U41" i="34"/>
  <c r="AB41" i="34"/>
  <c r="S26" i="36"/>
  <c r="AA26" i="36"/>
  <c r="AA42" i="33"/>
  <c r="S42" i="33"/>
  <c r="U17" i="37"/>
  <c r="AB17" i="37"/>
  <c r="S25" i="21"/>
  <c r="AA25" i="21"/>
  <c r="W13" i="39"/>
  <c r="AC13" i="39"/>
  <c r="AC46" i="33"/>
  <c r="W46" i="33"/>
  <c r="AC44" i="33"/>
  <c r="W44" i="33"/>
  <c r="U14" i="33"/>
  <c r="AB14" i="33"/>
  <c r="AA40" i="37"/>
  <c r="S40" i="37"/>
  <c r="U40" i="37"/>
  <c r="AB40" i="37"/>
  <c r="AC37" i="37"/>
  <c r="W37" i="37"/>
  <c r="AA11" i="36"/>
  <c r="S11" i="36"/>
  <c r="AB32" i="36"/>
  <c r="U32" i="36"/>
  <c r="AC11" i="35"/>
  <c r="W11" i="35"/>
  <c r="W30" i="34"/>
  <c r="AC30" i="34"/>
  <c r="AA45" i="33"/>
  <c r="S45" i="33"/>
  <c r="AC29" i="33"/>
  <c r="W29" i="33"/>
  <c r="AC33" i="35"/>
  <c r="W33" i="35"/>
  <c r="W28" i="33"/>
  <c r="AC28" i="33"/>
  <c r="U28" i="33"/>
  <c r="AB28" i="33"/>
  <c r="AB38" i="34"/>
  <c r="U38" i="34"/>
  <c r="AB15" i="40"/>
  <c r="U15" i="40"/>
  <c r="AA23" i="40"/>
  <c r="S23" i="40"/>
  <c r="W20" i="35"/>
  <c r="AC20" i="35"/>
  <c r="AC16" i="35"/>
  <c r="W16" i="35"/>
  <c r="AZ586" i="3"/>
  <c r="AA12" i="21"/>
  <c r="S12" i="21"/>
  <c r="H113" i="21"/>
  <c r="F37" i="21"/>
  <c r="H19" i="21"/>
  <c r="J19" i="21"/>
  <c r="U42" i="39"/>
  <c r="U22" i="35"/>
  <c r="AC30" i="35"/>
  <c r="U16" i="36"/>
  <c r="S24" i="36"/>
  <c r="S29" i="36"/>
  <c r="S19" i="39"/>
  <c r="C20" i="43"/>
  <c r="AC21" i="40"/>
  <c r="AB23" i="35"/>
  <c r="W24" i="36"/>
  <c r="S14" i="35"/>
  <c r="AA41" i="39"/>
  <c r="U40" i="39"/>
  <c r="U12" i="21"/>
  <c r="U39" i="37"/>
  <c r="H29" i="21"/>
  <c r="F27" i="21"/>
  <c r="H27" i="21"/>
  <c r="J13" i="21"/>
  <c r="F46" i="21"/>
  <c r="J46" i="21"/>
  <c r="F44" i="21"/>
  <c r="H44" i="21"/>
  <c r="U30" i="35"/>
  <c r="S26" i="33"/>
  <c r="F27" i="34"/>
  <c r="W9" i="34"/>
  <c r="F35" i="21"/>
  <c r="H35" i="21"/>
  <c r="G81" i="21"/>
  <c r="AZ400" i="3"/>
  <c r="AZ413" i="3"/>
  <c r="AZ424" i="3"/>
  <c r="AZ429" i="3"/>
  <c r="J23" i="35"/>
  <c r="H12" i="36"/>
  <c r="H24" i="36"/>
  <c r="J23" i="39"/>
  <c r="H38" i="40"/>
  <c r="J38" i="40"/>
  <c r="H39" i="40"/>
  <c r="BC5" i="3"/>
  <c r="BT5" i="3"/>
  <c r="BR5" i="3"/>
  <c r="G28" i="6"/>
  <c r="G30" i="6"/>
  <c r="G31" i="6"/>
  <c r="BS5" i="3"/>
  <c r="BB5" i="3"/>
  <c r="E12" i="6"/>
  <c r="E57" i="40"/>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298" i="3"/>
  <c r="AZ301" i="3"/>
  <c r="AZ122" i="3"/>
  <c r="AZ125" i="3"/>
  <c r="AZ22" i="3"/>
  <c r="AZ52" i="3"/>
  <c r="AZ56" i="3"/>
  <c r="AZ68" i="3"/>
  <c r="AZ73" i="3"/>
  <c r="AZ87" i="3"/>
  <c r="AZ95" i="3"/>
  <c r="AZ100" i="3"/>
  <c r="O54" i="71"/>
  <c r="D54" i="71"/>
  <c r="C53" i="71"/>
  <c r="F3" i="35"/>
  <c r="T23" i="71"/>
  <c r="D23" i="71"/>
  <c r="M100" i="43"/>
  <c r="I100" i="43"/>
  <c r="E100" i="43"/>
  <c r="D100" i="43"/>
  <c r="D22" i="67"/>
  <c r="U18" i="36"/>
  <c r="C29" i="39"/>
  <c r="B66" i="43"/>
  <c r="E103" i="39"/>
  <c r="F103" i="39"/>
  <c r="G103" i="39"/>
  <c r="D14" i="71"/>
  <c r="C47" i="71"/>
  <c r="N53" i="71"/>
  <c r="D62" i="71"/>
  <c r="AA14" i="71"/>
  <c r="AB14" i="71"/>
  <c r="C50" i="71"/>
  <c r="C42" i="71"/>
  <c r="AA3" i="71"/>
  <c r="AA13" i="71"/>
  <c r="AA15" i="71"/>
  <c r="C18" i="71"/>
  <c r="X12" i="71"/>
  <c r="Y24" i="71"/>
  <c r="Z24" i="71"/>
  <c r="AA21" i="71"/>
  <c r="Y20" i="71"/>
  <c r="Z20" i="71"/>
  <c r="X17" i="71"/>
  <c r="E27" i="71"/>
  <c r="U27" i="71"/>
  <c r="B23" i="71"/>
  <c r="S23"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P55" i="71"/>
  <c r="U55" i="71"/>
  <c r="U63" i="71"/>
  <c r="E62" i="71"/>
  <c r="E61" i="71"/>
  <c r="X11" i="71"/>
  <c r="AA10" i="71"/>
  <c r="Y5" i="71"/>
  <c r="Z5" i="71"/>
  <c r="AB5" i="71"/>
  <c r="X5" i="71"/>
  <c r="AA5" i="71"/>
  <c r="X20" i="71"/>
  <c r="X21" i="71"/>
  <c r="X22" i="71"/>
  <c r="AA26" i="71"/>
  <c r="AA24" i="71"/>
  <c r="C34" i="71"/>
  <c r="D34" i="71"/>
  <c r="D33" i="71"/>
  <c r="T55" i="71"/>
  <c r="D55" i="71"/>
  <c r="V55" i="71"/>
  <c r="F54" i="71"/>
  <c r="Q55" i="71"/>
  <c r="T63" i="71"/>
  <c r="D63" i="71"/>
  <c r="AA11" i="71"/>
  <c r="AB11" i="71"/>
  <c r="Y11" i="71"/>
  <c r="Z11" i="71"/>
  <c r="Y9" i="71"/>
  <c r="Z9" i="71"/>
  <c r="AB10" i="71"/>
  <c r="X9" i="71"/>
  <c r="Y10" i="71"/>
  <c r="Z10" i="71"/>
  <c r="F23" i="21"/>
  <c r="H23" i="21"/>
  <c r="J23" i="21"/>
  <c r="AH10" i="43"/>
  <c r="AD10" i="43"/>
  <c r="Z10" i="43"/>
  <c r="AG10" i="43"/>
  <c r="AC10" i="43"/>
  <c r="P74" i="67"/>
  <c r="C10" i="71"/>
  <c r="AA9" i="71"/>
  <c r="X8" i="71"/>
  <c r="Y8" i="71"/>
  <c r="Z8" i="71"/>
  <c r="AA8" i="71"/>
  <c r="AB8" i="71"/>
  <c r="BO5" i="3"/>
  <c r="E496" i="79"/>
  <c r="H21" i="21"/>
  <c r="J21" i="21"/>
  <c r="F19" i="21"/>
  <c r="F15" i="21"/>
  <c r="F28" i="15"/>
  <c r="D496" i="79"/>
  <c r="C496" i="79"/>
  <c r="N495" i="79"/>
  <c r="S8" i="1"/>
  <c r="T8" i="1"/>
  <c r="H5" i="3"/>
  <c r="C18" i="9"/>
  <c r="D18" i="9"/>
  <c r="BQ5" i="3"/>
  <c r="F28" i="6"/>
  <c r="F30" i="6"/>
  <c r="BM5" i="3"/>
  <c r="F29" i="6"/>
  <c r="E29" i="6"/>
  <c r="K15" i="1"/>
  <c r="W27" i="39"/>
  <c r="AC14" i="39"/>
  <c r="W14" i="39"/>
  <c r="U12" i="39"/>
  <c r="AA12" i="39"/>
  <c r="H14" i="39"/>
  <c r="H21" i="39"/>
  <c r="F95" i="39"/>
  <c r="G95" i="39"/>
  <c r="J21" i="39"/>
  <c r="F21" i="39"/>
  <c r="F17" i="21"/>
  <c r="H17" i="21"/>
  <c r="J17" i="21"/>
  <c r="F79" i="21"/>
  <c r="G79" i="21"/>
  <c r="AC12" i="39"/>
  <c r="W12" i="39"/>
  <c r="T13" i="1"/>
  <c r="E5" i="6"/>
  <c r="C9" i="68"/>
  <c r="K56" i="9"/>
  <c r="C21" i="69"/>
  <c r="C40" i="68"/>
  <c r="E19" i="11"/>
  <c r="F15" i="39"/>
  <c r="G89" i="39"/>
  <c r="H15" i="39"/>
  <c r="J15" i="39"/>
  <c r="AA38" i="39"/>
  <c r="S38" i="39"/>
  <c r="AC38" i="39"/>
  <c r="W38" i="39"/>
  <c r="AB38" i="39"/>
  <c r="U38" i="39"/>
  <c r="AR11" i="1"/>
  <c r="D58" i="21"/>
  <c r="E58" i="21"/>
  <c r="F58" i="21"/>
  <c r="G58" i="21"/>
  <c r="H58" i="21"/>
  <c r="I58" i="21"/>
  <c r="J58" i="21"/>
  <c r="K58" i="21"/>
  <c r="L58" i="21"/>
  <c r="M58" i="21"/>
  <c r="N58" i="21"/>
  <c r="O58" i="21"/>
  <c r="H46" i="36"/>
  <c r="I46" i="36"/>
  <c r="J46" i="36"/>
  <c r="K46" i="36"/>
  <c r="L46" i="36"/>
  <c r="M46" i="36"/>
  <c r="N46" i="36"/>
  <c r="O46" i="36"/>
  <c r="F59" i="34"/>
  <c r="G59" i="34"/>
  <c r="H59" i="34"/>
  <c r="I59" i="34"/>
  <c r="J59" i="34"/>
  <c r="K59" i="34"/>
  <c r="L59" i="34"/>
  <c r="M59" i="34"/>
  <c r="N59" i="34"/>
  <c r="O59" i="34"/>
  <c r="F7" i="36"/>
  <c r="J7" i="36"/>
  <c r="D48" i="35"/>
  <c r="D58" i="33"/>
  <c r="N59" i="15"/>
  <c r="D23" i="67"/>
  <c r="B16" i="49"/>
  <c r="T9" i="1"/>
  <c r="AQ9" i="1"/>
  <c r="B30" i="9"/>
  <c r="AR10" i="1"/>
  <c r="E6" i="49"/>
  <c r="B22" i="49"/>
  <c r="B5" i="49"/>
  <c r="E22" i="49"/>
  <c r="E15" i="49"/>
  <c r="E4" i="49"/>
  <c r="E5" i="49"/>
  <c r="E11" i="49"/>
  <c r="B4" i="49"/>
  <c r="B6" i="49"/>
  <c r="E7" i="49"/>
  <c r="B54" i="43"/>
  <c r="C27" i="39"/>
  <c r="C15" i="39"/>
  <c r="I4" i="6"/>
  <c r="G3" i="43"/>
  <c r="F22" i="43"/>
  <c r="K6" i="1"/>
  <c r="D3" i="21"/>
  <c r="C7" i="12"/>
  <c r="E32" i="6"/>
  <c r="L19" i="6"/>
  <c r="L27" i="6"/>
  <c r="BA13" i="3"/>
  <c r="BA5" i="3"/>
  <c r="E27" i="6"/>
  <c r="K7" i="1"/>
  <c r="E7" i="12"/>
  <c r="G13" i="3"/>
  <c r="O13" i="1"/>
  <c r="P13" i="1"/>
  <c r="O11" i="1"/>
  <c r="P11" i="1"/>
  <c r="O9" i="1"/>
  <c r="P9" i="1"/>
  <c r="O12" i="1"/>
  <c r="P12" i="1"/>
  <c r="O10" i="1"/>
  <c r="P10" i="1"/>
  <c r="O8" i="1"/>
  <c r="P8" i="1"/>
  <c r="E28" i="6"/>
  <c r="BL13" i="3"/>
  <c r="E9" i="49"/>
  <c r="E13" i="49"/>
  <c r="B14" i="49"/>
  <c r="E21" i="49"/>
  <c r="B8" i="49"/>
  <c r="E8" i="49"/>
  <c r="B10" i="49"/>
  <c r="E16" i="49"/>
  <c r="B9" i="49"/>
  <c r="B13" i="49"/>
  <c r="E14" i="49"/>
  <c r="E10" i="49"/>
  <c r="B15" i="49"/>
  <c r="B7" i="49"/>
  <c r="C4" i="4"/>
  <c r="B4" i="62"/>
  <c r="B71" i="72"/>
  <c r="B11" i="49"/>
  <c r="E4" i="4"/>
  <c r="B5" i="62"/>
  <c r="B73" i="72"/>
  <c r="B13" i="70"/>
  <c r="F51" i="67"/>
  <c r="E20" i="43"/>
  <c r="Q71" i="67"/>
  <c r="B9" i="70"/>
  <c r="F68" i="67"/>
  <c r="B12" i="70"/>
  <c r="F64" i="67"/>
  <c r="L59" i="67"/>
  <c r="N59" i="67"/>
  <c r="M59" i="67"/>
  <c r="L58" i="67"/>
  <c r="B11" i="70"/>
  <c r="F66" i="67"/>
  <c r="F65" i="67"/>
  <c r="F70" i="67"/>
  <c r="B10" i="70"/>
  <c r="B8" i="70"/>
  <c r="C27" i="67"/>
  <c r="J53" i="67"/>
  <c r="J57" i="67"/>
  <c r="J55" i="67"/>
  <c r="J58" i="67"/>
  <c r="Q50" i="67"/>
  <c r="L56" i="67"/>
  <c r="I54" i="67"/>
  <c r="L58" i="15"/>
  <c r="M59" i="15"/>
  <c r="L59" i="15"/>
  <c r="Q71" i="15"/>
  <c r="J57" i="15"/>
  <c r="J55" i="15"/>
  <c r="J58" i="15"/>
  <c r="Q50" i="15"/>
  <c r="L57" i="15"/>
  <c r="J59" i="15"/>
  <c r="F66" i="15"/>
  <c r="F65" i="15"/>
  <c r="F64" i="15"/>
  <c r="F68" i="15"/>
  <c r="F51" i="15"/>
  <c r="F7" i="67"/>
  <c r="M29" i="67"/>
  <c r="M29" i="15"/>
  <c r="F43" i="67"/>
  <c r="E62" i="39"/>
  <c r="E14" i="6"/>
  <c r="E11" i="6"/>
  <c r="E61" i="39"/>
  <c r="G52" i="37"/>
  <c r="H52" i="37"/>
  <c r="I52" i="37"/>
  <c r="J52" i="37"/>
  <c r="K52" i="37"/>
  <c r="L52" i="37"/>
  <c r="M52" i="37"/>
  <c r="N52" i="37"/>
  <c r="O52" i="37"/>
  <c r="F7" i="37"/>
  <c r="H7" i="37"/>
  <c r="J7" i="37"/>
  <c r="P21" i="43"/>
  <c r="P25" i="43"/>
  <c r="P24" i="43"/>
  <c r="B66" i="40"/>
  <c r="O19" i="43"/>
  <c r="C19" i="43"/>
  <c r="C34" i="43"/>
  <c r="E34" i="43"/>
  <c r="J7" i="34"/>
  <c r="P22" i="43"/>
  <c r="D63" i="40"/>
  <c r="C65" i="40"/>
  <c r="T15" i="43"/>
  <c r="V15" i="43"/>
  <c r="L101" i="43"/>
  <c r="L102" i="43"/>
  <c r="D9" i="11"/>
  <c r="C9" i="11"/>
  <c r="H7" i="21"/>
  <c r="AB7" i="21"/>
  <c r="T48" i="21"/>
  <c r="G48" i="21"/>
  <c r="G52" i="21"/>
  <c r="H52" i="21"/>
  <c r="AA15" i="21"/>
  <c r="S15" i="21"/>
  <c r="AC21" i="21"/>
  <c r="W21" i="21"/>
  <c r="N486" i="79"/>
  <c r="N492" i="79"/>
  <c r="N483" i="79"/>
  <c r="N487" i="79"/>
  <c r="N480" i="79"/>
  <c r="N482" i="79"/>
  <c r="N491" i="79"/>
  <c r="N494" i="79"/>
  <c r="AC23" i="21"/>
  <c r="W23" i="21"/>
  <c r="AA23" i="21"/>
  <c r="S23" i="21"/>
  <c r="D26" i="71"/>
  <c r="C27" i="71"/>
  <c r="B14" i="71"/>
  <c r="B13" i="71"/>
  <c r="S15" i="71"/>
  <c r="C51" i="71"/>
  <c r="D50" i="71"/>
  <c r="AC38" i="40"/>
  <c r="W38" i="40"/>
  <c r="AC23" i="39"/>
  <c r="W23" i="39"/>
  <c r="U12" i="36"/>
  <c r="AB12" i="36"/>
  <c r="AA35" i="21"/>
  <c r="S35" i="21"/>
  <c r="S27" i="34"/>
  <c r="AA27" i="34"/>
  <c r="S44" i="21"/>
  <c r="AA44" i="21"/>
  <c r="AA46" i="21"/>
  <c r="S46" i="21"/>
  <c r="U27" i="21"/>
  <c r="AB27" i="21"/>
  <c r="U29" i="21"/>
  <c r="AB29" i="21"/>
  <c r="AB19" i="21"/>
  <c r="U19" i="21"/>
  <c r="AC15" i="21"/>
  <c r="W15" i="21"/>
  <c r="U11" i="21"/>
  <c r="AB11" i="21"/>
  <c r="I54" i="15"/>
  <c r="L60" i="15"/>
  <c r="Q57" i="15"/>
  <c r="Q48" i="15"/>
  <c r="E8" i="6"/>
  <c r="E51" i="40"/>
  <c r="E15" i="6"/>
  <c r="E60" i="40"/>
  <c r="E10" i="6"/>
  <c r="F7" i="34"/>
  <c r="S7" i="34"/>
  <c r="H7" i="36"/>
  <c r="AB7" i="36"/>
  <c r="T36" i="36"/>
  <c r="G36" i="36"/>
  <c r="J7" i="21"/>
  <c r="F7" i="21"/>
  <c r="AA7" i="21"/>
  <c r="R48" i="21"/>
  <c r="E48" i="21"/>
  <c r="E13" i="6"/>
  <c r="AQ8" i="1"/>
  <c r="AR8" i="1"/>
  <c r="AA19" i="21"/>
  <c r="S19" i="21"/>
  <c r="AB21" i="21"/>
  <c r="U21" i="21"/>
  <c r="N484" i="79"/>
  <c r="N490" i="79"/>
  <c r="C9" i="71"/>
  <c r="D10" i="71"/>
  <c r="N485" i="79"/>
  <c r="N489" i="79"/>
  <c r="N481" i="79"/>
  <c r="N488" i="79"/>
  <c r="N493" i="79"/>
  <c r="AB23" i="21"/>
  <c r="U23" i="21"/>
  <c r="F53" i="71"/>
  <c r="Q54" i="71"/>
  <c r="D18" i="71"/>
  <c r="C19" i="71"/>
  <c r="D42" i="71"/>
  <c r="C43" i="71"/>
  <c r="T47" i="71"/>
  <c r="D47" i="71"/>
  <c r="D53" i="71"/>
  <c r="O53" i="71"/>
  <c r="O52" i="71"/>
  <c r="U39" i="40"/>
  <c r="AB39" i="40"/>
  <c r="AB38" i="40"/>
  <c r="U38" i="40"/>
  <c r="AB24" i="36"/>
  <c r="U24" i="36"/>
  <c r="AC23" i="35"/>
  <c r="W23" i="35"/>
  <c r="U35" i="21"/>
  <c r="AB35" i="21"/>
  <c r="AB44" i="21"/>
  <c r="U44" i="21"/>
  <c r="AC46" i="21"/>
  <c r="W46" i="21"/>
  <c r="W13" i="21"/>
  <c r="AC13" i="21"/>
  <c r="S27" i="21"/>
  <c r="AA27" i="21"/>
  <c r="AC19" i="21"/>
  <c r="W19" i="21"/>
  <c r="S37" i="21"/>
  <c r="AA37" i="21"/>
  <c r="AB15" i="21"/>
  <c r="U15" i="21"/>
  <c r="AC32" i="21"/>
  <c r="W32" i="21"/>
  <c r="AC11" i="21"/>
  <c r="W11" i="21"/>
  <c r="S11" i="21"/>
  <c r="AA11" i="21"/>
  <c r="AB14" i="39"/>
  <c r="U14" i="39"/>
  <c r="AB17" i="21"/>
  <c r="U17" i="21"/>
  <c r="S21" i="39"/>
  <c r="AA21" i="39"/>
  <c r="AC17" i="21"/>
  <c r="W17" i="21"/>
  <c r="AA17" i="21"/>
  <c r="S17" i="21"/>
  <c r="W21" i="39"/>
  <c r="AC21" i="39"/>
  <c r="AB21" i="39"/>
  <c r="U21" i="39"/>
  <c r="F71" i="67"/>
  <c r="F50" i="67"/>
  <c r="C49" i="67"/>
  <c r="C6" i="67"/>
  <c r="C32" i="67"/>
  <c r="M7" i="67"/>
  <c r="J6" i="67"/>
  <c r="J18" i="67"/>
  <c r="G101" i="43"/>
  <c r="G106" i="43"/>
  <c r="K101" i="43"/>
  <c r="K103" i="43"/>
  <c r="D9" i="69"/>
  <c r="C9" i="69"/>
  <c r="AB15" i="39"/>
  <c r="U15" i="39"/>
  <c r="AC15" i="39"/>
  <c r="W15" i="39"/>
  <c r="AA15" i="39"/>
  <c r="S15" i="39"/>
  <c r="J101" i="43"/>
  <c r="J105" i="43"/>
  <c r="G22" i="43"/>
  <c r="N101" i="43"/>
  <c r="N105" i="43"/>
  <c r="E58" i="33"/>
  <c r="F58" i="33"/>
  <c r="G58" i="33"/>
  <c r="H58" i="33"/>
  <c r="I58" i="33"/>
  <c r="J58" i="33"/>
  <c r="K58" i="33"/>
  <c r="L58" i="33"/>
  <c r="M58" i="33"/>
  <c r="N58" i="33"/>
  <c r="O58" i="33"/>
  <c r="H7" i="33"/>
  <c r="C38" i="43"/>
  <c r="E48" i="35"/>
  <c r="H7" i="34"/>
  <c r="W7" i="36"/>
  <c r="AC7" i="36"/>
  <c r="V36" i="36"/>
  <c r="I36" i="36"/>
  <c r="L56" i="15"/>
  <c r="T14" i="43"/>
  <c r="V14" i="43"/>
  <c r="C30" i="68"/>
  <c r="C48" i="68"/>
  <c r="C48" i="69"/>
  <c r="C30" i="69"/>
  <c r="C77" i="9"/>
  <c r="C74" i="9"/>
  <c r="C28" i="67"/>
  <c r="W7" i="37"/>
  <c r="AC7" i="37"/>
  <c r="V42" i="37"/>
  <c r="I42" i="37"/>
  <c r="AA7" i="36"/>
  <c r="R36" i="36"/>
  <c r="S7" i="36"/>
  <c r="AB7" i="37"/>
  <c r="T42" i="37"/>
  <c r="G42" i="37"/>
  <c r="U7" i="37"/>
  <c r="S7" i="37"/>
  <c r="AA7" i="37"/>
  <c r="R42" i="37"/>
  <c r="W7" i="21"/>
  <c r="AC7" i="21"/>
  <c r="V48" i="21"/>
  <c r="I48" i="21"/>
  <c r="I52" i="21"/>
  <c r="J52" i="21"/>
  <c r="T8" i="43"/>
  <c r="V8" i="43"/>
  <c r="J7" i="33"/>
  <c r="U7" i="21"/>
  <c r="C35" i="43"/>
  <c r="E35" i="43"/>
  <c r="T10" i="43"/>
  <c r="V10" i="43"/>
  <c r="AC7" i="34"/>
  <c r="V49" i="34"/>
  <c r="I49" i="34"/>
  <c r="W7" i="34"/>
  <c r="S7" i="21"/>
  <c r="E64" i="39"/>
  <c r="E59" i="40"/>
  <c r="C25" i="9"/>
  <c r="N104" i="46"/>
  <c r="C101" i="43"/>
  <c r="C105" i="43"/>
  <c r="B113" i="43"/>
  <c r="D117" i="43"/>
  <c r="E117" i="43"/>
  <c r="F117" i="43"/>
  <c r="G117" i="43"/>
  <c r="H117" i="43"/>
  <c r="H101" i="43"/>
  <c r="H103" i="43"/>
  <c r="E22" i="43"/>
  <c r="F101" i="43"/>
  <c r="F106" i="43"/>
  <c r="D101" i="43"/>
  <c r="I101" i="43"/>
  <c r="AH11" i="43"/>
  <c r="AH13" i="43"/>
  <c r="AD11" i="43"/>
  <c r="AD13" i="43"/>
  <c r="Z11" i="43"/>
  <c r="Z13" i="43"/>
  <c r="AI11" i="43"/>
  <c r="AI13" i="43"/>
  <c r="AE11" i="43"/>
  <c r="AE13" i="43"/>
  <c r="AA11" i="43"/>
  <c r="AA13" i="43"/>
  <c r="J22" i="43"/>
  <c r="H22" i="43"/>
  <c r="M101" i="43"/>
  <c r="E101" i="43"/>
  <c r="AJ11" i="43"/>
  <c r="AJ13" i="43"/>
  <c r="AF11" i="43"/>
  <c r="AF13" i="43"/>
  <c r="AB11" i="43"/>
  <c r="AB13" i="43"/>
  <c r="Z7" i="43"/>
  <c r="AG11" i="43"/>
  <c r="AG13" i="43"/>
  <c r="AC11" i="43"/>
  <c r="AC13" i="43"/>
  <c r="Y11" i="43"/>
  <c r="Y13" i="43"/>
  <c r="M6" i="1"/>
  <c r="AP6" i="1"/>
  <c r="C36" i="69"/>
  <c r="J18" i="15"/>
  <c r="F50" i="15"/>
  <c r="C49" i="15"/>
  <c r="F71" i="15"/>
  <c r="G5" i="3"/>
  <c r="B3" i="3"/>
  <c r="M7" i="1"/>
  <c r="Q16" i="1"/>
  <c r="H16" i="1"/>
  <c r="K21" i="6"/>
  <c r="M21" i="6"/>
  <c r="I21" i="6"/>
  <c r="S21" i="6"/>
  <c r="K14" i="1"/>
  <c r="K20" i="6"/>
  <c r="E30" i="6"/>
  <c r="E31" i="6"/>
  <c r="K24" i="6"/>
  <c r="M24" i="6"/>
  <c r="I24" i="6"/>
  <c r="S24" i="6"/>
  <c r="K26" i="6"/>
  <c r="M26" i="6"/>
  <c r="I26" i="6"/>
  <c r="S26" i="6"/>
  <c r="K19" i="6"/>
  <c r="K22" i="6"/>
  <c r="M22" i="6"/>
  <c r="I22" i="6"/>
  <c r="S22" i="6"/>
  <c r="K25" i="6"/>
  <c r="M25" i="6"/>
  <c r="I25" i="6"/>
  <c r="S25" i="6"/>
  <c r="K23" i="6"/>
  <c r="M23" i="6"/>
  <c r="I23" i="6"/>
  <c r="S23" i="6"/>
  <c r="AZ13" i="3"/>
  <c r="AZ5" i="3"/>
  <c r="BL5" i="3"/>
  <c r="J104" i="43"/>
  <c r="J102" i="43"/>
  <c r="J106" i="43"/>
  <c r="J109" i="43"/>
  <c r="J107" i="43"/>
  <c r="G105" i="43"/>
  <c r="G102" i="43"/>
  <c r="G103" i="43"/>
  <c r="G107" i="43"/>
  <c r="G104" i="43"/>
  <c r="G109" i="43"/>
  <c r="L109" i="43"/>
  <c r="L103" i="43"/>
  <c r="L104" i="43"/>
  <c r="L105" i="43"/>
  <c r="L106" i="43"/>
  <c r="K106" i="43"/>
  <c r="C107" i="43"/>
  <c r="C106" i="43"/>
  <c r="C109" i="43"/>
  <c r="F102" i="43"/>
  <c r="K4" i="4"/>
  <c r="B46" i="48"/>
  <c r="B4" i="72"/>
  <c r="Q60" i="15"/>
  <c r="Q73" i="15"/>
  <c r="Q52" i="67"/>
  <c r="F1" i="67"/>
  <c r="Q61" i="67"/>
  <c r="Q74" i="67"/>
  <c r="M28" i="43"/>
  <c r="N28" i="43"/>
  <c r="P28" i="43"/>
  <c r="O28" i="43"/>
  <c r="C53" i="15"/>
  <c r="M11" i="67"/>
  <c r="J10" i="67"/>
  <c r="F11" i="67"/>
  <c r="Q74" i="15"/>
  <c r="Q61" i="15"/>
  <c r="Q60" i="67"/>
  <c r="Q73" i="67"/>
  <c r="AE7" i="1"/>
  <c r="F41" i="67"/>
  <c r="C16" i="67"/>
  <c r="H102" i="43"/>
  <c r="E56" i="40"/>
  <c r="F105" i="43"/>
  <c r="J103" i="43"/>
  <c r="F104" i="43"/>
  <c r="F107" i="43"/>
  <c r="C104" i="43"/>
  <c r="N102" i="43"/>
  <c r="N106" i="43"/>
  <c r="E65" i="39"/>
  <c r="N103" i="43"/>
  <c r="N107" i="43"/>
  <c r="H104" i="43"/>
  <c r="N104" i="43"/>
  <c r="H106" i="43"/>
  <c r="N109" i="43"/>
  <c r="Q66" i="15"/>
  <c r="L107" i="43"/>
  <c r="T16" i="43"/>
  <c r="V16" i="43"/>
  <c r="U7" i="36"/>
  <c r="T9" i="43"/>
  <c r="V9" i="43"/>
  <c r="AA7" i="34"/>
  <c r="R49" i="34"/>
  <c r="E49" i="34"/>
  <c r="I54" i="34"/>
  <c r="J54" i="34"/>
  <c r="T11" i="43"/>
  <c r="V11" i="43"/>
  <c r="C36" i="43"/>
  <c r="T13" i="43"/>
  <c r="V13" i="43"/>
  <c r="G34" i="43"/>
  <c r="I34" i="43"/>
  <c r="C33" i="43"/>
  <c r="C37" i="43"/>
  <c r="D65" i="40"/>
  <c r="E63" i="40"/>
  <c r="T12" i="43"/>
  <c r="V12" i="43"/>
  <c r="C39" i="43"/>
  <c r="G35" i="43"/>
  <c r="I35" i="43"/>
  <c r="F103" i="43"/>
  <c r="F109" i="43"/>
  <c r="H107" i="43"/>
  <c r="H109" i="43"/>
  <c r="H105" i="43"/>
  <c r="C103" i="43"/>
  <c r="C102" i="43"/>
  <c r="K102" i="43"/>
  <c r="K107" i="43"/>
  <c r="T43" i="71"/>
  <c r="D43" i="71"/>
  <c r="T19" i="71"/>
  <c r="D19" i="71"/>
  <c r="D9" i="71"/>
  <c r="C8" i="71"/>
  <c r="F27" i="6"/>
  <c r="F31" i="6"/>
  <c r="E56" i="39"/>
  <c r="T51" i="71"/>
  <c r="D51" i="71"/>
  <c r="N496" i="79"/>
  <c r="B115" i="43"/>
  <c r="C115" i="43"/>
  <c r="K105" i="43"/>
  <c r="K109" i="43"/>
  <c r="K104" i="43"/>
  <c r="E16" i="6"/>
  <c r="F7" i="33"/>
  <c r="S7" i="33"/>
  <c r="Q53" i="71"/>
  <c r="Q52" i="71"/>
  <c r="E63" i="39"/>
  <c r="E58" i="40"/>
  <c r="T27" i="71"/>
  <c r="D27" i="71"/>
  <c r="J5" i="67"/>
  <c r="J26" i="67"/>
  <c r="J29" i="67"/>
  <c r="F69" i="67"/>
  <c r="E53" i="21"/>
  <c r="F53" i="21"/>
  <c r="E52" i="21"/>
  <c r="F52" i="21"/>
  <c r="D22" i="43"/>
  <c r="Q52" i="15"/>
  <c r="G47" i="37"/>
  <c r="H47" i="37"/>
  <c r="G46" i="37"/>
  <c r="H46" i="37"/>
  <c r="G40" i="36"/>
  <c r="H40" i="36"/>
  <c r="G41" i="36"/>
  <c r="H41" i="36"/>
  <c r="I53" i="21"/>
  <c r="J53" i="21"/>
  <c r="G53" i="21"/>
  <c r="H53" i="21"/>
  <c r="I40" i="36"/>
  <c r="J40" i="36"/>
  <c r="I53" i="34"/>
  <c r="J53" i="34"/>
  <c r="I46" i="37"/>
  <c r="J46" i="37"/>
  <c r="R49" i="21"/>
  <c r="C48" i="21"/>
  <c r="AC7" i="33"/>
  <c r="V48" i="33"/>
  <c r="I48" i="33"/>
  <c r="W7" i="33"/>
  <c r="R37" i="36"/>
  <c r="E36" i="36"/>
  <c r="I41" i="36"/>
  <c r="J41" i="36"/>
  <c r="E42" i="37"/>
  <c r="I47" i="37"/>
  <c r="J47" i="37"/>
  <c r="R43" i="37"/>
  <c r="G38" i="43"/>
  <c r="I38" i="43"/>
  <c r="E38" i="43"/>
  <c r="U7" i="34"/>
  <c r="AB7" i="34"/>
  <c r="T49" i="34"/>
  <c r="G49" i="34"/>
  <c r="E39" i="43"/>
  <c r="G39" i="43"/>
  <c r="I39" i="43"/>
  <c r="F48" i="35"/>
  <c r="U7" i="33"/>
  <c r="AB7" i="33"/>
  <c r="T48" i="33"/>
  <c r="G48" i="33"/>
  <c r="B116" i="43"/>
  <c r="C116" i="43"/>
  <c r="I116" i="43"/>
  <c r="J116" i="43"/>
  <c r="K116" i="43"/>
  <c r="L116" i="43"/>
  <c r="M116" i="43"/>
  <c r="D118" i="43"/>
  <c r="E118" i="43"/>
  <c r="F118" i="43"/>
  <c r="I117" i="43"/>
  <c r="J117" i="43"/>
  <c r="K117" i="43"/>
  <c r="L117" i="43"/>
  <c r="M117" i="43"/>
  <c r="D116" i="43"/>
  <c r="E116" i="43"/>
  <c r="F116" i="43"/>
  <c r="G116" i="43"/>
  <c r="H116" i="43"/>
  <c r="I115" i="43"/>
  <c r="J115" i="43"/>
  <c r="K115" i="43"/>
  <c r="L115" i="43"/>
  <c r="M115" i="43"/>
  <c r="B117" i="43"/>
  <c r="C117" i="43"/>
  <c r="B118" i="43"/>
  <c r="C118" i="43"/>
  <c r="G118" i="43"/>
  <c r="H118" i="43"/>
  <c r="D115" i="43"/>
  <c r="E115" i="43"/>
  <c r="F115" i="43"/>
  <c r="G115" i="43"/>
  <c r="H115" i="43"/>
  <c r="I118" i="43"/>
  <c r="J118" i="43"/>
  <c r="K118" i="43"/>
  <c r="L118" i="43"/>
  <c r="M118" i="43"/>
  <c r="J24" i="15"/>
  <c r="E102" i="43"/>
  <c r="E103" i="43"/>
  <c r="E107" i="43"/>
  <c r="E106" i="43"/>
  <c r="E104" i="43"/>
  <c r="E109" i="43"/>
  <c r="E105" i="43"/>
  <c r="M109" i="43"/>
  <c r="M105" i="43"/>
  <c r="M102" i="43"/>
  <c r="M103" i="43"/>
  <c r="M107" i="43"/>
  <c r="M104" i="43"/>
  <c r="M106" i="43"/>
  <c r="D109" i="43"/>
  <c r="D103" i="43"/>
  <c r="D107" i="43"/>
  <c r="D105" i="43"/>
  <c r="D102" i="43"/>
  <c r="D106" i="43"/>
  <c r="D104" i="43"/>
  <c r="I109" i="43"/>
  <c r="I103" i="43"/>
  <c r="I106" i="43"/>
  <c r="I102" i="43"/>
  <c r="I105" i="43"/>
  <c r="I104" i="43"/>
  <c r="I107" i="43"/>
  <c r="O6" i="1"/>
  <c r="P6" i="1"/>
  <c r="O7" i="1"/>
  <c r="P7" i="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239" i="3"/>
  <c r="E509" i="3"/>
  <c r="E516" i="3"/>
  <c r="E579" i="3"/>
  <c r="E569" i="3"/>
  <c r="E431" i="3"/>
  <c r="E396" i="3"/>
  <c r="E247" i="3"/>
  <c r="E229" i="3"/>
  <c r="E201" i="3"/>
  <c r="E151" i="3"/>
  <c r="E397" i="3"/>
  <c r="E314" i="3"/>
  <c r="E568" i="3"/>
  <c r="E511" i="3"/>
  <c r="I6" i="3"/>
  <c r="E16" i="3"/>
  <c r="E536" i="3"/>
  <c r="AK6" i="3"/>
  <c r="E549" i="3"/>
  <c r="E434" i="3"/>
  <c r="E453"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388" i="3"/>
  <c r="O6" i="3"/>
  <c r="E555" i="3"/>
  <c r="E574" i="3"/>
  <c r="E410" i="3"/>
  <c r="E359" i="3"/>
  <c r="E337" i="3"/>
  <c r="E285" i="3"/>
  <c r="E143" i="3"/>
  <c r="E97" i="3"/>
  <c r="E353" i="3"/>
  <c r="E385" i="3"/>
  <c r="E495" i="3"/>
  <c r="E518" i="3"/>
  <c r="AN6" i="3"/>
  <c r="AI6" i="3"/>
  <c r="E586" i="3"/>
  <c r="E578" i="3"/>
  <c r="E402" i="3"/>
  <c r="E42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6" i="3"/>
  <c r="E487" i="3"/>
  <c r="E541" i="3"/>
  <c r="E398" i="3"/>
  <c r="E430" i="3"/>
  <c r="E416" i="3"/>
  <c r="E449" i="3"/>
  <c r="E459" i="3"/>
  <c r="E255" i="3"/>
  <c r="E374" i="3"/>
  <c r="I3" i="6"/>
  <c r="E566" i="3"/>
  <c r="AP6" i="3"/>
  <c r="E500" i="3"/>
  <c r="E554" i="3"/>
  <c r="E582" i="3"/>
  <c r="E517"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7" i="11"/>
  <c r="F27" i="69"/>
  <c r="F27" i="68"/>
  <c r="E13" i="3"/>
  <c r="M19" i="6"/>
  <c r="S6" i="1"/>
  <c r="E6" i="70"/>
  <c r="K27" i="6"/>
  <c r="M20" i="6"/>
  <c r="I20" i="6"/>
  <c r="S20" i="6"/>
  <c r="S7" i="1"/>
  <c r="AY6" i="3"/>
  <c r="E3" i="6"/>
  <c r="M14" i="1"/>
  <c r="K16" i="1"/>
  <c r="C34" i="69"/>
  <c r="F22" i="68"/>
  <c r="F24" i="67"/>
  <c r="C24" i="67"/>
  <c r="F22" i="11"/>
  <c r="F22" i="69"/>
  <c r="C53" i="67"/>
  <c r="C48" i="67"/>
  <c r="C10" i="67"/>
  <c r="C5" i="67"/>
  <c r="C48" i="15"/>
  <c r="C14" i="67"/>
  <c r="C17" i="67"/>
  <c r="J24" i="67"/>
  <c r="G36" i="43"/>
  <c r="I36" i="43"/>
  <c r="E36" i="43"/>
  <c r="R50" i="34"/>
  <c r="C50" i="34"/>
  <c r="E65" i="40"/>
  <c r="F63" i="40"/>
  <c r="AA7" i="33"/>
  <c r="R48" i="33"/>
  <c r="E37" i="43"/>
  <c r="G37" i="43"/>
  <c r="I37" i="43"/>
  <c r="E33" i="43"/>
  <c r="G33" i="43"/>
  <c r="I33" i="43"/>
  <c r="D113" i="43"/>
  <c r="E66" i="39"/>
  <c r="D8" i="71"/>
  <c r="C7" i="71"/>
  <c r="C18" i="67"/>
  <c r="C15" i="67"/>
  <c r="C23" i="43"/>
  <c r="C21" i="43"/>
  <c r="C29" i="43"/>
  <c r="C30" i="43"/>
  <c r="E30" i="43"/>
  <c r="C27" i="43"/>
  <c r="S3" i="43"/>
  <c r="T3" i="43"/>
  <c r="V3" i="43"/>
  <c r="S4" i="43"/>
  <c r="T4" i="43"/>
  <c r="V4" i="43"/>
  <c r="S5" i="43"/>
  <c r="T5" i="43"/>
  <c r="V5" i="43"/>
  <c r="S2" i="43"/>
  <c r="T2" i="43"/>
  <c r="V2" i="43"/>
  <c r="C49" i="21"/>
  <c r="B3" i="21"/>
  <c r="C37" i="36"/>
  <c r="B2" i="36"/>
  <c r="B3" i="36"/>
  <c r="C36" i="36"/>
  <c r="C42" i="37"/>
  <c r="C43" i="37"/>
  <c r="E54" i="34"/>
  <c r="F54" i="34"/>
  <c r="E53" i="34"/>
  <c r="F53" i="34"/>
  <c r="G48" i="35"/>
  <c r="G54" i="34"/>
  <c r="H54" i="34"/>
  <c r="G53" i="34"/>
  <c r="H53" i="34"/>
  <c r="E47" i="37"/>
  <c r="F47" i="37"/>
  <c r="E46" i="37"/>
  <c r="F46" i="37"/>
  <c r="I52" i="33"/>
  <c r="J52" i="33"/>
  <c r="R49" i="33"/>
  <c r="E48" i="33"/>
  <c r="I53" i="33"/>
  <c r="J53" i="33"/>
  <c r="E41" i="36"/>
  <c r="F41" i="36"/>
  <c r="E40" i="36"/>
  <c r="F40" i="36"/>
  <c r="G52" i="33"/>
  <c r="H52" i="33"/>
  <c r="G53" i="33"/>
  <c r="H53" i="33"/>
  <c r="AC6" i="3"/>
  <c r="S7" i="43"/>
  <c r="T7" i="43"/>
  <c r="V7" i="43"/>
  <c r="S6" i="43"/>
  <c r="T6" i="43"/>
  <c r="V6" i="43"/>
  <c r="C29" i="68"/>
  <c r="D27" i="68"/>
  <c r="C47" i="68"/>
  <c r="D45" i="68"/>
  <c r="C47" i="11"/>
  <c r="D45" i="11"/>
  <c r="C29" i="11"/>
  <c r="D27" i="11"/>
  <c r="H6" i="3"/>
  <c r="C47" i="69"/>
  <c r="D45" i="69"/>
  <c r="C29" i="69"/>
  <c r="D27" i="6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51" i="3"/>
  <c r="AY207" i="3"/>
  <c r="AY124" i="3"/>
  <c r="AY42" i="3"/>
  <c r="AY281" i="3"/>
  <c r="AY168" i="3"/>
  <c r="AY236" i="3"/>
  <c r="AY366" i="3"/>
  <c r="AY473" i="3"/>
  <c r="AY441" i="3"/>
  <c r="AY26" i="3"/>
  <c r="AY260" i="3"/>
  <c r="AY372" i="3"/>
  <c r="AY310" i="3"/>
  <c r="AY420" i="3"/>
  <c r="AY549" i="3"/>
  <c r="AY533" i="3"/>
  <c r="AY97" i="3"/>
  <c r="AY61" i="3"/>
  <c r="AY44" i="3"/>
  <c r="AY198" i="3"/>
  <c r="AY193" i="3"/>
  <c r="AY162" i="3"/>
  <c r="AY173" i="3"/>
  <c r="AY141" i="3"/>
  <c r="AY134" i="3"/>
  <c r="AY291" i="3"/>
  <c r="AY286" i="3"/>
  <c r="AY255" i="3"/>
  <c r="AY270" i="3"/>
  <c r="AY238" i="3"/>
  <c r="AY227" i="3"/>
  <c r="AY384" i="3"/>
  <c r="AY373" i="3"/>
  <c r="AY368" i="3"/>
  <c r="AY507" i="3"/>
  <c r="BB6" i="3"/>
  <c r="AY88" i="3"/>
  <c r="AY72"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87" i="3"/>
  <c r="AY144" i="3"/>
  <c r="AY152" i="3"/>
  <c r="AY253" i="3"/>
  <c r="AY303" i="3"/>
  <c r="AY529" i="3"/>
  <c r="AY217" i="3"/>
  <c r="AY463" i="3"/>
  <c r="AY544" i="3"/>
  <c r="AY92" i="3"/>
  <c r="AY33" i="3"/>
  <c r="AY178" i="3"/>
  <c r="AY157" i="3"/>
  <c r="AY117" i="3"/>
  <c r="AY271" i="3"/>
  <c r="AY254" i="3"/>
  <c r="AY211" i="3"/>
  <c r="AY365" i="3"/>
  <c r="BI6" i="3"/>
  <c r="AY57"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 i="3"/>
  <c r="AY95" i="3"/>
  <c r="AY111" i="3"/>
  <c r="AY382" i="3"/>
  <c r="AY460" i="3"/>
  <c r="AY300" i="3"/>
  <c r="AY327" i="3"/>
  <c r="AY401" i="3"/>
  <c r="BE6" i="3"/>
  <c r="AY76" i="3"/>
  <c r="AY182" i="3"/>
  <c r="AY146" i="3"/>
  <c r="AY126" i="3"/>
  <c r="AY302" i="3"/>
  <c r="AY239" i="3"/>
  <c r="AY222" i="3"/>
  <c r="AY389" i="3"/>
  <c r="BS6" i="3"/>
  <c r="AY93" i="3"/>
  <c r="AY40"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O14" i="1"/>
  <c r="O16" i="1"/>
  <c r="M16" i="1"/>
  <c r="E6" i="6"/>
  <c r="M18" i="9"/>
  <c r="B118" i="9"/>
  <c r="B14" i="74"/>
  <c r="D3" i="33"/>
  <c r="D19" i="11"/>
  <c r="C19" i="11"/>
  <c r="C17" i="4"/>
  <c r="B4" i="52"/>
  <c r="B43" i="72"/>
  <c r="L18" i="9"/>
  <c r="D3" i="34"/>
  <c r="D3" i="37"/>
  <c r="D37" i="11"/>
  <c r="T7" i="1"/>
  <c r="E7" i="70"/>
  <c r="E2" i="70"/>
  <c r="AR7" i="1"/>
  <c r="AQ7" i="1"/>
  <c r="M27" i="6"/>
  <c r="I19" i="6"/>
  <c r="AQ6" i="1"/>
  <c r="AR6" i="1"/>
  <c r="T6" i="1"/>
  <c r="T16" i="1"/>
  <c r="S16" i="1"/>
  <c r="F69" i="15"/>
  <c r="C60" i="15"/>
  <c r="C66" i="15"/>
  <c r="C38" i="67"/>
  <c r="C26" i="69"/>
  <c r="D22" i="69"/>
  <c r="C44" i="69"/>
  <c r="D41" i="69"/>
  <c r="C24" i="68"/>
  <c r="C44" i="68"/>
  <c r="D41" i="68"/>
  <c r="C26" i="68"/>
  <c r="D22" i="68"/>
  <c r="C66" i="67"/>
  <c r="C60" i="67"/>
  <c r="C26" i="11"/>
  <c r="D22" i="11"/>
  <c r="C23" i="11"/>
  <c r="C44" i="11"/>
  <c r="D41" i="11"/>
  <c r="B2" i="37"/>
  <c r="B3" i="37"/>
  <c r="G63" i="40"/>
  <c r="F65" i="40"/>
  <c r="C49" i="34"/>
  <c r="E6" i="3"/>
  <c r="T7" i="71"/>
  <c r="D7" i="71"/>
  <c r="U7" i="71"/>
  <c r="C6" i="71"/>
  <c r="E29" i="43"/>
  <c r="C26" i="43"/>
  <c r="B2" i="43"/>
  <c r="C19" i="67"/>
  <c r="C20" i="67"/>
  <c r="B2" i="21"/>
  <c r="B1" i="74"/>
  <c r="C7" i="74"/>
  <c r="H48" i="35"/>
  <c r="E52" i="33"/>
  <c r="F52" i="33"/>
  <c r="E53" i="33"/>
  <c r="F53" i="33"/>
  <c r="B2" i="34"/>
  <c r="B3" i="34"/>
  <c r="C49" i="33"/>
  <c r="B2" i="33"/>
  <c r="B3" i="33"/>
  <c r="C48" i="33"/>
  <c r="C20" i="11"/>
  <c r="C25" i="11"/>
  <c r="C24" i="11"/>
  <c r="S19" i="6"/>
  <c r="S27" i="6"/>
  <c r="I27" i="6"/>
  <c r="D10" i="11"/>
  <c r="C10" i="11"/>
  <c r="D10" i="69"/>
  <c r="N16" i="1"/>
  <c r="L16" i="1"/>
  <c r="P14" i="1"/>
  <c r="P16" i="1"/>
  <c r="D20" i="6"/>
  <c r="D22" i="6"/>
  <c r="D24" i="6"/>
  <c r="D26" i="6"/>
  <c r="H20" i="6"/>
  <c r="H21" i="6"/>
  <c r="M19" i="9"/>
  <c r="C118" i="9"/>
  <c r="C14" i="74"/>
  <c r="D19" i="6"/>
  <c r="D21" i="6"/>
  <c r="D23" i="6"/>
  <c r="D25" i="6"/>
  <c r="D28" i="6"/>
  <c r="D29" i="6"/>
  <c r="D15" i="6"/>
  <c r="D8" i="6"/>
  <c r="D5" i="6"/>
  <c r="D12" i="6"/>
  <c r="D11" i="6"/>
  <c r="D13" i="6"/>
  <c r="E61" i="40"/>
  <c r="H23" i="6"/>
  <c r="H24" i="6"/>
  <c r="C18" i="4"/>
  <c r="D14" i="6"/>
  <c r="D6" i="6"/>
  <c r="D9" i="6"/>
  <c r="D10" i="6"/>
  <c r="L19" i="9"/>
  <c r="H25" i="6"/>
  <c r="H22" i="6"/>
  <c r="H26" i="6"/>
  <c r="H19" i="6"/>
  <c r="E6" i="76"/>
  <c r="B6" i="76"/>
  <c r="G65" i="40"/>
  <c r="H63" i="40"/>
  <c r="E2" i="76"/>
  <c r="C5" i="71"/>
  <c r="D6" i="71"/>
  <c r="C23" i="67"/>
  <c r="C26" i="67"/>
  <c r="I48" i="35"/>
  <c r="D30" i="6"/>
  <c r="R23" i="6"/>
  <c r="C22" i="11"/>
  <c r="B2" i="76"/>
  <c r="B3" i="43"/>
  <c r="R22" i="6"/>
  <c r="D27" i="6"/>
  <c r="R19" i="6"/>
  <c r="R26" i="6"/>
  <c r="H27" i="6"/>
  <c r="D16" i="6"/>
  <c r="R25" i="6"/>
  <c r="R21" i="6"/>
  <c r="R24" i="6"/>
  <c r="R20" i="6"/>
  <c r="R7" i="1"/>
  <c r="C10" i="69"/>
  <c r="C8" i="69"/>
  <c r="C5" i="69"/>
  <c r="D19" i="69"/>
  <c r="C28" i="11"/>
  <c r="C27" i="11"/>
  <c r="A7" i="51"/>
  <c r="B7" i="72"/>
  <c r="C4" i="52"/>
  <c r="B45" i="72"/>
  <c r="A10" i="51"/>
  <c r="B9" i="72"/>
  <c r="F34" i="11"/>
  <c r="C10" i="68"/>
  <c r="F35" i="67"/>
  <c r="M21" i="67"/>
  <c r="B3" i="76"/>
  <c r="I63" i="40"/>
  <c r="H65" i="40"/>
  <c r="D5" i="71"/>
  <c r="M20" i="43"/>
  <c r="C29" i="67"/>
  <c r="Q49" i="67"/>
  <c r="F63" i="67"/>
  <c r="C62" i="67"/>
  <c r="C34" i="67"/>
  <c r="J20" i="67"/>
  <c r="J48" i="35"/>
  <c r="C31" i="11"/>
  <c r="D31" i="6"/>
  <c r="I5" i="6"/>
  <c r="C23" i="69"/>
  <c r="R27" i="6"/>
  <c r="C34" i="11"/>
  <c r="C36" i="11"/>
  <c r="C37" i="11"/>
  <c r="C19" i="69"/>
  <c r="C24" i="69"/>
  <c r="D37" i="69"/>
  <c r="C37" i="69"/>
  <c r="C33" i="69"/>
  <c r="M21" i="15"/>
  <c r="I6" i="6"/>
  <c r="C11" i="39"/>
  <c r="F11" i="39"/>
  <c r="I65" i="40"/>
  <c r="J63" i="40"/>
  <c r="C33" i="67"/>
  <c r="C31" i="67"/>
  <c r="C36" i="67"/>
  <c r="C57" i="67"/>
  <c r="C64" i="67"/>
  <c r="J14" i="67"/>
  <c r="C13" i="67"/>
  <c r="J19" i="67"/>
  <c r="J17" i="67"/>
  <c r="J59" i="67"/>
  <c r="J60" i="67"/>
  <c r="Q48" i="67"/>
  <c r="F63" i="15"/>
  <c r="C62" i="15"/>
  <c r="J20" i="15"/>
  <c r="R16" i="1"/>
  <c r="K48" i="35"/>
  <c r="L48" i="35"/>
  <c r="M48" i="35"/>
  <c r="N48" i="35"/>
  <c r="O48" i="35"/>
  <c r="C39" i="69"/>
  <c r="C43" i="69"/>
  <c r="C42" i="69"/>
  <c r="C38" i="11"/>
  <c r="C35" i="11"/>
  <c r="C20" i="69"/>
  <c r="C25" i="69"/>
  <c r="C22" i="69"/>
  <c r="H11" i="39"/>
  <c r="Q49" i="15"/>
  <c r="C57" i="15"/>
  <c r="J14" i="15"/>
  <c r="J19" i="15"/>
  <c r="J11" i="39"/>
  <c r="W11" i="39"/>
  <c r="K63" i="40"/>
  <c r="J65" i="40"/>
  <c r="H7" i="35"/>
  <c r="AB7" i="35"/>
  <c r="T38" i="35"/>
  <c r="G38" i="35"/>
  <c r="C61" i="67"/>
  <c r="C59" i="67"/>
  <c r="C56" i="67"/>
  <c r="C65" i="67"/>
  <c r="C37" i="67"/>
  <c r="C30" i="67"/>
  <c r="C39" i="67"/>
  <c r="C75" i="67"/>
  <c r="Q70" i="67"/>
  <c r="J22" i="67"/>
  <c r="J13" i="67"/>
  <c r="J23" i="67"/>
  <c r="J17" i="15"/>
  <c r="J7" i="35"/>
  <c r="F7" i="35"/>
  <c r="C28" i="69"/>
  <c r="C27" i="69"/>
  <c r="C31" i="69"/>
  <c r="C33" i="11"/>
  <c r="C39" i="11"/>
  <c r="C43" i="11"/>
  <c r="C41" i="69"/>
  <c r="C39" i="68"/>
  <c r="J22" i="15"/>
  <c r="J13" i="15"/>
  <c r="J23" i="15"/>
  <c r="AB11" i="39"/>
  <c r="U11" i="39"/>
  <c r="AC11" i="39"/>
  <c r="C75" i="15"/>
  <c r="Q70" i="15"/>
  <c r="C56" i="15"/>
  <c r="C65" i="15"/>
  <c r="C61" i="15"/>
  <c r="C59" i="15"/>
  <c r="C64" i="15"/>
  <c r="AA11" i="39"/>
  <c r="S11" i="39"/>
  <c r="C46" i="69"/>
  <c r="C45" i="69"/>
  <c r="L51" i="15"/>
  <c r="L51" i="67"/>
  <c r="U7" i="35"/>
  <c r="K65" i="40"/>
  <c r="L63" i="40"/>
  <c r="C58" i="67"/>
  <c r="C67" i="67"/>
  <c r="C68" i="67"/>
  <c r="C71" i="67"/>
  <c r="J16" i="67"/>
  <c r="J25" i="67"/>
  <c r="Q67" i="67"/>
  <c r="L57" i="67"/>
  <c r="L60" i="67"/>
  <c r="Q69" i="67"/>
  <c r="Q68" i="67"/>
  <c r="C40" i="67"/>
  <c r="C80" i="67"/>
  <c r="C79" i="67"/>
  <c r="AA7" i="35"/>
  <c r="R38" i="35"/>
  <c r="S7" i="35"/>
  <c r="AC7" i="35"/>
  <c r="V38" i="35"/>
  <c r="I38" i="35"/>
  <c r="G43" i="35"/>
  <c r="H43" i="35"/>
  <c r="W7" i="35"/>
  <c r="G42" i="35"/>
  <c r="H42" i="35"/>
  <c r="C42" i="11"/>
  <c r="C41" i="11"/>
  <c r="C42" i="68"/>
  <c r="C49" i="69"/>
  <c r="C51" i="69"/>
  <c r="C52" i="69"/>
  <c r="B2" i="69"/>
  <c r="B3" i="69"/>
  <c r="J16" i="15"/>
  <c r="J25" i="15"/>
  <c r="Q67" i="15"/>
  <c r="Q69" i="15"/>
  <c r="Q68" i="15"/>
  <c r="C58" i="15"/>
  <c r="C67" i="15"/>
  <c r="C68" i="15"/>
  <c r="C80" i="15"/>
  <c r="C79" i="15"/>
  <c r="C46" i="68"/>
  <c r="C45" i="68"/>
  <c r="C43" i="68"/>
  <c r="C46" i="11"/>
  <c r="C45" i="11"/>
  <c r="L65" i="40"/>
  <c r="M63" i="40"/>
  <c r="C45" i="67"/>
  <c r="C46" i="67"/>
  <c r="C83" i="67"/>
  <c r="C82" i="67"/>
  <c r="Q65" i="67"/>
  <c r="Q56" i="67"/>
  <c r="C43" i="67"/>
  <c r="Q47" i="67"/>
  <c r="Q53" i="67"/>
  <c r="L46" i="67"/>
  <c r="D2" i="67"/>
  <c r="Q66" i="67"/>
  <c r="Q57" i="67"/>
  <c r="I42" i="35"/>
  <c r="J42" i="35"/>
  <c r="E38" i="35"/>
  <c r="R39" i="35"/>
  <c r="C49" i="11"/>
  <c r="C51" i="11"/>
  <c r="C52" i="11"/>
  <c r="B2" i="11"/>
  <c r="B3" i="11"/>
  <c r="C41" i="68"/>
  <c r="C49" i="68"/>
  <c r="C51" i="68"/>
  <c r="C57" i="69"/>
  <c r="C56" i="69"/>
  <c r="C71" i="15"/>
  <c r="C46" i="15"/>
  <c r="Q65" i="15"/>
  <c r="Q75" i="15"/>
  <c r="Q56" i="15"/>
  <c r="Q62" i="15"/>
  <c r="C43" i="15"/>
  <c r="Q47" i="15"/>
  <c r="Q53" i="15"/>
  <c r="C83" i="15"/>
  <c r="C82" i="15"/>
  <c r="AO7" i="1"/>
  <c r="AO6" i="1"/>
  <c r="N63" i="40"/>
  <c r="M65" i="40"/>
  <c r="B6" i="70"/>
  <c r="B2" i="67"/>
  <c r="B3" i="67"/>
  <c r="Q75" i="67"/>
  <c r="Q62" i="67"/>
  <c r="E42" i="35"/>
  <c r="F42" i="35"/>
  <c r="E43" i="35"/>
  <c r="F43" i="35"/>
  <c r="C38" i="35"/>
  <c r="C39" i="35"/>
  <c r="B2" i="35"/>
  <c r="B3" i="35"/>
  <c r="I43" i="35"/>
  <c r="J43" i="35"/>
  <c r="B7" i="70"/>
  <c r="B3" i="15"/>
  <c r="C56" i="11"/>
  <c r="C57" i="11"/>
  <c r="N65" i="40"/>
  <c r="O63" i="40"/>
  <c r="O65" i="40"/>
  <c r="J7" i="40"/>
  <c r="H7" i="40"/>
  <c r="C6" i="12"/>
  <c r="B2" i="70"/>
  <c r="B3" i="70"/>
  <c r="J7" i="39"/>
  <c r="H7" i="39"/>
  <c r="AB7" i="40"/>
  <c r="T42" i="40"/>
  <c r="G42" i="40"/>
  <c r="U7" i="40"/>
  <c r="AC7" i="40"/>
  <c r="V42" i="40"/>
  <c r="I42" i="40"/>
  <c r="W7" i="40"/>
  <c r="F7" i="40"/>
  <c r="U7" i="39"/>
  <c r="AB7" i="39"/>
  <c r="W7" i="39"/>
  <c r="AC7" i="39"/>
  <c r="S7" i="39"/>
  <c r="I46" i="40"/>
  <c r="J46" i="40"/>
  <c r="S7" i="40"/>
  <c r="AA7" i="40"/>
  <c r="R42" i="40"/>
  <c r="G47" i="40"/>
  <c r="H47" i="40"/>
  <c r="G46" i="40"/>
  <c r="H46" i="40"/>
  <c r="B3" i="12"/>
  <c r="D20" i="9"/>
  <c r="R43" i="40"/>
  <c r="E42" i="40"/>
  <c r="D21" i="9"/>
  <c r="D102" i="9"/>
  <c r="D103" i="9"/>
  <c r="E47" i="40"/>
  <c r="F47" i="40"/>
  <c r="E46" i="40"/>
  <c r="F46" i="40"/>
  <c r="I47" i="40"/>
  <c r="J47" i="40"/>
  <c r="C43" i="40"/>
  <c r="C42" i="40"/>
  <c r="B51" i="40"/>
  <c r="F51" i="40"/>
  <c r="F61" i="40"/>
  <c r="B2" i="40"/>
  <c r="B3" i="40"/>
  <c r="B60" i="40"/>
  <c r="F60" i="40"/>
  <c r="B56" i="40"/>
  <c r="F56" i="40"/>
  <c r="B58" i="40"/>
  <c r="F58" i="40"/>
  <c r="B52" i="40"/>
  <c r="F52" i="40"/>
  <c r="B55" i="40"/>
  <c r="F55" i="40"/>
  <c r="B54" i="40"/>
  <c r="F54" i="40"/>
  <c r="B53" i="40"/>
  <c r="F53" i="40"/>
  <c r="B59" i="40"/>
  <c r="F59" i="40"/>
  <c r="B57" i="40"/>
  <c r="F57" i="40"/>
  <c r="B2" i="74"/>
  <c r="D7" i="74"/>
  <c r="F15" i="74"/>
  <c r="E15" i="74"/>
  <c r="H112" i="9"/>
  <c r="D21" i="53"/>
  <c r="B39" i="72"/>
  <c r="H111" i="9"/>
  <c r="D19" i="53"/>
  <c r="B38" i="72"/>
  <c r="D20" i="53"/>
  <c r="B40" i="72"/>
  <c r="D126" i="9"/>
  <c r="D127" i="9"/>
  <c r="D13" i="52"/>
  <c r="D12" i="52"/>
  <c r="I14" i="74"/>
  <c r="B8" i="74"/>
  <c r="C8" i="74"/>
  <c r="D8"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19" i="9"/>
  <c r="G19" i="9"/>
  <c r="C32" i="9"/>
  <c r="H118" i="9"/>
  <c r="H101" i="9"/>
  <c r="H107" i="9"/>
  <c r="M49" i="9"/>
  <c r="D45" i="9"/>
  <c r="D53" i="9"/>
  <c r="D48" i="9"/>
  <c r="M52" i="9"/>
  <c r="D55" i="9"/>
  <c r="M53" i="9"/>
  <c r="C85" i="9"/>
  <c r="C93" i="9"/>
  <c r="C86" i="9"/>
  <c r="C95" i="9"/>
  <c r="C96" i="9"/>
  <c r="C97" i="9"/>
  <c r="D58" i="9"/>
  <c r="D56" i="9"/>
  <c r="M54" i="9"/>
  <c r="N57" i="9"/>
  <c r="N59" i="9"/>
  <c r="N60" i="9"/>
  <c r="N58" i="9"/>
  <c r="P57" i="9"/>
  <c r="D122" i="9"/>
  <c r="G14" i="74"/>
  <c r="B6" i="74"/>
  <c r="D6" i="74"/>
  <c r="D14" i="74"/>
  <c r="B5" i="74"/>
  <c r="D5" i="74"/>
  <c r="I118" i="9"/>
  <c r="C6" i="68"/>
  <c r="C7" i="68"/>
  <c r="C5" i="68"/>
  <c r="C20" i="68"/>
  <c r="C23" i="68"/>
  <c r="C25" i="68"/>
  <c r="C22" i="68"/>
  <c r="C28" i="68"/>
  <c r="C27" i="68"/>
  <c r="C31" i="68"/>
  <c r="C52" i="68"/>
  <c r="B2" i="68"/>
  <c r="B3" i="68"/>
  <c r="C57" i="68"/>
  <c r="D35" i="9"/>
  <c r="C35" i="9"/>
  <c r="F118" i="9"/>
  <c r="G118" i="9"/>
  <c r="E118" i="9"/>
  <c r="E4" i="52"/>
  <c r="B48" i="72"/>
  <c r="G4" i="52"/>
  <c r="B52" i="72"/>
  <c r="E96" i="9"/>
  <c r="E97" i="9"/>
  <c r="F119" i="9"/>
  <c r="F5" i="52"/>
  <c r="B53" i="72"/>
  <c r="F4" i="52"/>
  <c r="B51" i="72"/>
  <c r="C6" i="74"/>
  <c r="C34" i="9"/>
  <c r="D118" i="9"/>
  <c r="D4" i="52"/>
  <c r="B47" i="72"/>
  <c r="D119" i="9"/>
  <c r="D5" i="52"/>
  <c r="B49" i="72"/>
  <c r="L63" i="9"/>
  <c r="M63" i="9"/>
  <c r="L64" i="9"/>
  <c r="M64" i="9"/>
  <c r="L65" i="9"/>
  <c r="M65" i="9"/>
  <c r="L66" i="9"/>
  <c r="M66" i="9"/>
  <c r="L67" i="9"/>
  <c r="M67" i="9"/>
  <c r="L68" i="9"/>
  <c r="M68" i="9"/>
  <c r="M69" i="9"/>
  <c r="N69" i="9"/>
  <c r="C72" i="9"/>
  <c r="C78" i="9"/>
  <c r="C73" i="9"/>
  <c r="C79" i="9"/>
  <c r="C80" i="9"/>
  <c r="C81" i="9"/>
  <c r="H102" i="9"/>
  <c r="R24" i="31"/>
  <c r="S24" i="31"/>
  <c r="R25" i="31"/>
  <c r="S25" i="31"/>
  <c r="R26" i="31"/>
  <c r="S26" i="31"/>
  <c r="S22" i="31"/>
  <c r="B20" i="31"/>
  <c r="R22" i="31"/>
  <c r="B21" i="31"/>
  <c r="C5" i="74"/>
  <c r="D8" i="52"/>
  <c r="D123" i="9"/>
  <c r="D9" i="52"/>
  <c r="D13" i="53"/>
  <c r="D14" i="53"/>
  <c r="B32" i="72"/>
  <c r="B30" i="72"/>
  <c r="E80" i="9"/>
  <c r="E81" i="9"/>
  <c r="H108" i="9"/>
  <c r="D15" i="53"/>
  <c r="B31" i="72"/>
  <c r="D5" i="53"/>
  <c r="B20" i="72"/>
  <c r="D6" i="53"/>
  <c r="B22" i="72"/>
  <c r="D52" i="9"/>
  <c r="D7" i="53"/>
  <c r="B21" i="72"/>
  <c r="C56" i="68"/>
  <c r="D34" i="9"/>
  <c r="C105" i="9"/>
  <c r="I4" i="52"/>
  <c r="F14" i="74"/>
  <c r="E14" i="74"/>
  <c r="B93" i="77"/>
  <c r="B94" i="77"/>
  <c r="H4" i="52"/>
  <c r="C104" i="9"/>
  <c r="H119" i="9"/>
  <c r="H5" i="52"/>
  <c r="G2" i="80"/>
  <c r="G16" i="80"/>
  <c r="G18" i="80"/>
  <c r="G17" i="80"/>
  <c r="M48" i="21"/>
  <c r="M47" i="21"/>
  <c r="G21" i="9"/>
  <c r="B3" i="39"/>
  <c r="C20" i="9"/>
  <c r="G20" i="9"/>
  <c r="C103" i="9"/>
  <c r="D22" i="9"/>
  <c r="C21" i="9"/>
  <c r="C102" i="9"/>
  <c r="C47" i="39"/>
  <c r="E47" i="39"/>
  <c r="E51" i="39"/>
  <c r="F51" i="39"/>
  <c r="G47" i="39"/>
  <c r="E52" i="39"/>
  <c r="F52" i="39"/>
  <c r="I47" i="39"/>
  <c r="I52" i="39"/>
  <c r="J52" i="39"/>
  <c r="G51" i="39"/>
  <c r="H51" i="39"/>
  <c r="G52" i="39"/>
  <c r="H52" i="39"/>
  <c r="I51" i="39"/>
  <c r="J51" i="39"/>
  <c r="S10" i="39"/>
  <c r="J10" i="40"/>
  <c r="AC10" i="40"/>
  <c r="W10" i="39"/>
  <c r="H10" i="40"/>
  <c r="AB10" i="40"/>
  <c r="F10" i="40"/>
  <c r="S10" i="40"/>
  <c r="U10" i="39"/>
  <c r="W10" i="40"/>
  <c r="U10" i="40"/>
  <c r="AA10" i="40"/>
  <c r="N61" i="9"/>
  <c r="A19" i="51"/>
  <c r="B14" i="72"/>
  <c r="A18" i="51"/>
  <c r="B13" i="72"/>
  <c r="C64" i="9"/>
  <c r="C63" i="9"/>
  <c r="C67" i="9"/>
  <c r="C68" i="9"/>
  <c r="D54" i="9"/>
  <c r="M48" i="9"/>
  <c r="S29"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<sst xmlns="http://schemas.openxmlformats.org/spreadsheetml/2006/main" count="19260" uniqueCount="4707">
  <si>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</si>
  <si>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</si>
  <si>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</si>
  <si>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</si>
  <si>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</si>
  <si>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</si>
  <si>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</si>
  <si>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</si>
  <si>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</si>
  <si>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</si>
  <si>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</si>
  <si>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</si>
  <si>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</si>
  <si>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</si>
  <si>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</si>
  <si>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</si>
  <si>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</si>
  <si>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</si>
  <si>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</si>
  <si>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</si>
  <si>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</si>
  <si>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</si>
  <si>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</si>
  <si>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</si>
  <si>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</si>
  <si>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</si>
  <si>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</si>
  <si>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</si>
  <si>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</si>
  <si>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</si>
  <si>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</si>
  <si>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</si>
  <si>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</si>
  <si>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</si>
  <si>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</si>
  <si>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</si>
  <si>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</si>
  <si>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</si>
  <si>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</si>
  <si>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</si>
  <si>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</si>
  <si>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</si>
  <si>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</si>
  <si>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</si>
  <si>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</si>
  <si>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</si>
  <si>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</si>
  <si>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</si>
  <si>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</si>
  <si>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</si>
  <si>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</si>
  <si>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</si>
  <si>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</si>
  <si>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</si>
  <si>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</si>
  <si>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</si>
  <si>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</si>
  <si>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</si>
  <si>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</si>
  <si>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</si>
  <si>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</si>
  <si>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</si>
  <si>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</si>
  <si>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</si>
  <si>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</si>
  <si>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</si>
  <si>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</si>
  <si>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</si>
  <si>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</si>
  <si>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</si>
  <si>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</si>
  <si>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</si>
  <si>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</si>
  <si>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</si>
  <si>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</si>
  <si>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</si>
  <si>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</si>
  <si>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</si>
  <si>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</si>
  <si>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</si>
  <si>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</si>
  <si>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</si>
  <si>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</si>
  <si>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</si>
  <si>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</si>
  <si>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</si>
  <si>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</si>
  <si>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</si>
  <si>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</si>
  <si>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</si>
  <si>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</si>
  <si>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</si>
  <si>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</si>
  <si>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</si>
  <si>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</si>
  <si>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</si>
  <si>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</si>
  <si>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</si>
  <si>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</si>
  <si>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</si>
  <si>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</si>
  <si>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</si>
  <si>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</si>
  <si>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</si>
  <si>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</si>
  <si>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</si>
  <si>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</si>
  <si>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</si>
  <si>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</si>
  <si>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</si>
  <si>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</si>
  <si>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</si>
  <si>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</si>
  <si>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</si>
  <si>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</si>
  <si>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</si>
  <si>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</si>
  <si>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</si>
  <si>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</si>
  <si>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</si>
  <si>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</si>
  <si>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</si>
  <si>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</si>
  <si>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</si>
  <si>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</si>
  <si>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</si>
  <si>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</si>
  <si>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</si>
  <si>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</si>
  <si>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</si>
  <si>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</si>
  <si>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</si>
  <si>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</si>
  <si>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</si>
  <si>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</si>
  <si>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</si>
  <si>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</si>
  <si>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</si>
  <si>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</si>
  <si>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</si>
  <si>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</si>
  <si>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</si>
  <si>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</si>
  <si>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</si>
  <si>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</si>
  <si>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</si>
  <si>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</si>
  <si>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</si>
  <si>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</si>
  <si>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</si>
  <si>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</si>
  <si>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</si>
  <si>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</si>
  <si>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</si>
  <si>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</si>
  <si>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</si>
  <si>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</si>
  <si>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</si>
  <si>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</si>
  <si>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</si>
  <si>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</si>
  <si>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</si>
  <si>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</si>
  <si>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</si>
  <si>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</si>
  <si>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</si>
  <si>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</si>
  <si>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</si>
  <si>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</si>
  <si>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</si>
  <si>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</si>
  <si>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</si>
  <si>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</si>
  <si>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</si>
  <si>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</si>
  <si>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</si>
  <si>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</si>
  <si>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</si>
  <si>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</si>
  <si>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</si>
  <si>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</si>
  <si>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</si>
  <si>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</si>
  <si>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</si>
  <si>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</si>
  <si>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</si>
  <si>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</si>
  <si>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</si>
  <si>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</si>
  <si>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</si>
  <si>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</si>
  <si>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</si>
  <si>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</si>
  <si>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</si>
  <si>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</si>
  <si>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</si>
  <si>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</si>
  <si>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</si>
  <si>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</si>
  <si>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</si>
  <si>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</si>
  <si>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</si>
  <si>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</si>
  <si>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</si>
  <si>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</si>
  <si>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</si>
  <si>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</si>
  <si>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</si>
  <si>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</si>
  <si>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</si>
  <si>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</si>
  <si>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</si>
  <si>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</si>
  <si>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</si>
  <si>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</si>
  <si>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</si>
  <si>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</si>
  <si>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</si>
  <si>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</si>
  <si>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</si>
  <si>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</si>
  <si>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</si>
  <si>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</si>
  <si>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</si>
  <si>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</si>
  <si>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</si>
  <si>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</si>
  <si>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</si>
  <si>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</si>
  <si>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</si>
  <si>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</si>
  <si>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</si>
  <si>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</si>
  <si>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</si>
  <si>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</si>
  <si>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</si>
  <si>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</si>
  <si>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</si>
  <si>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</si>
  <si>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</si>
  <si>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</si>
  <si>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</si>
  <si>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</si>
  <si>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</si>
  <si>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</si>
  <si>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</si>
  <si>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</si>
  <si>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</si>
  <si>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</si>
  <si>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</si>
  <si>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</si>
  <si>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</si>
  <si>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</si>
  <si>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</si>
  <si>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</si>
  <si>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</si>
  <si>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</si>
  <si>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</si>
  <si>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</si>
  <si>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</si>
  <si>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</si>
  <si>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</si>
  <si>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</si>
  <si>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</si>
  <si>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</si>
  <si>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</si>
  <si>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</si>
  <si>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</si>
  <si>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</si>
  <si>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</si>
  <si>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</si>
  <si>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</si>
  <si>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</si>
  <si>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</si>
  <si>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</si>
  <si>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</si>
  <si>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</si>
  <si>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</si>
  <si>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</si>
  <si>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</si>
  <si>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</si>
  <si>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</si>
  <si>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</si>
  <si>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</si>
  <si>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</si>
  <si>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</si>
  <si>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</si>
  <si>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</si>
  <si>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</si>
  <si>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</si>
  <si>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</si>
  <si>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</si>
  <si>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</si>
  <si>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</si>
  <si>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</si>
  <si>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</si>
  <si>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</si>
  <si>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</si>
  <si>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</si>
  <si>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</si>
  <si>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</si>
  <si>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</si>
  <si>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</si>
  <si>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</si>
  <si>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</si>
  <si>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</si>
  <si>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</si>
  <si>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</si>
  <si>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</si>
  <si>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</si>
  <si>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</si>
  <si>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</si>
  <si>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</si>
  <si>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</si>
  <si>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</si>
  <si>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</si>
  <si>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</si>
  <si>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</si>
  <si>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</si>
  <si>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</si>
  <si>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</si>
  <si>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</si>
  <si>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</si>
  <si>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</si>
  <si>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</si>
  <si>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</si>
  <si>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</si>
  <si>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</si>
  <si>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</si>
  <si>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</si>
  <si>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</si>
  <si>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</si>
  <si>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</si>
  <si>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</si>
  <si>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</si>
  <si>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</si>
  <si>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</si>
  <si>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</si>
  <si>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</si>
  <si>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</si>
  <si>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</si>
  <si>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</si>
  <si>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</si>
  <si>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</si>
  <si>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</si>
  <si>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</si>
  <si>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</si>
  <si>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</si>
  <si>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</si>
  <si>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</si>
  <si>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</si>
  <si>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</si>
  <si>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</si>
  <si>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</si>
  <si>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</si>
  <si>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</si>
  <si>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</si>
  <si>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</si>
  <si>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</si>
  <si>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</si>
  <si>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</si>
  <si>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</si>
  <si>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</si>
  <si>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</si>
  <si>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</si>
  <si>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</si>
  <si>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</si>
  <si>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</si>
  <si>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</si>
  <si>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</si>
  <si>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</si>
  <si>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</si>
  <si>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</si>
  <si>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</si>
  <si>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</si>
  <si>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</si>
  <si>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</si>
  <si>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</si>
  <si>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</si>
  <si>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</si>
  <si>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</si>
  <si>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</si>
  <si>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</si>
  <si>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</si>
  <si>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</si>
  <si>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</si>
  <si>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</si>
  <si>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</si>
  <si>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</si>
  <si>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</si>
  <si>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</si>
  <si>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</si>
  <si>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</si>
  <si>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</si>
  <si>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</si>
  <si>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</si>
  <si>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</si>
  <si>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</si>
  <si>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</si>
  <si>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</si>
  <si>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</si>
  <si>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</si>
  <si>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</si>
  <si>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</si>
  <si>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</si>
  <si>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</si>
  <si>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</si>
  <si>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</si>
  <si>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</si>
  <si>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</si>
  <si>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</si>
  <si>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</si>
  <si>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</si>
  <si>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</si>
  <si>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</si>
  <si>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</si>
  <si>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</si>
  <si>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</si>
  <si>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</si>
  <si>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</si>
  <si>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</si>
  <si>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</si>
  <si>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</si>
  <si>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</si>
  <si>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</si>
  <si>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</si>
  <si>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</si>
  <si>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</si>
  <si>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</si>
  <si>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</si>
  <si>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</si>
  <si>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</si>
  <si>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</si>
  <si>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</si>
  <si>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</si>
  <si>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</si>
  <si>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</si>
  <si>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</si>
  <si>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</si>
  <si>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</si>
  <si>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</si>
  <si>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</si>
  <si>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</si>
  <si>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</si>
  <si>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</si>
  <si>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</si>
  <si>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</si>
  <si>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</si>
  <si>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</si>
  <si>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</si>
  <si>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</si>
  <si>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</si>
  <si>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</si>
  <si>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</si>
  <si>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</si>
  <si>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</si>
  <si>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</si>
  <si>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</si>
  <si>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</si>
  <si>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</si>
  <si>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</si>
  <si>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</si>
  <si>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</si>
  <si>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</si>
  <si>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</si>
  <si>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</si>
  <si>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</si>
  <si>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</si>
  <si>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</si>
  <si>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</si>
  <si>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</si>
  <si>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</si>
  <si>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</si>
  <si>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</si>
  <si>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</si>
  <si>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</si>
  <si>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</si>
  <si>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</si>
  <si>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</si>
  <si>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</si>
  <si>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</si>
  <si>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</si>
  <si>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</si>
  <si>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</si>
  <si>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</si>
  <si>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</si>
  <si>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</si>
  <si>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</si>
  <si>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</si>
  <si>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</si>
  <si>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</si>
  <si>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</si>
  <si>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</si>
  <si>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</si>
  <si>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</si>
  <si>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</si>
  <si>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</si>
  <si>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</si>
  <si>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</si>
  <si>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</si>
  <si>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</si>
  <si>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</si>
  <si>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</si>
  <si>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</si>
  <si>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</si>
  <si>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</si>
  <si>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</si>
  <si>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</si>
  <si>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</si>
  <si>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</si>
  <si>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</si>
  <si>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</si>
  <si>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</si>
  <si>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</si>
  <si>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</si>
  <si>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</si>
  <si>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</si>
  <si>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</si>
  <si>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</si>
  <si>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</si>
  <si>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</si>
  <si>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</si>
  <si>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</si>
  <si>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</si>
  <si>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</si>
  <si>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</si>
  <si>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</si>
  <si>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</si>
  <si>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</si>
  <si>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</si>
  <si>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</si>
  <si>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</si>
  <si>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</si>
  <si>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</si>
  <si>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</si>
  <si>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</si>
  <si>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</si>
  <si>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</si>
  <si>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</si>
  <si>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</si>
  <si>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</si>
  <si>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</si>
  <si>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</si>
  <si>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</si>
  <si>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</si>
  <si>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</si>
  <si>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</si>
  <si>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</si>
  <si>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</si>
  <si>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</si>
  <si>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</si>
  <si>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</si>
  <si>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</si>
  <si>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</si>
  <si>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</si>
  <si>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</si>
  <si>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</si>
  <si>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</si>
  <si>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</si>
  <si>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</si>
  <si>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</si>
  <si>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</si>
  <si>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</si>
  <si>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</si>
  <si>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</si>
  <si>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</si>
  <si>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</si>
  <si>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</si>
  <si>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</si>
  <si>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</si>
  <si>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</si>
  <si>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</si>
  <si>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</si>
  <si>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</si>
  <si>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</si>
  <si>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</si>
  <si>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</si>
  <si>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</si>
  <si>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</si>
  <si>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</si>
  <si>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</si>
  <si>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</si>
  <si>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</si>
  <si>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</si>
  <si>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</si>
  <si>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</si>
  <si>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</si>
  <si>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</si>
  <si>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</si>
  <si>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</si>
  <si>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</si>
  <si>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</si>
  <si>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</si>
  <si>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</si>
  <si>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</si>
  <si>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</si>
  <si>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</si>
  <si>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</si>
  <si>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</si>
  <si>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</si>
  <si>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</si>
  <si>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</si>
  <si>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</si>
  <si>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</si>
  <si>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</si>
  <si>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</si>
  <si>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</si>
  <si>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</si>
  <si>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</si>
  <si>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</si>
  <si>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</si>
  <si>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</si>
  <si>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</si>
  <si>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</si>
  <si>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</si>
  <si>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</si>
  <si>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</si>
  <si>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</si>
  <si>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</si>
  <si>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</si>
  <si>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</si>
  <si>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</si>
  <si>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</si>
  <si>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</si>
  <si>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</si>
  <si>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</si>
  <si>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</si>
  <si>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</si>
  <si>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</si>
  <si>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</si>
  <si>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</si>
  <si>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</si>
  <si>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</si>
  <si>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</si>
  <si>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</si>
  <si>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</si>
  <si>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</si>
  <si>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</si>
  <si>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</si>
  <si>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</si>
  <si>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</si>
  <si>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</si>
  <si>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</si>
  <si>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</si>
  <si>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</si>
  <si>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</si>
  <si>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</si>
  <si>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</si>
  <si>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</si>
  <si>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</si>
  <si>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</si>
  <si>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</si>
  <si>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</si>
  <si>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</si>
  <si>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</si>
  <si>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</si>
  <si>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</si>
  <si>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</si>
  <si>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</si>
  <si>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</si>
  <si>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</si>
  <si>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</si>
  <si>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</si>
  <si>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</si>
  <si>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</si>
  <si>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</si>
  <si>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</si>
  <si>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</si>
  <si>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</si>
  <si>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</si>
  <si>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</si>
  <si>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</si>
  <si>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</si>
  <si>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</si>
  <si>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</si>
  <si>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</si>
  <si>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</si>
  <si>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</si>
  <si>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</si>
  <si>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</si>
  <si>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</si>
  <si>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</si>
  <si>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</si>
  <si>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</si>
  <si>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</si>
  <si>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</si>
  <si>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</si>
  <si>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</si>
  <si>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</si>
  <si>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</si>
  <si>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</si>
  <si>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</si>
  <si>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</si>
  <si>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</si>
  <si>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</si>
  <si>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</si>
  <si>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</si>
  <si>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</si>
  <si>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</si>
  <si>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</si>
  <si>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</si>
  <si>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</si>
  <si>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</si>
  <si>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</si>
  <si>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</si>
  <si>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</si>
  <si>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</si>
  <si>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</si>
  <si>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</si>
  <si>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</si>
  <si>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</si>
  <si>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</si>
  <si>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</si>
  <si>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</si>
  <si>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</si>
  <si>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</si>
  <si>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</si>
  <si>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</si>
  <si>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</si>
  <si>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</si>
  <si>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</si>
  <si>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</si>
  <si>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</si>
  <si>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</si>
  <si>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</si>
  <si>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</si>
  <si>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</si>
  <si>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</si>
  <si>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</si>
  <si>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</si>
  <si>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</si>
  <si>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</si>
  <si>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</si>
  <si>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</si>
  <si>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</si>
  <si>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</si>
  <si>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</si>
  <si>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</si>
  <si>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</si>
  <si>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</si>
  <si>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</si>
  <si>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</si>
  <si>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</si>
  <si>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</si>
  <si>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</si>
  <si>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</si>
  <si>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</si>
  <si>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</si>
  <si>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</si>
  <si>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</si>
  <si>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</si>
  <si>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</si>
  <si>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</si>
  <si>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</si>
  <si>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</si>
  <si>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</si>
  <si>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</si>
  <si>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</si>
  <si>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</si>
  <si>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</si>
  <si>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</si>
  <si>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</si>
  <si>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</si>
  <si>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</si>
  <si>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</si>
  <si>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</si>
  <si>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</si>
  <si>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</si>
  <si>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</si>
  <si>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</si>
  <si>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</si>
  <si>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</si>
  <si>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</si>
  <si>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</si>
  <si>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</si>
  <si>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</si>
  <si>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</si>
  <si>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</si>
  <si>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</si>
  <si>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</si>
  <si>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</si>
  <si>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</si>
  <si>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</si>
  <si>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</si>
  <si>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</si>
  <si>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</si>
  <si>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</si>
  <si>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</si>
  <si>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</si>
  <si>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</si>
  <si>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</si>
  <si>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</si>
  <si>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</si>
  <si>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</si>
  <si>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</si>
  <si>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</si>
  <si>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</si>
  <si>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</si>
  <si>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</si>
  <si>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</si>
  <si>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</si>
  <si>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</si>
  <si>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</si>
  <si>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</si>
  <si>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</si>
  <si>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</si>
  <si>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</si>
  <si>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</si>
  <si>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</si>
  <si>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</si>
  <si>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</si>
  <si>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</si>
  <si>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</si>
  <si>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</si>
  <si>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</si>
  <si>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</si>
  <si>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</si>
  <si>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</si>
  <si>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</si>
  <si>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</si>
  <si>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</si>
  <si>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</si>
  <si>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</si>
  <si>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</si>
  <si>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</si>
  <si>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</si>
  <si>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</si>
  <si>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</si>
  <si>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</si>
  <si>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</si>
  <si>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</si>
  <si>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</si>
  <si>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</si>
  <si>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</si>
  <si>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</si>
  <si>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</si>
  <si>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</si>
  <si>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</si>
  <si>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</si>
  <si>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</si>
  <si>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</si>
  <si>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</si>
  <si>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</si>
  <si>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</si>
  <si>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</si>
  <si>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</si>
  <si>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</si>
  <si>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</si>
  <si>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</si>
  <si>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</si>
  <si>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</si>
  <si>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</si>
  <si>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</si>
  <si>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</si>
  <si>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</si>
  <si>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</si>
  <si>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</si>
  <si>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</si>
  <si>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</si>
  <si>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</si>
  <si>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</si>
  <si>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</si>
  <si>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</si>
  <si>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</si>
  <si>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</si>
  <si>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</si>
  <si>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</si>
  <si>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</si>
  <si>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</si>
  <si>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</si>
  <si>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</si>
  <si>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</si>
  <si>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</si>
  <si>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</si>
  <si>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</si>
  <si>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</si>
  <si>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</si>
  <si>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</si>
  <si>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</si>
  <si>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</si>
  <si>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</si>
  <si>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</si>
  <si>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</si>
  <si>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</si>
  <si>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</si>
  <si>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</si>
  <si>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</si>
  <si>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</si>
  <si>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</si>
  <si>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</si>
  <si>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</si>
  <si>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</si>
  <si>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</si>
  <si>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</si>
  <si>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</si>
  <si>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</si>
  <si>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</si>
  <si>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</si>
  <si>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</si>
  <si>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</si>
  <si>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</si>
  <si>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</si>
  <si>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</si>
  <si>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</si>
  <si>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</si>
  <si>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</si>
  <si>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</si>
  <si>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</si>
  <si>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</si>
  <si>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</si>
  <si>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</si>
  <si>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</si>
  <si>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</si>
  <si>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</si>
  <si>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</si>
  <si>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</si>
  <si>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</si>
  <si>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</si>
  <si>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</si>
  <si>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</si>
  <si>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</si>
  <si>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</si>
  <si>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</si>
  <si>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</si>
  <si>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</si>
  <si>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</si>
  <si>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</si>
  <si>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</si>
  <si>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</si>
  <si>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</si>
  <si>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</si>
  <si>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</si>
  <si>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</si>
  <si>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</si>
  <si>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</si>
  <si>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</si>
  <si>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</si>
  <si>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</si>
  <si>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</si>
  <si>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</si>
  <si>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</si>
  <si>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</si>
  <si>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</si>
  <si>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</si>
  <si>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</si>
  <si>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</si>
  <si>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</si>
  <si>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</si>
  <si>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</si>
  <si>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</si>
  <si>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</si>
  <si>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</si>
  <si>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</si>
  <si>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</si>
  <si>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</si>
  <si>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</si>
  <si>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</si>
  <si>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</si>
  <si>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</si>
  <si>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</si>
  <si>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</si>
  <si>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</si>
  <si>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</si>
  <si>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</si>
  <si>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</si>
  <si>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</si>
  <si>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</si>
  <si>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</si>
  <si>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</si>
  <si>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</si>
  <si>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</si>
  <si>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</si>
  <si>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</si>
  <si>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</si>
  <si>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</si>
  <si>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</si>
  <si>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</si>
  <si>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</si>
  <si>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</si>
  <si>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</si>
  <si>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</si>
  <si>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</si>
  <si>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</si>
  <si>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</si>
  <si>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</si>
  <si>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</si>
  <si>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</si>
  <si>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</si>
  <si>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</si>
  <si>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</si>
  <si>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</si>
  <si>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</si>
  <si>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</si>
  <si>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</si>
  <si>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</si>
  <si>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</si>
  <si>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</si>
  <si>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</si>
  <si>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</si>
  <si>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</si>
  <si>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</si>
  <si>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</si>
  <si>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</si>
  <si>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</si>
  <si>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</si>
  <si>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</si>
  <si>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</si>
  <si>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</si>
  <si>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</si>
  <si>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</si>
  <si>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</si>
  <si>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</si>
  <si>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</si>
  <si>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</si>
  <si>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</si>
  <si>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</si>
  <si>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</si>
  <si>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</si>
  <si>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</si>
  <si>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</si>
  <si>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</si>
  <si>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</si>
  <si>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</si>
  <si>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</si>
  <si>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</si>
  <si>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</si>
  <si>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</si>
  <si>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</si>
  <si>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</si>
  <si>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</si>
  <si>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</si>
  <si>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</si>
  <si>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</si>
  <si>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</si>
  <si>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</si>
  <si>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</si>
  <si>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</si>
  <si>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</si>
  <si>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</si>
  <si>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</si>
  <si>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</si>
  <si>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</si>
  <si>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</si>
  <si>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</si>
  <si>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</si>
  <si>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</si>
  <si>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</si>
  <si>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</si>
  <si>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</si>
  <si>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</si>
  <si>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</si>
  <si>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</si>
  <si>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</si>
  <si>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</si>
  <si>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</si>
  <si>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</si>
  <si>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</si>
  <si>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</si>
  <si>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</si>
  <si>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</si>
  <si>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</si>
  <si>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</si>
  <si>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</si>
  <si>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</si>
  <si>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</si>
  <si>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</si>
  <si>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</si>
  <si>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</si>
  <si>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</si>
  <si>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</si>
  <si>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</si>
  <si>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</si>
  <si>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</si>
  <si>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</si>
  <si>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</si>
  <si>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</si>
  <si>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</si>
  <si>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</si>
  <si>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</si>
  <si>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</si>
  <si>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</si>
  <si>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</si>
  <si>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</si>
  <si>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</si>
  <si>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</si>
  <si>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</si>
  <si>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</si>
  <si>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</si>
  <si>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</si>
  <si>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</si>
  <si>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</si>
  <si>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</si>
  <si>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</si>
  <si>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</si>
  <si>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</si>
  <si>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</si>
  <si>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</si>
  <si>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</si>
  <si>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</si>
  <si>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</si>
  <si>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</si>
  <si>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</si>
  <si>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</si>
  <si>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</si>
  <si>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</si>
  <si>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</si>
  <si>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</si>
  <si>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</si>
  <si>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</si>
  <si>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</si>
  <si>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</si>
  <si>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</si>
  <si>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</si>
  <si>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</si>
  <si>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</si>
  <si>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</si>
  <si>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</si>
  <si>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</si>
  <si>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</si>
  <si>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</si>
  <si>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</si>
  <si>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</si>
  <si>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</si>
  <si>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</si>
  <si>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</si>
  <si>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</si>
  <si>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</si>
  <si>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</si>
  <si>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</si>
  <si>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</si>
  <si>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</si>
  <si>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</si>
  <si>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</si>
  <si>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</si>
  <si>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</si>
  <si>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</si>
  <si>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</si>
  <si>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</si>
  <si>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</si>
  <si>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</si>
  <si>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</si>
  <si>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</si>
  <si>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</si>
  <si>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</si>
  <si>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</si>
  <si>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</si>
  <si>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</si>
  <si>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</si>
  <si>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</si>
  <si>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</si>
  <si>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</si>
  <si>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</si>
  <si>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</si>
  <si>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</si>
  <si>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</si>
  <si>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</si>
  <si>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</si>
  <si>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</si>
  <si>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</si>
  <si>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</si>
  <si>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</si>
  <si>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</si>
  <si>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</si>
  <si>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</si>
  <si>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</si>
  <si>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</si>
  <si>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</si>
  <si>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</si>
  <si>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</si>
  <si>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</si>
  <si>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</si>
  <si>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</si>
  <si>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</si>
  <si>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</si>
  <si>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</si>
  <si>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</si>
  <si>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</si>
  <si>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</si>
  <si>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</si>
  <si>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</si>
  <si>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</si>
  <si>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</si>
  <si>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</si>
  <si>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</si>
  <si>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</si>
  <si>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</si>
  <si>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</si>
  <si>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</si>
  <si>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</si>
  <si>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</si>
  <si>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</si>
  <si>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</si>
  <si>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</si>
  <si>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</si>
  <si>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</si>
  <si>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</si>
  <si>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</si>
  <si>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</si>
  <si>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</si>
  <si>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</si>
  <si>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</si>
  <si>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</si>
  <si>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</si>
  <si>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</si>
  <si>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</si>
  <si>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</si>
  <si>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</si>
  <si>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</si>
  <si>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</si>
  <si>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</si>
  <si>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</si>
  <si>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</si>
  <si>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</si>
  <si>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</si>
  <si>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</si>
  <si>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</si>
  <si>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</si>
  <si>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</si>
  <si>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</si>
  <si>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</si>
  <si>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</si>
  <si>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</si>
  <si>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</si>
  <si>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</si>
  <si>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</si>
  <si>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</si>
  <si>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</si>
  <si>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</si>
  <si>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</si>
  <si>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</si>
  <si>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</si>
  <si>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</si>
  <si>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</si>
  <si>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</si>
  <si>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</si>
  <si>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</si>
  <si>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</si>
  <si>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</si>
  <si>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</si>
  <si>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</si>
  <si>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</si>
  <si>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</si>
  <si>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</si>
  <si>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</si>
  <si>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</si>
  <si>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</si>
  <si>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</si>
  <si>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</si>
  <si>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</si>
  <si>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</si>
  <si>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</si>
  <si>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</si>
  <si>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</si>
  <si>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</si>
  <si>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</si>
  <si>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</si>
  <si>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</si>
  <si>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</si>
  <si>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</si>
  <si>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</si>
  <si>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</si>
  <si>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</si>
  <si>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</si>
  <si>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</si>
  <si>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</si>
  <si>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</si>
  <si>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</si>
  <si>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</si>
  <si>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</si>
  <si>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</si>
  <si>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</si>
  <si>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</si>
  <si>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</si>
  <si>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</si>
  <si>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</si>
  <si>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</si>
  <si>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</si>
  <si>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</si>
  <si>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</si>
  <si>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</si>
  <si>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</si>
  <si>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</si>
  <si>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</si>
  <si>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</si>
  <si>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</si>
  <si>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</si>
  <si>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</si>
  <si>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</si>
  <si>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</si>
  <si>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</si>
  <si>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</si>
  <si>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</si>
  <si>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</si>
  <si>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</si>
  <si>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</si>
  <si>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</si>
  <si>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</si>
  <si>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</si>
  <si>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</si>
  <si>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</si>
  <si>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</si>
  <si>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</si>
  <si>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</si>
  <si>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</si>
  <si>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</si>
  <si>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</si>
  <si>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</si>
  <si>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</si>
  <si>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</si>
  <si>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</si>
  <si>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</si>
  <si>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</si>
  <si>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</si>
  <si>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</si>
  <si>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</si>
  <si>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</si>
  <si>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</si>
  <si>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</si>
  <si>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</si>
  <si>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</si>
  <si>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</si>
  <si>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</si>
  <si>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</si>
  <si>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</si>
  <si>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</si>
  <si>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</si>
  <si>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</si>
  <si>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</si>
  <si>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</si>
  <si>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</si>
  <si>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</si>
  <si>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</si>
  <si>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</si>
  <si>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</si>
  <si>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</si>
  <si>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</si>
  <si>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</si>
  <si>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</si>
  <si>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</si>
  <si>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</si>
  <si>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</si>
  <si>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</si>
  <si>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</si>
  <si>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</si>
  <si>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</si>
  <si>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</si>
  <si>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</si>
  <si>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</si>
  <si>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</si>
  <si>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</si>
  <si>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</si>
  <si>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</si>
  <si>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</si>
  <si>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</si>
  <si>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</si>
  <si>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</si>
  <si>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</si>
  <si>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</si>
  <si>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</si>
  <si>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</si>
  <si>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</si>
  <si>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</si>
  <si>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</si>
  <si>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</si>
  <si>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</si>
  <si>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</si>
  <si>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</si>
  <si>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</si>
  <si>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</si>
  <si>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</si>
  <si>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</si>
  <si>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</si>
  <si>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</si>
  <si>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</si>
  <si>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</si>
  <si>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</si>
  <si>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</si>
  <si>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</si>
  <si>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</si>
  <si>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</si>
  <si>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</si>
  <si>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</si>
  <si>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</si>
  <si>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</si>
  <si>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</si>
  <si>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</si>
  <si>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</si>
  <si>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</si>
  <si>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</si>
  <si>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</si>
  <si>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</si>
  <si>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</si>
  <si>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</si>
  <si>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</si>
  <si>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</si>
  <si>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</si>
  <si>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</si>
  <si>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</si>
  <si>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</si>
  <si>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</si>
  <si>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</si>
  <si>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</si>
  <si>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</si>
  <si>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</si>
  <si>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</si>
  <si>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</si>
  <si>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</si>
  <si>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</si>
  <si>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</si>
  <si>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</si>
  <si>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</si>
  <si>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</si>
  <si>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</si>
  <si>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</si>
  <si>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</si>
  <si>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</si>
  <si>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</si>
  <si>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</si>
  <si>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</si>
  <si>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</si>
  <si>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</si>
  <si>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</si>
  <si>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</si>
  <si>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</si>
  <si>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</si>
  <si>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</si>
  <si>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</si>
  <si>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</si>
  <si>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</si>
  <si>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</si>
  <si>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</si>
  <si>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</si>
  <si>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</si>
  <si>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</si>
  <si>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</si>
  <si>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</si>
  <si>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</si>
  <si>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</si>
  <si>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</si>
  <si>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</si>
  <si>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</si>
  <si>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</si>
  <si>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</si>
  <si>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</si>
  <si>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</si>
  <si>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</si>
  <si>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</si>
  <si>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</si>
  <si>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</si>
  <si>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</si>
  <si>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</si>
  <si>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</si>
  <si>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</si>
  <si>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</si>
  <si>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</si>
  <si>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</si>
  <si>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</si>
  <si>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</si>
  <si>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</si>
  <si>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</si>
  <si>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</si>
  <si>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</si>
  <si>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</si>
  <si>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</si>
  <si>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</si>
  <si>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</si>
  <si>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</si>
  <si>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</si>
  <si>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</si>
  <si>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</si>
  <si>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</si>
  <si>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</si>
  <si>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</si>
  <si>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</si>
  <si>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</si>
  <si>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</si>
  <si>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</si>
  <si>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</si>
  <si>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</si>
  <si>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</si>
  <si>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</si>
  <si>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</si>
  <si>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</si>
  <si>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</si>
  <si>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</si>
  <si>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</si>
  <si>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</si>
  <si>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</si>
  <si>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</si>
  <si>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</si>
  <si>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</si>
  <si>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</si>
  <si>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</si>
  <si>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</si>
  <si>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</si>
  <si>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</si>
  <si>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</si>
  <si>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</si>
  <si>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</si>
  <si>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</si>
  <si>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</si>
  <si>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</si>
  <si>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</si>
  <si>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</si>
  <si>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</si>
  <si>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</si>
  <si>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</si>
  <si>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</si>
  <si>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</si>
  <si>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</si>
  <si>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</si>
  <si>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</si>
  <si>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</si>
  <si>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</si>
  <si>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</si>
  <si>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</si>
  <si>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</si>
  <si>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</si>
  <si>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</si>
  <si>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</si>
  <si>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</si>
  <si>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</si>
  <si>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</si>
  <si>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</si>
  <si>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</si>
  <si>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</si>
  <si>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</si>
  <si>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</si>
  <si>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</si>
  <si>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</si>
  <si>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</si>
  <si>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</si>
  <si>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</si>
  <si>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</si>
  <si>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</si>
  <si>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</si>
  <si>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</si>
  <si>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</si>
  <si>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</si>
  <si>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</si>
  <si>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</si>
  <si>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</si>
  <si>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</si>
  <si>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</si>
  <si>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</si>
  <si>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</si>
  <si>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</si>
  <si>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</si>
  <si>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</si>
  <si>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</si>
  <si>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</si>
  <si>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</si>
  <si>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</si>
  <si>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</si>
  <si>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</si>
  <si>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</si>
  <si>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</si>
  <si>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</si>
  <si>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</si>
  <si>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</si>
  <si>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</si>
  <si>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</si>
  <si>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</si>
  <si>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</si>
  <si>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</si>
  <si>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</si>
  <si>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</si>
  <si>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</si>
  <si>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</si>
  <si>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</si>
  <si>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</si>
  <si>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</si>
  <si>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</si>
  <si>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</si>
  <si>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</si>
  <si>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</si>
  <si>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</si>
  <si>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</si>
  <si>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</si>
  <si>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</si>
  <si>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</si>
  <si>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</si>
  <si>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</si>
  <si>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</si>
  <si>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</si>
  <si>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</si>
  <si>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</si>
  <si>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</si>
  <si>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</si>
  <si>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</si>
  <si>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</si>
  <si>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</si>
  <si>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</si>
  <si>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</si>
  <si>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</si>
  <si>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</si>
  <si>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</si>
  <si>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</si>
  <si>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</si>
  <si>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</si>
  <si>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</si>
  <si>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</si>
  <si>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</si>
  <si>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</si>
  <si>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</si>
  <si>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</si>
  <si>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</si>
  <si>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</si>
  <si>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</si>
  <si>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</si>
  <si>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</si>
  <si>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</si>
  <si>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</si>
  <si>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</si>
  <si>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</si>
  <si>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</si>
  <si>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</si>
  <si>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</si>
  <si>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</si>
  <si>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</si>
  <si>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</si>
  <si>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</si>
  <si>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</si>
  <si>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</si>
  <si>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</si>
  <si>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</si>
  <si>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</si>
  <si>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</si>
  <si>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</si>
  <si>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</si>
  <si>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</si>
  <si>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</si>
  <si>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</si>
  <si>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</si>
  <si>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</si>
  <si>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</si>
  <si>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</si>
  <si>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</si>
  <si>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</si>
  <si>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</si>
  <si>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</si>
  <si>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</si>
  <si>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</si>
  <si>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</si>
  <si>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</si>
  <si>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</si>
  <si>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</si>
  <si>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</si>
  <si>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</si>
  <si>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</si>
  <si>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</si>
  <si>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</si>
  <si>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</si>
  <si>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</si>
  <si>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</si>
  <si>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</si>
  <si>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</si>
  <si>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</si>
  <si>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</si>
  <si>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</si>
  <si>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</si>
  <si>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</si>
  <si>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</si>
  <si>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</si>
  <si>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</si>
  <si>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</si>
  <si>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</si>
  <si>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</si>
  <si>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</si>
  <si>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</si>
  <si>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</si>
  <si>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</si>
  <si>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</si>
  <si>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</si>
  <si>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</si>
  <si>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</si>
  <si>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</si>
  <si>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</si>
  <si>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</si>
  <si>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</si>
  <si>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</si>
  <si>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</si>
  <si>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</si>
  <si>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</si>
  <si>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</si>
  <si>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</si>
  <si>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</si>
  <si>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</si>
  <si>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</si>
  <si>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</si>
  <si>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</si>
  <si>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</si>
  <si>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</si>
  <si>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</si>
  <si>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</si>
  <si>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</si>
  <si>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</si>
  <si>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</si>
  <si>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</si>
  <si>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</si>
  <si>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</si>
  <si>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</si>
  <si>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</si>
  <si>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</si>
  <si>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</si>
  <si>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</si>
  <si>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</si>
  <si>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</si>
  <si>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</si>
  <si>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</si>
  <si>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</si>
  <si>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</si>
  <si>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</si>
  <si>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</si>
  <si>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</si>
  <si>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</si>
  <si>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</si>
  <si>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</si>
  <si>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</si>
  <si>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</si>
  <si>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</si>
  <si>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</si>
  <si>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</si>
  <si>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</si>
  <si>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</si>
  <si>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</si>
  <si>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</si>
  <si>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</si>
  <si>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</si>
  <si>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</si>
  <si>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</si>
  <si>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</si>
  <si>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</si>
  <si>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</si>
  <si>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</si>
  <si>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</si>
  <si>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</si>
  <si>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</si>
  <si>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</si>
  <si>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</si>
  <si>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</si>
  <si>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</si>
  <si>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</si>
  <si>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</si>
  <si>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</si>
  <si>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</si>
  <si>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</si>
  <si>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</si>
  <si>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</si>
  <si>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</si>
  <si>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</si>
  <si>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</si>
  <si>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</si>
  <si>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</si>
  <si>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</si>
  <si>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</si>
  <si>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</si>
  <si>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</si>
  <si>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</si>
  <si>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</si>
  <si>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</si>
  <si>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</si>
  <si>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</si>
  <si>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</si>
  <si>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</si>
  <si>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</si>
  <si>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</si>
  <si>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</si>
  <si>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</si>
  <si>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</si>
  <si>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</si>
  <si>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</si>
  <si>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</si>
  <si>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</si>
  <si>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</si>
  <si>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</si>
  <si>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</si>
  <si>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</si>
  <si>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</si>
  <si>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</si>
  <si>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</si>
  <si>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</si>
  <si>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</si>
  <si>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</si>
  <si>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</si>
  <si>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</si>
  <si>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</si>
  <si>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</si>
  <si>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</si>
  <si>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</si>
  <si>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</si>
  <si>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</si>
  <si>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</si>
  <si>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</si>
  <si>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</si>
  <si>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</si>
  <si>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</si>
  <si>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</si>
  <si>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</si>
  <si>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</si>
  <si>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</si>
  <si>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</si>
  <si>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</si>
  <si>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</si>
  <si>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</si>
  <si>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</si>
  <si>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</si>
  <si>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</si>
  <si>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</si>
  <si>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</si>
  <si>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</si>
  <si>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</si>
  <si>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</si>
  <si>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</si>
  <si>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</si>
  <si>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</si>
  <si>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</si>
  <si>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</si>
  <si>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</si>
  <si>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</si>
  <si>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</si>
  <si>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</si>
  <si>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</si>
  <si>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</si>
  <si>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</si>
  <si>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</si>
  <si>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</si>
  <si>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</si>
  <si>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</si>
  <si>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</si>
  <si>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</si>
  <si>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</si>
  <si>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</si>
  <si>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</si>
  <si>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</si>
  <si>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</si>
  <si>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</si>
  <si>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</si>
  <si>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</si>
  <si>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</si>
  <si>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</si>
  <si>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</si>
  <si>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</si>
  <si>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</si>
  <si>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</si>
  <si>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</si>
  <si>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</si>
  <si>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</si>
  <si>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</si>
  <si>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</si>
  <si>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</si>
  <si>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</si>
  <si>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</si>
  <si>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</si>
  <si>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</si>
  <si>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</si>
  <si>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</si>
  <si>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</si>
  <si>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</si>
  <si>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</si>
  <si>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</si>
  <si>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</si>
  <si>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</si>
  <si>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</si>
  <si>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</si>
  <si>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</si>
  <si>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</si>
  <si>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</si>
  <si>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</si>
  <si>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</si>
  <si>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</si>
  <si>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</si>
  <si>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</si>
  <si>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</si>
  <si>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</si>
  <si>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</si>
  <si>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</si>
  <si>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</si>
  <si>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</si>
  <si>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</si>
  <si>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</si>
  <si>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</si>
  <si>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</si>
  <si>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</si>
  <si>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</si>
  <si>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</si>
  <si>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</si>
  <si>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</si>
  <si>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</si>
  <si>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</si>
  <si>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</si>
  <si>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</si>
  <si>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</si>
  <si>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</si>
  <si>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</si>
  <si>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</si>
  <si>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</si>
  <si>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</si>
  <si>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</si>
  <si>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</si>
  <si>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</si>
  <si>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</si>
  <si>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</si>
  <si>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</si>
  <si>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</si>
  <si>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</si>
  <si>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</si>
  <si>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</si>
  <si>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</si>
  <si>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</si>
  <si>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</si>
  <si>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</si>
  <si>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</si>
  <si>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</si>
  <si>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</si>
  <si>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</si>
  <si>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</si>
  <si>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</si>
  <si>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</si>
  <si>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</si>
  <si>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</si>
  <si>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</si>
  <si>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</si>
  <si>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</si>
  <si>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</si>
  <si>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</si>
  <si>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</si>
  <si>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</si>
  <si>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</si>
  <si>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</si>
  <si>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</si>
  <si>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</si>
  <si>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</si>
  <si>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</si>
  <si>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</si>
  <si>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</si>
  <si>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</si>
  <si>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</si>
  <si>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</si>
  <si>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</si>
  <si>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</si>
  <si>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</si>
  <si>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</si>
  <si>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</si>
  <si>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</si>
  <si>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</si>
  <si>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</si>
  <si>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</si>
  <si>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</si>
  <si>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</si>
  <si>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</si>
  <si>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</si>
  <si>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</si>
  <si>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</si>
  <si>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</si>
  <si>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</si>
  <si>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</si>
  <si>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</si>
  <si>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</si>
  <si>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</si>
  <si>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</si>
  <si>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</si>
  <si>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</si>
  <si>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</si>
  <si>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</si>
  <si>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</si>
  <si>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</si>
  <si>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</si>
  <si>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</si>
  <si>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</si>
  <si>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</si>
  <si>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</si>
  <si>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</si>
  <si>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</si>
  <si>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</si>
  <si>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</si>
  <si>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</si>
  <si>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</si>
  <si>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</si>
  <si>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</si>
  <si>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</si>
  <si>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</si>
  <si>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</si>
  <si>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</si>
  <si>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</si>
  <si>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</si>
  <si>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</si>
  <si>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</si>
  <si>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</si>
  <si>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</si>
  <si>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</si>
  <si>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</si>
  <si>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</si>
  <si>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</si>
  <si>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</si>
  <si>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</si>
  <si>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</si>
  <si>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</si>
  <si>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</si>
  <si>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</si>
  <si>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</si>
  <si>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</si>
  <si>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</si>
  <si>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</si>
  <si>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</si>
  <si>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</si>
  <si>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</si>
  <si>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</si>
  <si>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</si>
  <si>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</si>
  <si>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</si>
  <si>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</si>
  <si>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</si>
  <si>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</si>
  <si>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</si>
  <si>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</si>
  <si>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</si>
  <si>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</si>
  <si>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</si>
  <si>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</si>
  <si>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</si>
  <si>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</si>
  <si>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</si>
  <si>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</si>
  <si>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</si>
  <si>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</si>
  <si>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</si>
  <si>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</si>
  <si>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</si>
  <si>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</si>
  <si>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</si>
  <si>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</si>
  <si>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</si>
  <si>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</si>
  <si>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</si>
  <si>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</si>
  <si>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</si>
  <si>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</si>
  <si>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</si>
  <si>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</si>
  <si>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</si>
  <si>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</si>
  <si>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</si>
  <si>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</si>
  <si>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</si>
  <si>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</si>
  <si>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</si>
  <si>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</si>
  <si>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</si>
  <si>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</si>
  <si>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</si>
  <si>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</si>
  <si>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</si>
  <si>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</si>
  <si>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</si>
  <si>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</si>
  <si>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</si>
  <si>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</si>
  <si>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</si>
  <si>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</si>
  <si>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</si>
  <si>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</si>
  <si>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</si>
  <si>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</si>
  <si>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</si>
  <si>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</si>
  <si>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</si>
  <si>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</si>
  <si>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</si>
  <si>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</si>
  <si>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</si>
  <si>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</si>
  <si>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</si>
  <si>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</si>
  <si>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</si>
  <si>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</si>
  <si>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</si>
  <si>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</si>
  <si>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</si>
  <si>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</si>
  <si>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</si>
  <si>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</si>
  <si>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</si>
  <si>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</si>
  <si>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</si>
  <si>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</si>
  <si>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</si>
  <si>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</si>
  <si>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</si>
  <si>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</si>
  <si>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</si>
  <si>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</si>
  <si>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</si>
  <si>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</si>
  <si>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</si>
  <si>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</si>
  <si>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</si>
  <si>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</si>
  <si>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</si>
  <si>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</si>
  <si>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</si>
  <si>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</si>
  <si>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</si>
  <si>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</si>
  <si>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</si>
  <si>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</si>
  <si>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</si>
  <si>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</si>
  <si>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</si>
  <si>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</si>
  <si>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</si>
  <si>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</si>
  <si>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</si>
  <si>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</si>
  <si>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</si>
  <si>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</si>
  <si>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</si>
  <si>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</si>
  <si>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</si>
  <si>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</si>
  <si>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</si>
  <si>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</si>
  <si>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</si>
  <si>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</si>
  <si>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</si>
  <si>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</si>
  <si>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</si>
  <si>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</si>
  <si>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</si>
  <si>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</si>
  <si>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</si>
  <si>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</si>
  <si>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</si>
  <si>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</si>
  <si>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</si>
  <si>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</si>
  <si>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</si>
  <si>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</si>
  <si>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</si>
  <si>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</si>
  <si>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</si>
  <si>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</si>
  <si>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</si>
  <si>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</si>
  <si>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</si>
  <si>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</si>
  <si>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</si>
  <si>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</si>
  <si>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</si>
  <si>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</si>
  <si>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</si>
  <si>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</si>
  <si>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</si>
  <si>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</si>
  <si>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</si>
  <si>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</si>
  <si>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</si>
  <si>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</si>
  <si>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</si>
  <si>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</si>
  <si>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</si>
  <si>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</si>
  <si>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</si>
  <si>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</si>
  <si>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</si>
  <si>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</si>
  <si>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</si>
  <si>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</si>
  <si>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</si>
  <si>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</si>
  <si>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</si>
  <si>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</si>
  <si>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</si>
  <si>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</si>
  <si>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</si>
  <si>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</si>
  <si>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</si>
  <si>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</si>
  <si>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</si>
  <si>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</si>
  <si>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</si>
  <si>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</si>
  <si>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</si>
  <si>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</si>
  <si>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</si>
  <si>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</si>
  <si>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</si>
  <si>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</si>
  <si>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</si>
  <si>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</si>
  <si>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</si>
  <si>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</si>
  <si>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</si>
  <si>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</si>
  <si>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</si>
  <si>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</si>
  <si>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</si>
  <si>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</si>
  <si>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</si>
  <si>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</si>
  <si>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</si>
  <si>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</si>
  <si>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</si>
  <si>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</si>
  <si>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</si>
  <si>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</si>
  <si>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</si>
  <si>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</si>
  <si>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</si>
  <si>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</si>
  <si>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</si>
  <si>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</si>
  <si>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</si>
  <si>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</si>
  <si>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</si>
  <si>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</si>
  <si>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</si>
  <si>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</si>
  <si>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</si>
  <si>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</si>
  <si>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</si>
  <si>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</si>
  <si>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</si>
  <si>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</si>
  <si>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</si>
  <si>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</si>
  <si>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</si>
  <si>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</si>
  <si>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</si>
  <si>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</si>
  <si>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</si>
  <si>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</si>
  <si>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</si>
  <si>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</si>
  <si>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</si>
  <si>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</si>
  <si>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</si>
  <si>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</si>
  <si>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</si>
  <si>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</si>
  <si>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</si>
  <si>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</si>
  <si>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</si>
  <si>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</si>
  <si>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</si>
  <si>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</si>
  <si>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</si>
  <si>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</si>
  <si>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</si>
  <si>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</si>
  <si>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</si>
  <si>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</si>
  <si>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</si>
  <si>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</si>
  <si>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</si>
  <si>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</si>
  <si>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</si>
  <si>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</si>
  <si>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</si>
  <si>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</si>
  <si>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</si>
  <si>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</si>
  <si>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</si>
  <si>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</si>
  <si>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</si>
  <si>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</si>
  <si>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</si>
  <si>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</si>
  <si>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</si>
  <si>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</si>
  <si>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</si>
  <si>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</si>
  <si>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</si>
  <si>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</si>
  <si>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</si>
  <si>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</si>
  <si>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</si>
  <si>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</si>
  <si>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</si>
  <si>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</si>
  <si>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</si>
  <si>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</si>
  <si>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</si>
  <si>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</si>
  <si>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</si>
  <si>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</si>
  <si>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</si>
  <si>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</si>
  <si>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</si>
  <si>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</si>
  <si>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</si>
  <si>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</si>
  <si>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</si>
  <si>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</si>
  <si>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</si>
  <si>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</si>
  <si>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</si>
  <si>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</si>
  <si>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</si>
  <si>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</si>
  <si>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</si>
  <si>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</si>
  <si>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</si>
  <si>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</si>
  <si>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</si>
  <si>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</si>
  <si>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</si>
  <si>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</si>
  <si>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</si>
  <si>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</si>
  <si>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</si>
  <si>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</si>
  <si>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</si>
  <si>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</si>
  <si>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</si>
  <si>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</si>
  <si>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</si>
  <si>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</si>
  <si>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</si>
  <si>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</si>
  <si>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</si>
  <si>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</si>
  <si>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</si>
  <si>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</si>
  <si>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</si>
  <si>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</si>
  <si>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</si>
  <si>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</si>
  <si>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</si>
  <si>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</si>
  <si>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</si>
  <si>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</si>
  <si>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</si>
  <si>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</si>
  <si>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</si>
  <si>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</si>
  <si>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</si>
  <si>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</si>
  <si>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</si>
  <si>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</si>
  <si>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</si>
  <si>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</si>
  <si>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</si>
  <si>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</si>
  <si>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</si>
  <si>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</si>
  <si>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</si>
  <si>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</si>
  <si>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</si>
  <si>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</si>
  <si>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</si>
  <si>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</si>
  <si>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</si>
  <si>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</si>
  <si>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</si>
  <si>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</si>
  <si>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</si>
  <si>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</si>
  <si>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</si>
  <si>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</si>
  <si>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</si>
  <si>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</si>
  <si>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</si>
  <si>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</si>
  <si>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</si>
  <si>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</si>
  <si>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</si>
  <si>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</si>
  <si>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</si>
  <si>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</si>
  <si>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</si>
  <si>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</si>
  <si>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</si>
  <si>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</si>
  <si>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</si>
  <si>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</si>
  <si>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</si>
  <si>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</si>
  <si>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</si>
  <si>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</si>
  <si>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</si>
  <si>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</si>
  <si>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</si>
  <si>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</si>
  <si>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</si>
  <si>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</si>
  <si>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</si>
  <si>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</si>
  <si>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</si>
  <si>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</si>
  <si>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</si>
  <si>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</si>
  <si>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</si>
  <si>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</si>
  <si>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</si>
  <si>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</si>
  <si>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</si>
  <si>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</si>
  <si>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</si>
  <si>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</si>
  <si>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</si>
  <si>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</si>
  <si>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</si>
  <si>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</si>
  <si>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</si>
  <si>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</si>
  <si>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</si>
  <si>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</si>
  <si>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</si>
  <si>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</si>
  <si>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</si>
  <si>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</si>
  <si>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</si>
  <si>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</si>
  <si>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</si>
  <si>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</si>
  <si>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</si>
  <si>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</si>
  <si>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</si>
  <si>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</si>
  <si>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</si>
  <si>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</si>
  <si>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</si>
  <si>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</si>
  <si>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</si>
  <si>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</si>
  <si>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</si>
  <si>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</si>
  <si>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</si>
  <si>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</si>
  <si>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</si>
  <si>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</si>
  <si>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</si>
  <si>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</si>
  <si>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</si>
  <si>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</si>
  <si>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</si>
  <si>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</si>
  <si>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</si>
  <si>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</si>
  <si>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</si>
  <si>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</si>
  <si>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</si>
  <si>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</si>
  <si>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</si>
  <si>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</si>
  <si>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</si>
  <si>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</si>
  <si>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</si>
  <si>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</si>
  <si>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</si>
  <si>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</si>
  <si>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</si>
  <si>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</si>
  <si>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</si>
  <si>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</si>
  <si>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</si>
  <si>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</si>
  <si>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</si>
  <si>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</si>
  <si>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</si>
  <si>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</si>
  <si>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</si>
  <si>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</si>
  <si>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</si>
  <si>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</si>
  <si>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</si>
  <si>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</si>
  <si>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</si>
  <si>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</si>
  <si>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</si>
  <si>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</si>
  <si>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</si>
  <si>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</si>
  <si>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</si>
  <si>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</si>
  <si>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</si>
  <si>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</si>
  <si>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</si>
  <si>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</si>
  <si>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</si>
  <si>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</si>
  <si>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</si>
  <si>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</si>
  <si>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</si>
  <si>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</si>
  <si>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</si>
  <si>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</si>
  <si>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</si>
  <si>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</si>
  <si>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</si>
  <si>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</si>
  <si>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</si>
  <si>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</si>
  <si>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</si>
  <si>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</si>
  <si>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</si>
  <si>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</si>
  <si>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</si>
  <si>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</si>
  <si>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</si>
  <si>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</si>
  <si>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</si>
  <si>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</si>
  <si>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</si>
  <si>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</si>
  <si>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</si>
  <si>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</si>
  <si>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</si>
  <si>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</si>
  <si>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</si>
  <si>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</si>
  <si>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</si>
  <si>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</si>
  <si>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</si>
  <si>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</si>
  <si>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</si>
  <si>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</si>
  <si>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</si>
  <si>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</si>
  <si>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</si>
  <si>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</si>
  <si>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</si>
  <si>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</si>
  <si>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</si>
  <si>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</si>
  <si>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</si>
  <si>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</si>
  <si>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</si>
  <si>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</si>
  <si>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</si>
  <si>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</si>
  <si>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</si>
  <si>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</si>
  <si>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</si>
  <si>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</si>
  <si>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</si>
  <si>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</si>
  <si>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</si>
  <si>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</si>
  <si>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</si>
  <si>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</si>
  <si>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</si>
  <si>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</si>
  <si>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</si>
  <si>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</si>
  <si>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</si>
  <si>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</si>
  <si>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</si>
  <si>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</si>
  <si>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</si>
  <si>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</si>
  <si>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</si>
  <si>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</si>
  <si>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</si>
  <si>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</si>
  <si>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</si>
  <si>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</si>
  <si>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</si>
  <si>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</si>
  <si>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</si>
  <si>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</si>
  <si>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</si>
  <si>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</si>
  <si>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</si>
  <si>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</si>
  <si>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</si>
  <si>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</si>
  <si>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</si>
  <si>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</si>
  <si>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</si>
  <si>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</si>
  <si>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</si>
  <si>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</si>
  <si>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</si>
  <si>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</si>
  <si>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</si>
  <si>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</si>
  <si>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</si>
  <si>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</si>
  <si>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</si>
  <si>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</si>
  <si>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</si>
  <si>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</si>
  <si>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</si>
  <si>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</si>
  <si>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</si>
  <si>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</si>
  <si>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</si>
  <si>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</si>
  <si>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</si>
  <si>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</si>
  <si>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</si>
  <si>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</si>
  <si>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</si>
  <si>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</si>
  <si>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</si>
  <si>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</si>
  <si>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</si>
  <si>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</si>
  <si>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</si>
  <si>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</si>
  <si>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</si>
  <si>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</si>
  <si>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</si>
  <si>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</si>
  <si>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</si>
  <si>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</si>
  <si>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</si>
  <si>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</si>
  <si>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</si>
  <si>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</si>
  <si>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</si>
  <si>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</si>
  <si>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</si>
  <si>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</si>
  <si>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</si>
  <si>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</si>
  <si>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</si>
  <si>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</si>
  <si>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</si>
  <si>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</si>
  <si>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</si>
  <si>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</si>
  <si>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</si>
  <si>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</si>
  <si>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</si>
  <si>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</si>
  <si>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</si>
  <si>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</si>
  <si>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</si>
  <si>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</si>
  <si>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</si>
  <si>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</si>
  <si>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</si>
  <si>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</si>
  <si>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</si>
  <si>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</si>
  <si>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</si>
  <si>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</si>
  <si>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</si>
  <si>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</si>
  <si>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</si>
  <si>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</si>
  <si>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</si>
  <si>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</si>
  <si>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</si>
  <si>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</si>
  <si>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</si>
  <si>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</si>
  <si>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</si>
  <si>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</si>
  <si>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</si>
  <si>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</si>
  <si>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</si>
  <si>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</si>
  <si>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</si>
  <si>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</si>
  <si>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</si>
  <si>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</si>
  <si>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</si>
  <si>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</si>
  <si>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</si>
  <si>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</si>
  <si>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</si>
  <si>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</si>
  <si>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</si>
  <si>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</si>
  <si>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</si>
  <si>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</si>
  <si>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</si>
  <si>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</si>
  <si>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</si>
  <si>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</si>
  <si>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</si>
  <si>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</si>
  <si>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</si>
  <si>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</si>
  <si>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</si>
  <si>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</si>
  <si>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</si>
  <si>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</si>
  <si>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</si>
  <si>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</si>
  <si>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</si>
  <si>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</si>
  <si>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</si>
  <si>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</si>
  <si>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</si>
  <si>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</si>
  <si>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</si>
  <si>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</si>
  <si>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</si>
  <si>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</si>
  <si>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</si>
  <si>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</si>
  <si>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</si>
  <si>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</si>
  <si>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</si>
  <si>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</si>
  <si>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</si>
  <si>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</si>
  <si>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</si>
  <si>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</si>
  <si>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</si>
  <si>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</si>
  <si>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</si>
  <si>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</si>
  <si>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</si>
  <si>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</si>
  <si>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</si>
  <si>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</si>
  <si>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</si>
  <si>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</si>
  <si>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</si>
  <si>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</si>
  <si>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</si>
  <si>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</si>
  <si>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</si>
  <si>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</si>
  <si>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</si>
  <si>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</si>
  <si>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</si>
  <si>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</si>
  <si>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</si>
  <si>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</si>
  <si>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</si>
  <si>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</si>
  <si>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</si>
  <si>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</si>
  <si>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</si>
  <si>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</si>
  <si>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</si>
  <si>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</si>
  <si>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</si>
  <si>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</si>
  <si>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</si>
  <si>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</si>
  <si>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</si>
  <si>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</si>
  <si>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</si>
  <si>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</si>
  <si>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</si>
  <si>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</si>
  <si>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</si>
  <si>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</si>
  <si>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</si>
  <si>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</si>
  <si>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</si>
  <si>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</si>
  <si>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</si>
  <si>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</si>
  <si>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</si>
  <si>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</si>
  <si>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</si>
  <si>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</si>
  <si>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</si>
  <si>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</si>
  <si>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</si>
  <si>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</si>
  <si>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</si>
  <si>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</si>
  <si>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</si>
  <si>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</si>
  <si>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</si>
  <si>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</si>
  <si>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</si>
  <si>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</si>
  <si>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</si>
  <si>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</si>
  <si>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</si>
  <si>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</si>
  <si>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</si>
  <si>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</si>
  <si>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</si>
  <si>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</si>
  <si>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</si>
  <si>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</si>
  <si>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</si>
  <si>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</si>
  <si>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</si>
  <si>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</si>
  <si>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</si>
  <si>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</si>
  <si>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</si>
  <si>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</si>
  <si>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</si>
  <si>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</si>
  <si>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</si>
  <si>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</si>
  <si>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</si>
  <si>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</si>
  <si>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</si>
  <si>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</si>
  <si>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</si>
  <si>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</si>
  <si>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</si>
  <si>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</si>
  <si>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</si>
  <si>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</si>
  <si>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</si>
  <si>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</si>
  <si>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</si>
  <si>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</si>
  <si>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</si>
  <si>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</si>
  <si>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</si>
  <si>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</si>
  <si>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</si>
  <si>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</si>
  <si>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</si>
  <si>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</si>
  <si>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</si>
  <si>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</si>
  <si>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</si>
  <si>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</si>
  <si>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</si>
  <si>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</si>
  <si>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</si>
  <si>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</si>
  <si>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</si>
  <si>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</si>
  <si>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</si>
  <si>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</si>
  <si>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</si>
  <si>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</si>
  <si>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</si>
  <si>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</si>
  <si>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</si>
  <si>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</si>
  <si>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</si>
  <si>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</si>
  <si>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</si>
  <si>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</si>
  <si>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</si>
  <si>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</si>
  <si>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</si>
  <si>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</si>
  <si>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</si>
  <si>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</si>
  <si>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</si>
  <si>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</si>
  <si>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</si>
  <si>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</si>
  <si>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</si>
  <si>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</si>
  <si>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</si>
  <si>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</si>
  <si>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</si>
  <si>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</si>
  <si>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</si>
  <si>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</si>
  <si>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</si>
  <si>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</si>
  <si>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</si>
  <si>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</si>
  <si>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</si>
  <si>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</si>
  <si>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</si>
  <si>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</si>
  <si>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</si>
  <si>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</si>
  <si>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</si>
  <si>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</si>
  <si>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</si>
  <si>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</si>
  <si>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</si>
  <si>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</si>
  <si>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</si>
  <si>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</si>
  <si>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</si>
  <si>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</si>
  <si>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</si>
  <si>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</si>
  <si>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</si>
  <si>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</si>
  <si>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</si>
  <si>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</si>
  <si>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</si>
  <si>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</si>
  <si>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</si>
  <si>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</si>
  <si>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</si>
  <si>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</si>
  <si>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</si>
  <si>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</si>
  <si>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</si>
  <si>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</si>
  <si>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</si>
  <si>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</si>
  <si>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</si>
  <si>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</si>
  <si>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</si>
  <si>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</si>
  <si>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</si>
  <si>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</si>
  <si>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</si>
  <si>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</si>
  <si>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</si>
  <si>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</si>
  <si>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</si>
  <si>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</si>
  <si>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</si>
  <si>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</si>
  <si>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</si>
  <si>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</si>
  <si>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</si>
  <si>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</si>
  <si>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</si>
  <si>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</si>
  <si>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</si>
  <si>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</si>
  <si>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</si>
  <si>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</si>
  <si>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</si>
  <si>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</si>
  <si>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</si>
  <si>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</si>
  <si>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</si>
  <si>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</si>
  <si>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</si>
  <si>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</si>
  <si>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</si>
  <si>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</si>
  <si>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</si>
  <si>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</si>
  <si>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</si>
  <si>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</si>
  <si>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</si>
  <si>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</si>
  <si>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</si>
  <si>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</si>
  <si>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</si>
  <si>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</si>
  <si>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</si>
  <si>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</si>
  <si>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</si>
  <si>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</si>
  <si>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</si>
  <si>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</si>
  <si>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</si>
  <si>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</si>
  <si>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</si>
  <si>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</si>
  <si>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</si>
  <si>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</si>
  <si>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</si>
  <si>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</si>
  <si>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</si>
  <si>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</si>
  <si>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</si>
  <si>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</si>
  <si>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</si>
  <si>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</si>
  <si>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</si>
  <si>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</si>
  <si>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</si>
  <si>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</si>
  <si>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</si>
  <si>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</si>
  <si>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</si>
  <si>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</si>
  <si>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</si>
  <si>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</si>
  <si>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</si>
  <si>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</si>
  <si>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</si>
  <si>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</si>
  <si>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</si>
  <si>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</si>
  <si>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</si>
  <si>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</si>
  <si>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</si>
  <si>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</si>
  <si>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</si>
  <si>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</si>
  <si>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</si>
  <si>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</si>
  <si>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</si>
  <si>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</si>
  <si>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</si>
  <si>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</si>
  <si>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</si>
  <si>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</si>
  <si>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</si>
  <si>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</si>
  <si>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</si>
  <si>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</si>
  <si>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</si>
  <si>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</si>
  <si>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</si>
  <si>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</si>
  <si>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</si>
  <si>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</si>
  <si>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</si>
  <si>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</si>
  <si>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</si>
  <si>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</si>
  <si>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</si>
  <si>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</si>
  <si>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</si>
  <si>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</si>
  <si>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</si>
  <si>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</si>
  <si>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</si>
  <si>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</si>
  <si>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</si>
  <si>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</si>
  <si>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</si>
  <si>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</si>
  <si>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</si>
  <si>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</si>
  <si>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</si>
  <si>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</si>
  <si>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</si>
  <si>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</si>
  <si>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</si>
  <si>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</si>
  <si>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</si>
  <si>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</si>
  <si>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</si>
  <si>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</si>
  <si>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</si>
  <si>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</si>
  <si>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</si>
  <si>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</si>
  <si>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</si>
  <si>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</si>
  <si>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</si>
  <si>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</si>
  <si>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</si>
  <si>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</si>
  <si>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</si>
  <si>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</si>
  <si>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</si>
  <si>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</si>
  <si>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</si>
  <si>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地块号</t>
    <phoneticPr fontId="143" type="noConversion"/>
  </si>
  <si>
    <t>王鹏</t>
  </si>
  <si>
    <t>崔锴</t>
  </si>
  <si>
    <t>抵押</t>
  </si>
  <si>
    <t>房地产抵押价值</t>
  </si>
  <si>
    <t>其他：</t>
  </si>
  <si>
    <t>贵州省</t>
    <phoneticPr fontId="6" type="noConversion"/>
  </si>
  <si>
    <t>企业</t>
  </si>
  <si>
    <t>出让</t>
  </si>
  <si>
    <t>住宅</t>
  </si>
  <si>
    <t>住宅、商业</t>
    <phoneticPr fontId="6" type="noConversion"/>
  </si>
  <si>
    <t>《不动产权证书》</t>
  </si>
  <si>
    <t>《不动产权证书》</t>
    <phoneticPr fontId="6" type="noConversion"/>
  </si>
  <si>
    <t>是</t>
  </si>
  <si>
    <t>否</t>
  </si>
  <si>
    <t>复印件</t>
  </si>
  <si>
    <t>无</t>
  </si>
  <si>
    <t>通路</t>
  </si>
  <si>
    <t>通电</t>
  </si>
  <si>
    <t>通讯</t>
  </si>
  <si>
    <t>通上水</t>
  </si>
  <si>
    <t>通下水</t>
  </si>
  <si>
    <t>燃气</t>
  </si>
  <si>
    <t>收益法</t>
  </si>
  <si>
    <t>一般</t>
  </si>
  <si>
    <t>较差</t>
  </si>
  <si>
    <t>一般</t>
    <phoneticPr fontId="41" type="noConversion"/>
  </si>
  <si>
    <t>六通</t>
  </si>
  <si>
    <t>六通</t>
    <phoneticPr fontId="25" type="noConversion"/>
  </si>
  <si>
    <t>较好</t>
  </si>
  <si>
    <t>较好</t>
    <phoneticPr fontId="41" type="noConversion"/>
  </si>
  <si>
    <t>较好</t>
    <phoneticPr fontId="25" type="noConversion"/>
  </si>
  <si>
    <t>地块名称</t>
  </si>
  <si>
    <t>用地性质</t>
  </si>
  <si>
    <t>区县</t>
  </si>
  <si>
    <t>地块编号</t>
    <phoneticPr fontId="143" type="noConversion"/>
  </si>
  <si>
    <t>详细规划</t>
  </si>
  <si>
    <t>建设用地面积(㎡)</t>
  </si>
  <si>
    <t>规划建筑面积(㎡)</t>
  </si>
  <si>
    <t>容积率</t>
  </si>
  <si>
    <t>推出特殊政策</t>
  </si>
  <si>
    <t>成交日期</t>
  </si>
  <si>
    <t>受让单位</t>
  </si>
  <si>
    <t>成交价(万元)</t>
  </si>
  <si>
    <t>成交每亩价(万元/亩)</t>
  </si>
  <si>
    <t>成交楼面价(元/㎡)</t>
  </si>
  <si>
    <t>溢价率</t>
  </si>
  <si>
    <t>出让年限</t>
  </si>
  <si>
    <t>土地星级</t>
  </si>
  <si>
    <t>甲秀南路交栋青路西北侧</t>
    <phoneticPr fontId="3" type="noConversion"/>
  </si>
  <si>
    <t>综合用地(含住宅)</t>
  </si>
  <si>
    <t>花溪区</t>
  </si>
  <si>
    <t>HC-01-04A</t>
  </si>
  <si>
    <t>住宅(商业建筑≤5%)</t>
  </si>
  <si>
    <t>2019-06-13</t>
  </si>
  <si>
    <t>贵阳花溪碧桂园物业发展有限公司</t>
  </si>
  <si>
    <t>住宅70年,商业40年</t>
  </si>
  <si>
    <t>1星</t>
  </si>
  <si>
    <t>甲秀南路交栋青路西北侧</t>
  </si>
  <si>
    <t>HC-02-01</t>
  </si>
  <si>
    <t>住宅(商业建筑≤15%)</t>
  </si>
  <si>
    <t>贵阳市花溪区贵筑社区尖山村、马洞村</t>
  </si>
  <si>
    <t>住宅用地</t>
  </si>
  <si>
    <t>G(18)090</t>
  </si>
  <si>
    <t>中低价位、中小套型普通商品住房用地</t>
  </si>
  <si>
    <t>2019-02-03</t>
  </si>
  <si>
    <t>贵阳恒大童世界旅游开发有限公司</t>
  </si>
  <si>
    <t>70年</t>
  </si>
  <si>
    <t>地块编号</t>
  </si>
  <si>
    <t>＞1,≤2.0</t>
  </si>
  <si>
    <t>＞1,≤2.5</t>
  </si>
  <si>
    <t>G〔19〕012</t>
  </si>
  <si>
    <t>商业、住宅</t>
  </si>
  <si>
    <t>≥1,≤2.5</t>
  </si>
  <si>
    <t>2019-04-04</t>
  </si>
  <si>
    <t>贵州星臣现代农业开发有限公司</t>
  </si>
  <si>
    <t>住宅70年、商业40年</t>
  </si>
  <si>
    <t>2星</t>
  </si>
  <si>
    <t>贵阳市花溪区溪北社区上水村</t>
  </si>
  <si>
    <t>G〔19〕010</t>
  </si>
  <si>
    <t>限地价,竞配建,摇号/摇珠/抽签</t>
  </si>
  <si>
    <t>2019-04-03</t>
  </si>
  <si>
    <t>贵阳凯林松房地产开发有限公司</t>
  </si>
  <si>
    <t>贵阳市花溪区贵筑社区洛平村</t>
  </si>
  <si>
    <t>G〔19〕009</t>
  </si>
  <si>
    <t>＞1,≤2.2</t>
  </si>
  <si>
    <t>贵州恒方房地产开发有限公司</t>
  </si>
  <si>
    <t>贵阳市花溪区孟关乡上板村</t>
  </si>
  <si>
    <t>G〔19〕006</t>
  </si>
  <si>
    <t>＞1且≤1.25</t>
  </si>
  <si>
    <t>2019-04-01</t>
  </si>
  <si>
    <t>贵阳光溪房地产开发有限公司</t>
  </si>
  <si>
    <t>住宅用地70年、商业用地40年</t>
  </si>
  <si>
    <t>G〔19〕007</t>
  </si>
  <si>
    <t>＞1且≤2</t>
  </si>
  <si>
    <t>贵州蓝骏置业有限公司</t>
  </si>
  <si>
    <t>≥1,≤2.2</t>
  </si>
  <si>
    <t>G(18)089</t>
  </si>
  <si>
    <t>G(18)098</t>
  </si>
  <si>
    <t>≥1,≤1.8</t>
  </si>
  <si>
    <t>G(18)093</t>
  </si>
  <si>
    <t>≥1,≤2</t>
  </si>
  <si>
    <t>G(18)092</t>
  </si>
  <si>
    <t>G(18)102</t>
  </si>
  <si>
    <t>G(18)103</t>
  </si>
  <si>
    <t>G(18)096</t>
  </si>
  <si>
    <t>G(18)100</t>
  </si>
  <si>
    <t>G(18)097</t>
  </si>
  <si>
    <t>G(18)101</t>
  </si>
  <si>
    <t>G(18)099</t>
  </si>
  <si>
    <t>G(18)091</t>
  </si>
  <si>
    <t>G(18)094</t>
  </si>
  <si>
    <t>京安大道交百马大道东南侧</t>
  </si>
  <si>
    <t>ZB-07-01</t>
  </si>
  <si>
    <t>＞1,≤2</t>
  </si>
  <si>
    <t>2018-10-23</t>
  </si>
  <si>
    <t>贵州贵安置业投资有限公司</t>
  </si>
  <si>
    <t>ZB-05-01</t>
  </si>
  <si>
    <t>＞1,≤2.8</t>
  </si>
  <si>
    <t>ZB-01-02</t>
  </si>
  <si>
    <t>＞1,≤3</t>
  </si>
  <si>
    <t>ZB-04-01</t>
  </si>
  <si>
    <t>贵安新区红枫湖镇</t>
  </si>
  <si>
    <t>ZJ-12-01</t>
  </si>
  <si>
    <t>2018-09-30</t>
  </si>
  <si>
    <t>ZJ-08-02</t>
  </si>
  <si>
    <t>ZI-02-03</t>
  </si>
  <si>
    <t>花溪区贵筑社区大寨村</t>
  </si>
  <si>
    <t>G(18)054</t>
  </si>
  <si>
    <t>商业、住宅(居住(90%)、商业(≯10%))</t>
  </si>
  <si>
    <t>限地价,竞配建</t>
  </si>
  <si>
    <t>2018-08-15</t>
  </si>
  <si>
    <t>美的西南房地产发展有限公司</t>
  </si>
  <si>
    <t>G(18)053</t>
  </si>
  <si>
    <t>≥1,≤1.6</t>
  </si>
  <si>
    <t>花溪区孟关乡沙坡村</t>
  </si>
  <si>
    <t>G(18)058</t>
  </si>
  <si>
    <t>商业、住宅(居住用地(兼容商业建筑7492.82平方米))</t>
  </si>
  <si>
    <t>≥1,≤1.2</t>
  </si>
  <si>
    <t>贵阳花溪碧桂园德胜置业有限公司</t>
  </si>
  <si>
    <t>新区玉衡路交八号路西南侧</t>
    <phoneticPr fontId="3" type="noConversion"/>
  </si>
  <si>
    <t>ZJ-07-01</t>
  </si>
  <si>
    <t>2018-05-16</t>
  </si>
  <si>
    <t>4星</t>
  </si>
  <si>
    <t>花溪区溪北社区竹林村</t>
  </si>
  <si>
    <t>G(18)040</t>
  </si>
  <si>
    <t>≥1且≤2.5</t>
  </si>
  <si>
    <t>2018-04-04</t>
  </si>
  <si>
    <t>贵州裕丰合置业投资有限公司</t>
  </si>
  <si>
    <t>3星</t>
  </si>
  <si>
    <t>经开区金竹镇</t>
  </si>
  <si>
    <t>G(18)032</t>
  </si>
  <si>
    <t>G(18)031</t>
  </si>
  <si>
    <t>G(18)041</t>
  </si>
  <si>
    <t>≥1且≤2</t>
  </si>
  <si>
    <t>花溪区溪北社区</t>
  </si>
  <si>
    <t>G(18)034</t>
  </si>
  <si>
    <t>住宅用地(城镇住宅用地)、商服用地(零售商业用地、批发市场用地、餐饮用地、旅馆用地)</t>
  </si>
  <si>
    <t>G(18)036</t>
  </si>
  <si>
    <t>G(18)039</t>
  </si>
  <si>
    <t>G(18)033</t>
  </si>
  <si>
    <t>G(18)017</t>
  </si>
  <si>
    <t>2018-02-14</t>
  </si>
  <si>
    <t>G(18)018</t>
  </si>
  <si>
    <t>G(18)009</t>
  </si>
  <si>
    <t>≥1且≤1.2</t>
  </si>
  <si>
    <t>G(18)015</t>
  </si>
  <si>
    <t>G(18)011</t>
  </si>
  <si>
    <t>G(18)010</t>
  </si>
  <si>
    <t>G(18)014</t>
  </si>
  <si>
    <t>金马大道交富康北路东南侧</t>
  </si>
  <si>
    <t>MN-25-01</t>
  </si>
  <si>
    <t>＞1且≤1.8</t>
  </si>
  <si>
    <t>2017-12-25</t>
  </si>
  <si>
    <t>贵州贵安电子信息产业投资有限公司</t>
  </si>
  <si>
    <t>新区博士路南侧</t>
  </si>
  <si>
    <t>HJ-09-02</t>
  </si>
  <si>
    <t>新区博士路北侧</t>
  </si>
  <si>
    <t>HJ-04-01</t>
  </si>
  <si>
    <t>规则</t>
  </si>
  <si>
    <t>较规则</t>
  </si>
  <si>
    <t>适宜</t>
  </si>
  <si>
    <t>较适宜</t>
  </si>
  <si>
    <t>五通</t>
  </si>
  <si>
    <t>四通</t>
  </si>
  <si>
    <t>三通</t>
  </si>
  <si>
    <t>差</t>
  </si>
  <si>
    <t>未包含在土地购买价格中</t>
  </si>
  <si>
    <t>全部缴纳</t>
  </si>
  <si>
    <t>已包含在土地取得成本中</t>
  </si>
  <si>
    <t>已全部缴纳</t>
  </si>
  <si>
    <t>住宅</t>
    <phoneticPr fontId="25" type="noConversion"/>
  </si>
  <si>
    <t>60-70（含）</t>
  </si>
  <si>
    <t>洋房</t>
  </si>
  <si>
    <t>洋房</t>
    <phoneticPr fontId="25" type="noConversion"/>
  </si>
  <si>
    <t>小高层</t>
    <phoneticPr fontId="25" type="noConversion"/>
  </si>
  <si>
    <t>高层</t>
  </si>
  <si>
    <t>高层</t>
    <phoneticPr fontId="25" type="noConversion"/>
  </si>
  <si>
    <t>钢混</t>
  </si>
  <si>
    <t>钢混</t>
    <phoneticPr fontId="25" type="noConversion"/>
  </si>
  <si>
    <t>高档</t>
    <phoneticPr fontId="25" type="noConversion"/>
  </si>
  <si>
    <t>中档</t>
  </si>
  <si>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</si>
  <si>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</si>
  <si>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</si>
  <si>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</si>
  <si>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</si>
  <si>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</si>
  <si>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</si>
  <si>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专业物业</t>
  </si>
  <si>
    <t>专业物业</t>
    <phoneticPr fontId="25" type="noConversion"/>
  </si>
  <si>
    <t>六通</t>
    <phoneticPr fontId="25" type="noConversion"/>
  </si>
  <si>
    <t>五通</t>
    <phoneticPr fontId="25" type="noConversion"/>
  </si>
  <si>
    <t>序号</t>
  </si>
  <si>
    <t>项目名称</t>
  </si>
  <si>
    <t>楼栋名称</t>
  </si>
  <si>
    <t>单元</t>
  </si>
  <si>
    <t>房号</t>
  </si>
  <si>
    <t>房间全称</t>
  </si>
  <si>
    <t>房间唯一码</t>
  </si>
  <si>
    <t>标准总价</t>
  </si>
  <si>
    <t>建筑单价</t>
  </si>
  <si>
    <t>套内单价</t>
  </si>
  <si>
    <t>建筑面积</t>
  </si>
  <si>
    <t>套内面积</t>
  </si>
  <si>
    <t>产品类型</t>
  </si>
  <si>
    <t>户型</t>
  </si>
  <si>
    <t>房间结构</t>
  </si>
  <si>
    <t>销售状态</t>
  </si>
  <si>
    <t>楼栋GUID</t>
  </si>
  <si>
    <t>抵押房状态</t>
  </si>
  <si>
    <t>标准总价带装修</t>
  </si>
  <si>
    <t>建筑性质</t>
  </si>
  <si>
    <t>装修标准</t>
  </si>
  <si>
    <t>约定交付日期</t>
  </si>
  <si>
    <t>是否附属房产</t>
  </si>
  <si>
    <t>房间类型</t>
  </si>
  <si>
    <t>朝向</t>
  </si>
  <si>
    <t>首次放盘日期</t>
  </si>
  <si>
    <t>楼栋总楼层</t>
  </si>
  <si>
    <t>首顶层</t>
  </si>
  <si>
    <t>栋型</t>
  </si>
  <si>
    <t>是否限价楼栋</t>
  </si>
  <si>
    <t>房号简称</t>
  </si>
  <si>
    <t>贵阳恒大文化旅游城-一期</t>
  </si>
  <si>
    <t>06地块-高层区（裕顺）-10栋</t>
  </si>
  <si>
    <t/>
  </si>
  <si>
    <t>101</t>
  </si>
  <si>
    <t>贵阳恒大文化旅游城-一期-06地块-高层区（裕顺）-10栋-101</t>
  </si>
  <si>
    <t>c8d10e5e-0721-4f19-a9dc-9a2d4d7a9bd3</t>
  </si>
  <si>
    <t>L9(01)</t>
  </si>
  <si>
    <t>四室二厅二卫</t>
  </si>
  <si>
    <t>待售</t>
  </si>
  <si>
    <t>9bfe9d2e-deab-4132-b17a-5b5b0384607d</t>
  </si>
  <si>
    <t>非抵押</t>
  </si>
  <si>
    <t>32</t>
  </si>
  <si>
    <t>首层</t>
  </si>
  <si>
    <t>'06'</t>
  </si>
  <si>
    <t>L9</t>
  </si>
  <si>
    <t>201</t>
  </si>
  <si>
    <t>贵阳恒大文化旅游城-一期-06地块-高层区（裕顺）-10栋-201</t>
  </si>
  <si>
    <t>2343dba2-5a9a-49b7-a02b-2a85a23b2f59</t>
  </si>
  <si>
    <t>豪装</t>
  </si>
  <si>
    <t>中间层</t>
  </si>
  <si>
    <t>202</t>
  </si>
  <si>
    <t>贵阳恒大文化旅游城-一期-06地块-高层区（裕顺）-10栋-202</t>
  </si>
  <si>
    <t>44ee2a17-6b00-453b-8b19-6c247defae91</t>
  </si>
  <si>
    <t>L9(02)</t>
  </si>
  <si>
    <t>301</t>
  </si>
  <si>
    <t>贵阳恒大文化旅游城-一期-06地块-高层区（裕顺）-10栋-301</t>
  </si>
  <si>
    <t>96a10650-7885-4f78-a016-0527c9bc64e5</t>
  </si>
  <si>
    <t>302</t>
  </si>
  <si>
    <t>贵阳恒大文化旅游城-一期-06地块-高层区（裕顺）-10栋-302</t>
  </si>
  <si>
    <t>622725f9-65d0-41ea-8846-11220b1710fe</t>
  </si>
  <si>
    <t>401</t>
  </si>
  <si>
    <t>贵阳恒大文化旅游城-一期-06地块-高层区（裕顺）-10栋-401</t>
  </si>
  <si>
    <t>bb1ff4d2-05c0-42be-8524-9dba966874a5</t>
  </si>
  <si>
    <t>402</t>
  </si>
  <si>
    <t>贵阳恒大文化旅游城-一期-06地块-高层区（裕顺）-10栋-402</t>
  </si>
  <si>
    <t>3d02d9da-bf2a-44da-823a-9f236d7bd085</t>
  </si>
  <si>
    <t>501</t>
  </si>
  <si>
    <t>贵阳恒大文化旅游城-一期-06地块-高层区（裕顺）-10栋-501</t>
  </si>
  <si>
    <t>d26126e6-68ed-4ee9-9291-c1b2139ba657</t>
  </si>
  <si>
    <t>601</t>
  </si>
  <si>
    <t>贵阳恒大文化旅游城-一期-06地块-高层区（裕顺）-10栋-601</t>
  </si>
  <si>
    <t>f277f433-f67a-4941-9622-b4cfd4f3bb2c</t>
  </si>
  <si>
    <t>602</t>
  </si>
  <si>
    <t>贵阳恒大文化旅游城-一期-06地块-高层区（裕顺）-10栋-602</t>
  </si>
  <si>
    <t>d3cbdf89-7cd6-4279-9542-3c0c6ab17bfc</t>
  </si>
  <si>
    <t>701</t>
  </si>
  <si>
    <t>贵阳恒大文化旅游城-一期-06地块-高层区（裕顺）-10栋-701</t>
  </si>
  <si>
    <t>92530c9a-3f25-49dd-a3da-0cfefa7a49c9</t>
  </si>
  <si>
    <t>801</t>
  </si>
  <si>
    <t>贵阳恒大文化旅游城-一期-06地块-高层区（裕顺）-10栋-801</t>
  </si>
  <si>
    <t>91f03843-d7de-42eb-a7c4-a675bc5d0a48</t>
  </si>
  <si>
    <t>802</t>
  </si>
  <si>
    <t>贵阳恒大文化旅游城-一期-06地块-高层区（裕顺）-10栋-802</t>
  </si>
  <si>
    <t>18ad204f-f5fa-4440-87f6-4849c1263b72</t>
  </si>
  <si>
    <t>902</t>
  </si>
  <si>
    <t>贵阳恒大文化旅游城-一期-06地块-高层区（裕顺）-10栋-902</t>
  </si>
  <si>
    <t>e5667f4b-6518-49d2-90e8-9edca5c300e7</t>
  </si>
  <si>
    <t>1001</t>
  </si>
  <si>
    <t>贵阳恒大文化旅游城-一期-06地块-高层区（裕顺）-10栋-1001</t>
  </si>
  <si>
    <t>39fbb5b7-69e5-4907-8134-890a996e748e</t>
  </si>
  <si>
    <t>1002</t>
  </si>
  <si>
    <t>贵阳恒大文化旅游城-一期-06地块-高层区（裕顺）-10栋-1002</t>
  </si>
  <si>
    <t>f11e9047-13d4-44bc-8bb5-357f3e978d2a</t>
  </si>
  <si>
    <t>1101</t>
  </si>
  <si>
    <t>贵阳恒大文化旅游城-一期-06地块-高层区（裕顺）-10栋-1101</t>
  </si>
  <si>
    <t>05d7eb98-9c5c-42bf-8126-97453dc01b5f</t>
  </si>
  <si>
    <t>1102</t>
  </si>
  <si>
    <t>贵阳恒大文化旅游城-一期-06地块-高层区（裕顺）-10栋-1102</t>
  </si>
  <si>
    <t>300bece6-3fbf-467e-b28d-2311f1f65b3f</t>
  </si>
  <si>
    <t>1201</t>
  </si>
  <si>
    <t>贵阳恒大文化旅游城-一期-06地块-高层区（裕顺）-10栋-1201</t>
  </si>
  <si>
    <t>d018c18b-d191-45c7-944e-54b9d0c72110</t>
  </si>
  <si>
    <t>1202</t>
  </si>
  <si>
    <t>贵阳恒大文化旅游城-一期-06地块-高层区（裕顺）-10栋-1202</t>
  </si>
  <si>
    <t>7f57b5a8-5492-4abc-901f-baec8b6b4633</t>
  </si>
  <si>
    <t>1301</t>
  </si>
  <si>
    <t>贵阳恒大文化旅游城-一期-06地块-高层区（裕顺）-10栋-1301</t>
  </si>
  <si>
    <t>746fff33-ffd7-4174-bbae-5e8650b42729</t>
  </si>
  <si>
    <t>1302</t>
  </si>
  <si>
    <t>贵阳恒大文化旅游城-一期-06地块-高层区（裕顺）-10栋-1302</t>
  </si>
  <si>
    <t>b31fd8ee-9896-4799-b18d-8f515fd6d25b</t>
  </si>
  <si>
    <t>1401</t>
  </si>
  <si>
    <t>贵阳恒大文化旅游城-一期-06地块-高层区（裕顺）-10栋-1401</t>
  </si>
  <si>
    <t>629d87cf-eaa3-4410-b8b5-0fed970cdeb1</t>
  </si>
  <si>
    <t>1402</t>
  </si>
  <si>
    <t>贵阳恒大文化旅游城-一期-06地块-高层区（裕顺）-10栋-1402</t>
  </si>
  <si>
    <t>950c2ea1-bd19-4798-99e2-2910545fcb8e</t>
  </si>
  <si>
    <t>1502</t>
  </si>
  <si>
    <t>贵阳恒大文化旅游城-一期-06地块-高层区（裕顺）-10栋-1502</t>
  </si>
  <si>
    <t>68ad6e46-ebbf-49dd-8fd7-c39c3b0aa4a1</t>
  </si>
  <si>
    <t>1602</t>
  </si>
  <si>
    <t>f3bc2792-512b-46ea-a13c-d852e1e4455d</t>
  </si>
  <si>
    <t>06地块-高层区（裕顺）-11栋</t>
  </si>
  <si>
    <t>102</t>
  </si>
  <si>
    <t>贵阳恒大文化旅游城-一期-06地块-高层区（裕顺）-11栋-102</t>
  </si>
  <si>
    <t>ca13f0e0-2f80-4ff3-abf7-23025962c11c</t>
  </si>
  <si>
    <t>abb8cf90-3737-4c8a-800d-579803644244</t>
  </si>
  <si>
    <t>贵阳恒大文化旅游城-一期-06地块-高层区（裕顺）-11栋-201</t>
  </si>
  <si>
    <t>d74e8dd9-9597-436b-a896-2df27ade98eb</t>
  </si>
  <si>
    <t>贵阳恒大文化旅游城-一期-06地块-高层区（裕顺）-11栋-202</t>
  </si>
  <si>
    <t>ac158e41-e380-4862-a39f-8ff01bdf4831</t>
  </si>
  <si>
    <t>贵阳恒大文化旅游城-一期-06地块-高层区（裕顺）-11栋-301</t>
  </si>
  <si>
    <t>68359323-aaab-497c-a437-40b4243e91fb</t>
  </si>
  <si>
    <t>贵阳恒大文化旅游城-一期-06地块-高层区（裕顺）-11栋-302</t>
  </si>
  <si>
    <t>36695490-6114-44b7-b43d-ead188183027</t>
  </si>
  <si>
    <t>贵阳恒大文化旅游城-一期-06地块-高层区（裕顺）-11栋-401</t>
  </si>
  <si>
    <t>52282457-7acb-4f41-97d8-e1e3b5c49c23</t>
  </si>
  <si>
    <t>贵阳恒大文化旅游城-一期-06地块-高层区（裕顺）-11栋-402</t>
  </si>
  <si>
    <t>62510293-30ca-4828-aa6c-3c82a0085077</t>
  </si>
  <si>
    <t>贵阳恒大文化旅游城-一期-06地块-高层区（裕顺）-11栋-501</t>
  </si>
  <si>
    <t>b38deff7-52ef-4c28-b228-54b6727ab142</t>
  </si>
  <si>
    <t>502</t>
  </si>
  <si>
    <t>贵阳恒大文化旅游城-一期-06地块-高层区（裕顺）-11栋-502</t>
  </si>
  <si>
    <t>57a5e8cb-1db4-482b-8b60-5d8f6ac9d8b4</t>
  </si>
  <si>
    <t>贵阳恒大文化旅游城-一期-06地块-高层区（裕顺）-11栋-601</t>
  </si>
  <si>
    <t>735a3929-1e9e-4796-9b3d-bd4cd4362e75</t>
  </si>
  <si>
    <t>贵阳恒大文化旅游城-一期-06地块-高层区（裕顺）-11栋-602</t>
  </si>
  <si>
    <t>3e060a72-89dc-41f8-808b-fd193da9c87d</t>
  </si>
  <si>
    <t>贵阳恒大文化旅游城-一期-06地块-高层区（裕顺）-11栋-701</t>
  </si>
  <si>
    <t>06eaca3a-d7cf-446f-b4cf-ec0a8021f8d8</t>
  </si>
  <si>
    <t>702</t>
  </si>
  <si>
    <t>贵阳恒大文化旅游城-一期-06地块-高层区（裕顺）-11栋-702</t>
  </si>
  <si>
    <t>471dc9a7-fb18-4412-b81c-896a1fc4d478</t>
  </si>
  <si>
    <t>贵阳恒大文化旅游城-一期-06地块-高层区（裕顺）-11栋-801</t>
  </si>
  <si>
    <t>0b812dd9-0317-49b3-98b1-daed415f9efd</t>
  </si>
  <si>
    <t>901</t>
  </si>
  <si>
    <t>贵阳恒大文化旅游城-一期-06地块-高层区（裕顺）-11栋-901</t>
  </si>
  <si>
    <t>3ece0e91-73a7-4ae9-8bfa-e2375cf18fc1</t>
  </si>
  <si>
    <t>贵阳恒大文化旅游城-一期-06地块-高层区（裕顺）-11栋-902</t>
  </si>
  <si>
    <t>3690f4eb-b271-43a8-933a-d4ab0d121912</t>
  </si>
  <si>
    <t>贵阳恒大文化旅游城-一期-06地块-高层区（裕顺）-11栋-1001</t>
  </si>
  <si>
    <t>91ebcaac-1f0a-4def-a7da-28b4489f83bc</t>
  </si>
  <si>
    <t>贵阳恒大文化旅游城-一期-06地块-高层区（裕顺）-11栋-1002</t>
  </si>
  <si>
    <t>b8b2b97b-c42c-419c-b861-c7bd3a665dd3</t>
  </si>
  <si>
    <t>贵阳恒大文化旅游城-一期-06地块-高层区（裕顺）-11栋-1102</t>
  </si>
  <si>
    <t>356b15ff-4a12-4bd4-b19d-9c0f650423aa</t>
  </si>
  <si>
    <t>贵阳恒大文化旅游城-一期-06地块-高层区（裕顺）-11栋-1201</t>
  </si>
  <si>
    <t>b242d957-7561-4c4e-89d0-41b4cc3b4e60</t>
  </si>
  <si>
    <t>贵阳恒大文化旅游城-一期-06地块-高层区（裕顺）-11栋-1202</t>
  </si>
  <si>
    <t>31b89eb2-1c03-4d17-949c-8f999543392d</t>
  </si>
  <si>
    <t>贵阳恒大文化旅游城-一期-06地块-高层区（裕顺）-11栋-1301</t>
  </si>
  <si>
    <t>ac285d7f-f1ab-4c40-b582-b25da13e614f</t>
  </si>
  <si>
    <t>1501</t>
  </si>
  <si>
    <t>贵阳恒大文化旅游城-一期-06地块-高层区（裕顺）-11栋-1501</t>
  </si>
  <si>
    <t>d682ee12-4d8c-4ebd-98c3-c6bb43b15312</t>
  </si>
  <si>
    <t>贵阳恒大文化旅游城-一期-06地块-高层区（裕顺）-11栋-1502</t>
  </si>
  <si>
    <t>8eca3f99-f902-49c5-94f3-3465a3543575</t>
  </si>
  <si>
    <t>贵阳恒大文化旅游城-一期-06地块-高层区（裕顺）-11栋-1602</t>
  </si>
  <si>
    <t>ca31e98a-10c9-40cc-8fea-e644d2870773</t>
  </si>
  <si>
    <t>1701</t>
  </si>
  <si>
    <t>贵阳恒大文化旅游城-一期-06地块-高层区（裕顺）-11栋-1701</t>
  </si>
  <si>
    <t>7a2871df-365d-45d1-b66e-a12ec346dd2a</t>
  </si>
  <si>
    <t>1801</t>
  </si>
  <si>
    <t>贵阳恒大文化旅游城-一期-06地块-高层区（裕顺）-11栋-1801</t>
  </si>
  <si>
    <t>3b63c459-8b00-4e99-a748-08cdd507b0d1</t>
  </si>
  <si>
    <t>2902</t>
  </si>
  <si>
    <t>c9968a80-1f2b-4f7c-9dba-b5733fc0b6ff</t>
  </si>
  <si>
    <t>06地块-洋房区（裕顺）-25栋1单元</t>
  </si>
  <si>
    <t>1aa83f73-bffe-451f-a375-20ae621499dd</t>
  </si>
  <si>
    <t>S1(02)</t>
  </si>
  <si>
    <t>三室二厅二卫</t>
  </si>
  <si>
    <t>25c5c8c5-00dd-449d-aabf-a257e113e7d2</t>
  </si>
  <si>
    <t>情景洋房</t>
  </si>
  <si>
    <t>7</t>
  </si>
  <si>
    <t>S1</t>
  </si>
  <si>
    <t>06地块-商铺区（裕顺）-3栋</t>
  </si>
  <si>
    <t>108</t>
  </si>
  <si>
    <t>贵阳恒大文化旅游城-一期-06地块-商铺区（裕顺）-3栋-108</t>
  </si>
  <si>
    <t>b884c14e-7058-40cc-827a-67c9941a6553</t>
  </si>
  <si>
    <t>商铺</t>
  </si>
  <si>
    <t>DS01（底商一层）</t>
  </si>
  <si>
    <t>627061ab-5c50-4a29-9f4d-ee2292b23b0c</t>
  </si>
  <si>
    <t>1</t>
  </si>
  <si>
    <t>DS01</t>
  </si>
  <si>
    <t>111</t>
  </si>
  <si>
    <t>c1c98eb6-3cee-4b9d-b41f-59adc6010d01</t>
  </si>
  <si>
    <t>06地块-商铺区（裕顺）-4栋</t>
  </si>
  <si>
    <t>dc0b14fd-4217-46c9-b6d7-6466b23be5bc</t>
  </si>
  <si>
    <t>28e3c5ab-a69d-43fa-a4d0-4bfa51997b8e</t>
  </si>
  <si>
    <t>06地块-商铺区（裕顺）-16栋</t>
  </si>
  <si>
    <t>贵阳恒大文化旅游城-一期-06地块-商铺区（裕顺）-16栋-102</t>
  </si>
  <si>
    <t>b039cf4c-d3d8-44e3-90d2-3b2ce974ffb0</t>
  </si>
  <si>
    <t>9c17823d-a051-4210-8553-1e07ac5f3045</t>
  </si>
  <si>
    <t>103</t>
  </si>
  <si>
    <t>贵阳恒大文化旅游城-一期-06地块-商铺区（裕顺）-16栋-103</t>
  </si>
  <si>
    <t>c59223ec-8ba5-47ee-afac-c9c8b7af0134</t>
  </si>
  <si>
    <t>106</t>
  </si>
  <si>
    <t>贵阳恒大文化旅游城-一期-06地块-商铺区（裕顺）-16栋-106</t>
  </si>
  <si>
    <t>cf69e938-379e-40b1-81aa-23d29d46c5c2</t>
  </si>
  <si>
    <t>ad014d22-4ef1-426f-9424-53dc9789718c</t>
  </si>
  <si>
    <t>06地块-商铺区（裕顺）-20栋</t>
  </si>
  <si>
    <t>贵阳恒大文化旅游城-一期-06地块-商铺区（裕顺）-20栋-101</t>
  </si>
  <si>
    <t>20412dce-7401-457c-89a8-9acfcf95d312</t>
  </si>
  <si>
    <t>702f4382-40d5-4005-873a-c6b5f411d812</t>
  </si>
  <si>
    <t>105</t>
  </si>
  <si>
    <t>贵阳恒大文化旅游城-一期-06地块-商铺区（裕顺）-20栋-105</t>
  </si>
  <si>
    <t>074ee70f-bb6d-48df-8572-d4971bf321c6</t>
  </si>
  <si>
    <t>贵阳恒大文化旅游城-一期-06地块-商铺区（裕顺）-20栋-106</t>
  </si>
  <si>
    <t>9b3f7f4f-a2e0-4485-a596-288a57bc7011</t>
  </si>
  <si>
    <t>107</t>
  </si>
  <si>
    <t>贵阳恒大文化旅游城-一期-06地块-商铺区（裕顺）-20栋-107</t>
  </si>
  <si>
    <t>61e04099-9ec6-401c-9e93-ce98d9dd0472</t>
  </si>
  <si>
    <t>贵阳恒大文化旅游城-一期-06地块-商铺区（裕顺）-20栋-108</t>
  </si>
  <si>
    <t>04343131-f60e-41be-8279-666984c72eee</t>
  </si>
  <si>
    <t>109</t>
  </si>
  <si>
    <t>969b1991-bb57-4105-840f-fee879d37c31</t>
  </si>
  <si>
    <t>06地块-商铺区（裕顺）-24栋</t>
  </si>
  <si>
    <t>贵阳恒大文化旅游城-一期-06地块-商铺区（裕顺）-24栋-101</t>
  </si>
  <si>
    <t>bdde7fdf-30d1-4805-ae36-e3bfa499176e</t>
  </si>
  <si>
    <t>0ed41ec1-5d67-4f1a-b844-c966d8327720</t>
  </si>
  <si>
    <t>贵阳恒大文化旅游城-一期-06地块-商铺区（裕顺）-24栋-103</t>
  </si>
  <si>
    <t>3834ea97-4ed5-4f4f-909c-e2968330f216</t>
  </si>
  <si>
    <t>104</t>
  </si>
  <si>
    <t>贵阳恒大文化旅游城-一期-06地块-商铺区（裕顺）-24栋-104</t>
  </si>
  <si>
    <t>a56478b9-eb2b-45c1-abfb-8c569158601b</t>
  </si>
  <si>
    <t>贵阳恒大文化旅游城-一期-06地块-商铺区（裕顺）-24栋-106</t>
  </si>
  <si>
    <t>6eae6a21-2e80-478a-8214-5515ec194e2d</t>
  </si>
  <si>
    <t>贵阳恒大文化旅游城-一期-06地块-商铺区（裕顺）-24栋-107</t>
  </si>
  <si>
    <t>5b0c9235-a23e-4a65-a684-75b4a43151b4</t>
  </si>
  <si>
    <t>贵阳恒大文化旅游城-一期-06地块-商铺区（裕顺）-24栋-109</t>
  </si>
  <si>
    <t>b5a9a4dc-13fa-48d2-8c4a-c3d52e8f2521</t>
  </si>
  <si>
    <t>110</t>
  </si>
  <si>
    <t>贵阳恒大文化旅游城-一期-06地块-商铺区（裕顺）-24栋-110</t>
  </si>
  <si>
    <t>d2236468-9587-41ce-8dc6-d595fbaf6501</t>
  </si>
  <si>
    <t>112</t>
  </si>
  <si>
    <t>贵阳恒大文化旅游城-一期-06地块-商铺区（裕顺）-24栋-112</t>
  </si>
  <si>
    <t>426c1dbd-6779-4188-9650-77497c676555</t>
  </si>
  <si>
    <t>113</t>
  </si>
  <si>
    <t>贵阳恒大文化旅游城-一期-06地块-商铺区（裕顺）-24栋-113</t>
  </si>
  <si>
    <t>97b19764-7e1c-4cf2-a708-20a6b0f27ce8</t>
  </si>
  <si>
    <t>115</t>
  </si>
  <si>
    <t>贵阳恒大文化旅游城-一期-06地块-商铺区（裕顺）-24栋-115</t>
  </si>
  <si>
    <t>22109d76-4b9e-4534-bd55-711a65ec5933</t>
  </si>
  <si>
    <t>116</t>
  </si>
  <si>
    <t>贵阳恒大文化旅游城-一期-06地块-商铺区（裕顺）-24栋-116</t>
  </si>
  <si>
    <t>02ff43bc-c82f-4f88-8704-bc346ccbd820</t>
  </si>
  <si>
    <t>118</t>
  </si>
  <si>
    <t>5d6b6697-98da-45b8-b63e-a47744cfaad5</t>
  </si>
  <si>
    <t>06地块-商铺区（裕顺）-25栋</t>
  </si>
  <si>
    <t>大众早餐店</t>
  </si>
  <si>
    <t>贵阳恒大文化旅游城-一期-06地块-商铺区（裕顺）-25栋-大众早餐店</t>
  </si>
  <si>
    <t>a11e5f3d-040d-41b3-a24e-ea6daa8e19b1</t>
  </si>
  <si>
    <t>25b60b43-3947-4287-883d-80bc5ab2c724</t>
  </si>
  <si>
    <t>贵阳恒大文化旅游城-一期-06地块-商铺区（裕顺）-25栋-103</t>
  </si>
  <si>
    <t>f626cef0-87ea-44ed-a292-5321e0c55014</t>
  </si>
  <si>
    <t>贵阳恒大文化旅游城-一期-06地块-商铺区（裕顺）-25栋-104</t>
  </si>
  <si>
    <t>4d31c71c-4472-4156-a5c6-873138b28cf2</t>
  </si>
  <si>
    <t>贵阳恒大文化旅游城-一期-06地块-商铺区（裕顺）-25栋-106</t>
  </si>
  <si>
    <t>5a87c8e9-557c-47cb-b527-e2bbce5938f1</t>
  </si>
  <si>
    <t>贵阳恒大文化旅游城-一期-06地块-商铺区（裕顺）-25栋-107</t>
  </si>
  <si>
    <t>4ee84198-89a9-4934-8457-2c61dbb044f6</t>
  </si>
  <si>
    <t>贵阳恒大文化旅游城-一期-06地块-商铺区（裕顺）-25栋-109</t>
  </si>
  <si>
    <t>0331bc03-ba36-4b7a-a562-329ceae166a0</t>
  </si>
  <si>
    <t>贵阳恒大文化旅游城-一期-06地块-商铺区（裕顺）-25栋-110</t>
  </si>
  <si>
    <t>e13ff118-2ea0-4bcd-91dc-03560a6568c4</t>
  </si>
  <si>
    <t>204d7e57-50d6-4723-8424-c2abef9c2035</t>
  </si>
  <si>
    <t>07地块-高层区（裕顺）-1栋</t>
  </si>
  <si>
    <t>204</t>
  </si>
  <si>
    <t>贵阳恒大文化旅游城-一期-07地块-高层区（裕顺）-1栋-204</t>
  </si>
  <si>
    <t>66b84d8a-a5ad-4869-a11b-f4a78dc21a39</t>
  </si>
  <si>
    <t>L6(04)</t>
  </si>
  <si>
    <t>171c66d7-fb6e-4136-92d4-b266b48bec02</t>
  </si>
  <si>
    <t>29</t>
  </si>
  <si>
    <t>'07'</t>
  </si>
  <si>
    <t>贵阳恒大文化旅游城-一期-07地块-高层区（裕顺）-1栋-302</t>
  </si>
  <si>
    <t>c60f9104-0d8e-43cc-b007-7c1a2c18616f</t>
  </si>
  <si>
    <t>L6(02)</t>
  </si>
  <si>
    <t>303</t>
  </si>
  <si>
    <t>贵阳恒大文化旅游城-一期-07地块-高层区（裕顺）-1栋-303</t>
  </si>
  <si>
    <t>881aaecd-7040-4b10-aff8-7be5b37e7fc8</t>
  </si>
  <si>
    <t>L6(03)</t>
  </si>
  <si>
    <t>贵阳恒大文化旅游城-一期-07地块-高层区（裕顺）-1栋-402</t>
  </si>
  <si>
    <t>1055330b-d690-4420-9365-9cb43f25e82d</t>
  </si>
  <si>
    <t>403</t>
  </si>
  <si>
    <t>贵阳恒大文化旅游城-一期-07地块-高层区（裕顺）-1栋-403</t>
  </si>
  <si>
    <t>05fdf9bf-3c7e-411e-98f5-bb4cfda3a2b5</t>
  </si>
  <si>
    <t>404</t>
  </si>
  <si>
    <t>贵阳恒大文化旅游城-一期-07地块-高层区（裕顺）-1栋-404</t>
  </si>
  <si>
    <t>1540cbcf-961e-4694-8880-24511f388133</t>
  </si>
  <si>
    <t>贵阳恒大文化旅游城-一期-07地块-高层区（裕顺）-1栋-502</t>
  </si>
  <si>
    <t>1c11d1d9-7682-42b4-8476-78be1f9f9da6</t>
  </si>
  <si>
    <t>503</t>
  </si>
  <si>
    <t>贵阳恒大文化旅游城-一期-07地块-高层区（裕顺）-1栋-503</t>
  </si>
  <si>
    <t>25f0d52c-57d7-407b-9819-eb58e411f15d</t>
  </si>
  <si>
    <t>贵阳恒大文化旅游城-一期-07地块-高层区（裕顺）-1栋-602</t>
  </si>
  <si>
    <t>08655512-a915-431a-a815-a1a1082fda20</t>
  </si>
  <si>
    <t>603</t>
  </si>
  <si>
    <t>贵阳恒大文化旅游城-一期-07地块-高层区（裕顺）-1栋-603</t>
  </si>
  <si>
    <t>f78a2d25-7864-4fdd-b679-f5b6224334a8</t>
  </si>
  <si>
    <t>贵阳恒大文化旅游城-一期-07地块-高层区（裕顺）-1栋-702</t>
  </si>
  <si>
    <t>c7dfd5f7-ecb5-4f99-8094-413e1525717e</t>
  </si>
  <si>
    <t>703</t>
  </si>
  <si>
    <t>贵阳恒大文化旅游城-一期-07地块-高层区（裕顺）-1栋-703</t>
  </si>
  <si>
    <t>9b3f139c-722d-47bc-bc4d-ea5f561f467d</t>
  </si>
  <si>
    <t>贵阳恒大文化旅游城-一期-07地块-高层区（裕顺）-1栋-902</t>
  </si>
  <si>
    <t>3cdf736c-36cb-4da4-9c5d-378663ff3b6d</t>
  </si>
  <si>
    <t>903</t>
  </si>
  <si>
    <t>贵阳恒大文化旅游城-一期-07地块-高层区（裕顺）-1栋-903</t>
  </si>
  <si>
    <t>c042d801-05a2-41f7-8970-faebf7ba7395</t>
  </si>
  <si>
    <t>贵阳恒大文化旅游城-一期-07地块-高层区（裕顺）-1栋-1002</t>
  </si>
  <si>
    <t>46026495-8c22-46b4-8118-f7841705e3d2</t>
  </si>
  <si>
    <t>1003</t>
  </si>
  <si>
    <t>贵阳恒大文化旅游城-一期-07地块-高层区（裕顺）-1栋-1003</t>
  </si>
  <si>
    <t>4e4df1c4-22d4-426f-99bb-8f659f705449</t>
  </si>
  <si>
    <t>1103</t>
  </si>
  <si>
    <t>贵阳恒大文化旅游城-一期-07地块-高层区（裕顺）-1栋-1103</t>
  </si>
  <si>
    <t>a0768614-2dc8-46cd-a30e-8b6d4abc4193</t>
  </si>
  <si>
    <t>贵阳恒大文化旅游城-一期-07地块-高层区（裕顺）-1栋-1302</t>
  </si>
  <si>
    <t>d9f57f77-fe25-4ec5-86c6-e9eb388196a2</t>
  </si>
  <si>
    <t>1303</t>
  </si>
  <si>
    <t>贵阳恒大文化旅游城-一期-07地块-高层区（裕顺）-1栋-1303</t>
  </si>
  <si>
    <t>c2c6ab62-84ed-4047-8bb5-fced0adcebe1</t>
  </si>
  <si>
    <t>贵阳恒大文化旅游城-一期-07地块-高层区（裕顺）-1栋-1402</t>
  </si>
  <si>
    <t>d3a64c8a-7024-42a3-9b92-ee28646b4966</t>
  </si>
  <si>
    <t>1403</t>
  </si>
  <si>
    <t>贵阳恒大文化旅游城-一期-07地块-高层区（裕顺）-1栋-1403</t>
  </si>
  <si>
    <t>c9612da3-602b-41e8-9e40-6cfa4e5fe28a</t>
  </si>
  <si>
    <t>贵阳恒大文化旅游城-一期-07地块-高层区（裕顺）-1栋-1502</t>
  </si>
  <si>
    <t>d6df16f6-d85f-4176-9257-736596156313</t>
  </si>
  <si>
    <t>1503</t>
  </si>
  <si>
    <t>贵阳恒大文化旅游城-一期-07地块-高层区（裕顺）-1栋-1503</t>
  </si>
  <si>
    <t>f52be7f2-6a16-44fe-8df6-ee7351ba958d</t>
  </si>
  <si>
    <t>1702</t>
  </si>
  <si>
    <t>贵阳恒大文化旅游城-一期-07地块-高层区（裕顺）-1栋-1702</t>
  </si>
  <si>
    <t>4efb9ddc-e3f0-40e8-9c4c-65a024aca73e</t>
  </si>
  <si>
    <t>1703</t>
  </si>
  <si>
    <t>贵阳恒大文化旅游城-一期-07地块-高层区（裕顺）-1栋-1703</t>
  </si>
  <si>
    <t>936e8c97-4e8c-475a-8bf6-b2a4f0a5e5a7</t>
  </si>
  <si>
    <t>1802</t>
  </si>
  <si>
    <t>贵阳恒大文化旅游城-一期-07地块-高层区（裕顺）-1栋-1802</t>
  </si>
  <si>
    <t>c4a715e2-ace1-449e-9e60-7343ebb7ddeb</t>
  </si>
  <si>
    <t>1803</t>
  </si>
  <si>
    <t>贵阳恒大文化旅游城-一期-07地块-高层区（裕顺）-1栋-1803</t>
  </si>
  <si>
    <t>df2debb8-a945-4446-99c1-972e5366e892</t>
  </si>
  <si>
    <t>2003</t>
  </si>
  <si>
    <t>贵阳恒大文化旅游城-一期-07地块-高层区（裕顺）-1栋-2003</t>
  </si>
  <si>
    <t>749b5e52-c8e2-4564-8f71-de3c9d9922c8</t>
  </si>
  <si>
    <t>2102</t>
  </si>
  <si>
    <t>贵阳恒大文化旅游城-一期-07地块-高层区（裕顺）-1栋-2102</t>
  </si>
  <si>
    <t>0ef6809e-95f6-4796-8a4d-0f835901a66a</t>
  </si>
  <si>
    <t>2103</t>
  </si>
  <si>
    <t>贵阳恒大文化旅游城-一期-07地块-高层区（裕顺）-1栋-2103</t>
  </si>
  <si>
    <t>0e388b5c-030c-462d-9803-a4248286669d</t>
  </si>
  <si>
    <t>2202</t>
  </si>
  <si>
    <t>贵阳恒大文化旅游城-一期-07地块-高层区（裕顺）-1栋-2202</t>
  </si>
  <si>
    <t>0ad15419-9f79-4835-a7f9-0e7dd095e8e9</t>
  </si>
  <si>
    <t>2203</t>
  </si>
  <si>
    <t>贵阳恒大文化旅游城-一期-07地块-高层区（裕顺）-1栋-2203</t>
  </si>
  <si>
    <t>34556aa7-994c-4cef-95ff-4f48195da987</t>
  </si>
  <si>
    <t>2302</t>
  </si>
  <si>
    <t>贵阳恒大文化旅游城-一期-07地块-高层区（裕顺）-1栋-2302</t>
  </si>
  <si>
    <t>ebe365e0-38c1-4062-bb02-e1038a48dbe2</t>
  </si>
  <si>
    <t>2303</t>
  </si>
  <si>
    <t>贵阳恒大文化旅游城-一期-07地块-高层区（裕顺）-1栋-2303</t>
  </si>
  <si>
    <t>125e9f5a-aad0-4875-98ca-144845413824</t>
  </si>
  <si>
    <t>2402</t>
  </si>
  <si>
    <t>贵阳恒大文化旅游城-一期-07地块-高层区（裕顺）-1栋-2402</t>
  </si>
  <si>
    <t>5736e149-11b9-4a48-86cd-cfca040d0e76</t>
  </si>
  <si>
    <t>2403</t>
  </si>
  <si>
    <t>贵阳恒大文化旅游城-一期-07地块-高层区（裕顺）-1栋-2403</t>
  </si>
  <si>
    <t>1b5c3db0-eff3-49b6-ba83-dc4bc2380531</t>
  </si>
  <si>
    <t>2502</t>
  </si>
  <si>
    <t>贵阳恒大文化旅游城-一期-07地块-高层区（裕顺）-1栋-2502</t>
  </si>
  <si>
    <t>c15fe07b-d75c-44a2-bc0e-f6998c9f1146</t>
  </si>
  <si>
    <t>2503</t>
  </si>
  <si>
    <t>贵阳恒大文化旅游城-一期-07地块-高层区（裕顺）-1栋-2503</t>
  </si>
  <si>
    <t>5917770d-2e87-412c-ae95-9b4c803f1520</t>
  </si>
  <si>
    <t>2602</t>
  </si>
  <si>
    <t>贵阳恒大文化旅游城-一期-07地块-高层区（裕顺）-1栋-2602</t>
  </si>
  <si>
    <t>275a7818-1059-441b-9e45-7ebe79c74c91</t>
  </si>
  <si>
    <t>2603</t>
  </si>
  <si>
    <t>贵阳恒大文化旅游城-一期-07地块-高层区（裕顺）-1栋-2603</t>
  </si>
  <si>
    <t>a82ece5f-6ee6-43cb-abb1-ecfed3434162</t>
  </si>
  <si>
    <t>2702</t>
  </si>
  <si>
    <t>贵阳恒大文化旅游城-一期-07地块-高层区（裕顺）-1栋-2702</t>
  </si>
  <si>
    <t>621d1330-3d63-487a-88c3-8a7cd6b5bca9</t>
  </si>
  <si>
    <t>2703</t>
  </si>
  <si>
    <t>贵阳恒大文化旅游城-一期-07地块-高层区（裕顺）-1栋-2703</t>
  </si>
  <si>
    <t>d97f46aa-6d80-4b1c-a7db-6b2a83443174</t>
  </si>
  <si>
    <t>2802</t>
  </si>
  <si>
    <t>贵阳恒大文化旅游城-一期-07地块-高层区（裕顺）-1栋-2802</t>
  </si>
  <si>
    <t>f6023e14-2871-4f95-a8dd-a54ce8618ac5</t>
  </si>
  <si>
    <t>2803</t>
  </si>
  <si>
    <t>贵阳恒大文化旅游城-一期-07地块-高层区（裕顺）-1栋-2803</t>
  </si>
  <si>
    <t>75622e7e-8336-4b84-954d-4523bca33c4b</t>
  </si>
  <si>
    <t>2804</t>
  </si>
  <si>
    <t>贵阳恒大文化旅游城-一期-07地块-高层区（裕顺）-1栋-2804</t>
  </si>
  <si>
    <t>9f142cbe-2afd-4a8a-8302-69b1c88fc646</t>
  </si>
  <si>
    <t>2901</t>
  </si>
  <si>
    <t>贵阳恒大文化旅游城-一期-07地块-高层区（裕顺）-1栋-2901</t>
  </si>
  <si>
    <t>fbaf6e03-22aa-4afd-9e4b-817bf14b3a16</t>
  </si>
  <si>
    <t>L6(01)</t>
  </si>
  <si>
    <t>顶层</t>
  </si>
  <si>
    <t>贵阳恒大文化旅游城-一期-07地块-高层区（裕顺）-1栋-2902</t>
  </si>
  <si>
    <t>7b17d35a-2109-484a-a5ea-d21524616a29</t>
  </si>
  <si>
    <t>2903</t>
  </si>
  <si>
    <t>aa826185-c371-40bd-a94f-4561b791f68c</t>
  </si>
  <si>
    <t>07地块-高层区（裕顺）-4栋</t>
  </si>
  <si>
    <t>贵阳恒大文化旅游城-一期-07地块-高层区（裕顺）-4栋-202</t>
  </si>
  <si>
    <t>6148edfd-d642-4e4f-9b10-750588e331c0</t>
  </si>
  <si>
    <t>L3(02)</t>
  </si>
  <si>
    <t>9655b219-6a91-459e-8b25-62443cd1ac79</t>
  </si>
  <si>
    <t>203</t>
  </si>
  <si>
    <t>贵阳恒大文化旅游城-一期-07地块-高层区（裕顺）-4栋-203</t>
  </si>
  <si>
    <t>44a6a652-f628-4bc1-a8d2-2b3921074190</t>
  </si>
  <si>
    <t>L3(03)</t>
  </si>
  <si>
    <t>贵阳恒大文化旅游城-一期-07地块-高层区（裕顺）-4栋-302</t>
  </si>
  <si>
    <t>10e29572-df26-45fc-8add-54b6147b9ca5</t>
  </si>
  <si>
    <t>贵阳恒大文化旅游城-一期-07地块-高层区（裕顺）-4栋-303</t>
  </si>
  <si>
    <t>8691ba1a-e050-48a5-a54c-9bc7abc78868</t>
  </si>
  <si>
    <t>贵阳恒大文化旅游城-一期-07地块-高层区（裕顺）-4栋-402</t>
  </si>
  <si>
    <t>372a180d-13bc-49c0-b2af-bc2993c33066</t>
  </si>
  <si>
    <t>贵阳恒大文化旅游城-一期-07地块-高层区（裕顺）-4栋-403</t>
  </si>
  <si>
    <t>71bc711d-b7ae-4a9a-87b7-c9e5ac071b96</t>
  </si>
  <si>
    <t>贵阳恒大文化旅游城-一期-07地块-高层区（裕顺）-4栋-502</t>
  </si>
  <si>
    <t>aa4e3562-5649-485a-9f07-4a2155c3cb4a</t>
  </si>
  <si>
    <t>贵阳恒大文化旅游城-一期-07地块-高层区（裕顺）-4栋-503</t>
  </si>
  <si>
    <t>7352da16-374c-4c02-aa98-f451d58ae8a2</t>
  </si>
  <si>
    <t>贵阳恒大文化旅游城-一期-07地块-高层区（裕顺）-4栋-602</t>
  </si>
  <si>
    <t>dc5a873c-daa2-43a0-a94e-f4435f99ae47</t>
  </si>
  <si>
    <t>贵阳恒大文化旅游城-一期-07地块-高层区（裕顺）-4栋-603</t>
  </si>
  <si>
    <t>a2e0f9f0-abf9-446a-b247-292d00b086db</t>
  </si>
  <si>
    <t>贵阳恒大文化旅游城-一期-07地块-高层区（裕顺）-4栋-703</t>
  </si>
  <si>
    <t>13d88bd0-3146-4654-ab42-08adf8204b52</t>
  </si>
  <si>
    <t>803</t>
  </si>
  <si>
    <t>贵阳恒大文化旅游城-一期-07地块-高层区（裕顺）-4栋-803</t>
  </si>
  <si>
    <t>1de560d9-0d80-44cb-871c-ea285f247e22</t>
  </si>
  <si>
    <t>贵阳恒大文化旅游城-一期-07地块-高层区（裕顺）-4栋-903</t>
  </si>
  <si>
    <t>81be5001-563e-498f-b3fd-3f9fe71e121f</t>
  </si>
  <si>
    <t>贵阳恒大文化旅游城-一期-07地块-高层区（裕顺）-4栋-1003</t>
  </si>
  <si>
    <t>937ff527-a808-4ce8-8174-3333206a94a5</t>
  </si>
  <si>
    <t>贵阳恒大文化旅游城-一期-07地块-高层区（裕顺）-4栋-1102</t>
  </si>
  <si>
    <t>a487ccd0-a1a5-4982-8eea-5d5afc3fcf93</t>
  </si>
  <si>
    <t>贵阳恒大文化旅游城-一期-07地块-高层区（裕顺）-4栋-1103</t>
  </si>
  <si>
    <t>d072ec28-5f51-4b4b-b540-d0f9825881b9</t>
  </si>
  <si>
    <t>1203</t>
  </si>
  <si>
    <t>贵阳恒大文化旅游城-一期-07地块-高层区（裕顺）-4栋-1203</t>
  </si>
  <si>
    <t>1530fe9d-8af7-48be-9124-27dab9faf78a</t>
  </si>
  <si>
    <t>贵阳恒大文化旅游城-一期-07地块-高层区（裕顺）-4栋-1303</t>
  </si>
  <si>
    <t>eac7381b-2167-4957-88a4-5c205f303013</t>
  </si>
  <si>
    <t>贵阳恒大文化旅游城-一期-07地块-高层区（裕顺）-4栋-1402</t>
  </si>
  <si>
    <t>fbed210c-271e-408e-ab9d-e81e24a19854</t>
  </si>
  <si>
    <t>贵阳恒大文化旅游城-一期-07地块-高层区（裕顺）-4栋-1403</t>
  </si>
  <si>
    <t>3c951052-1466-4ecf-a62d-9ce6ab9d0dd9</t>
  </si>
  <si>
    <t>贵阳恒大文化旅游城-一期-07地块-高层区（裕顺）-4栋-1503</t>
  </si>
  <si>
    <t>9ae811cb-6b46-4957-8afe-0cec1b2fe916</t>
  </si>
  <si>
    <t>1603</t>
  </si>
  <si>
    <t>贵阳恒大文化旅游城-一期-07地块-高层区（裕顺）-4栋-1603</t>
  </si>
  <si>
    <t>239c2a35-17b4-48f2-8cb4-9ef43654077f</t>
  </si>
  <si>
    <t>贵阳恒大文化旅游城-一期-07地块-高层区（裕顺）-4栋-1703</t>
  </si>
  <si>
    <t>2db0871e-0a5a-4fcd-a2da-57290d478073</t>
  </si>
  <si>
    <t>贵阳恒大文化旅游城-一期-07地块-高层区（裕顺）-4栋-1802</t>
  </si>
  <si>
    <t>263bf489-0d23-431e-a7de-5dd36ae9937e</t>
  </si>
  <si>
    <t>贵阳恒大文化旅游城-一期-07地块-高层区（裕顺）-4栋-1803</t>
  </si>
  <si>
    <t>f4e98317-9543-47b7-a98b-6f3f6e41cd41</t>
  </si>
  <si>
    <t>1903</t>
  </si>
  <si>
    <t>贵阳恒大文化旅游城-一期-07地块-高层区（裕顺）-4栋-1903</t>
  </si>
  <si>
    <t>1c2d849d-f89e-49ed-9076-361536e12cab</t>
  </si>
  <si>
    <t>贵阳恒大文化旅游城-一期-07地块-高层区（裕顺）-4栋-2003</t>
  </si>
  <si>
    <t>f15d0c88-0e41-48a9-a049-e35598e31c26</t>
  </si>
  <si>
    <t>贵阳恒大文化旅游城-一期-07地块-高层区（裕顺）-4栋-2103</t>
  </si>
  <si>
    <t>0488184b-9e20-409d-87ef-d0e94e178274</t>
  </si>
  <si>
    <t>贵阳恒大文化旅游城-一期-07地块-高层区（裕顺）-4栋-2203</t>
  </si>
  <si>
    <t>90382e35-dc01-4666-bcba-1085d40816f3</t>
  </si>
  <si>
    <t>贵阳恒大文化旅游城-一期-07地块-高层区（裕顺）-4栋-2803</t>
  </si>
  <si>
    <t>b21e7d2d-7477-4ba7-9431-b030fd803c10</t>
  </si>
  <si>
    <t>贵阳恒大文化旅游城-一期-07地块-高层区（裕顺）-4栋-2903</t>
  </si>
  <si>
    <t>e260efb6-e4c5-41eb-a767-88736afe585e</t>
  </si>
  <si>
    <t>3002</t>
  </si>
  <si>
    <t>贵阳恒大文化旅游城-一期-07地块-高层区（裕顺）-4栋-3002</t>
  </si>
  <si>
    <t>5fd9313c-30a5-4883-a650-b30c8af102d2</t>
  </si>
  <si>
    <t>3003</t>
  </si>
  <si>
    <t>贵阳恒大文化旅游城-一期-07地块-高层区（裕顺）-4栋-3003</t>
  </si>
  <si>
    <t>17c76e0f-00d9-4bd3-a512-56ca7c3e9389</t>
  </si>
  <si>
    <t>3102</t>
  </si>
  <si>
    <t>贵阳恒大文化旅游城-一期-07地块-高层区（裕顺）-4栋-3102</t>
  </si>
  <si>
    <t>310a97eb-8989-4a1d-932b-0e809d547efb</t>
  </si>
  <si>
    <t>3103</t>
  </si>
  <si>
    <t>贵阳恒大文化旅游城-一期-07地块-高层区（裕顺）-4栋-3103</t>
  </si>
  <si>
    <t>22592f98-561c-4662-b8c8-076a1cf1a8d8</t>
  </si>
  <si>
    <t>3202</t>
  </si>
  <si>
    <t>贵阳恒大文化旅游城-一期-07地块-高层区（裕顺）-4栋-3202</t>
  </si>
  <si>
    <t>23b0f716-54d0-4cc8-8e8c-b05945c959fe</t>
  </si>
  <si>
    <t>3203</t>
  </si>
  <si>
    <t>1ae4c55a-7d7d-4fff-bca9-587bbcc36908</t>
  </si>
  <si>
    <t>07地块-高层区（裕顺）-7栋1单元</t>
  </si>
  <si>
    <t>贵阳恒大文化旅游城-一期-07地块-高层区（裕顺）-7栋1单元-201</t>
  </si>
  <si>
    <t>72e8b11b-dc8b-49b0-97f2-df9a88235cce</t>
  </si>
  <si>
    <t>L3(01)</t>
  </si>
  <si>
    <t>三室二厅一卫</t>
  </si>
  <si>
    <t>5f889945-46ef-49b3-a1f6-3a9d3a6de682</t>
  </si>
  <si>
    <t>28</t>
  </si>
  <si>
    <t>贵阳恒大文化旅游城-一期-07地块-高层区（裕顺）-7栋1单元-202</t>
  </si>
  <si>
    <t>a096ab1d-e05a-4aec-9ad3-a68f20c8c1c0</t>
  </si>
  <si>
    <t>贵阳恒大文化旅游城-一期-07地块-高层区（裕顺）-7栋1单元-203</t>
  </si>
  <si>
    <t>10c06092-060a-412c-bbb9-9096507b33a4</t>
  </si>
  <si>
    <t>贵阳恒大文化旅游城-一期-07地块-高层区（裕顺）-7栋1单元-204</t>
  </si>
  <si>
    <t>581f4842-a4ac-427a-963e-1f6e93d728d5</t>
  </si>
  <si>
    <t>L3(04)</t>
  </si>
  <si>
    <t>贵阳恒大文化旅游城-一期-07地块-高层区（裕顺）-7栋1单元-302</t>
  </si>
  <si>
    <t>bc43d98b-29de-4cf2-ab9a-6332898d198d</t>
  </si>
  <si>
    <t>贵阳恒大文化旅游城-一期-07地块-高层区（裕顺）-7栋1单元-303</t>
  </si>
  <si>
    <t>97b9c768-e643-43d5-88e5-23e8545aa1ce</t>
  </si>
  <si>
    <t>304</t>
  </si>
  <si>
    <t>贵阳恒大文化旅游城-一期-07地块-高层区（裕顺）-7栋1单元-304</t>
  </si>
  <si>
    <t>eca9adc7-a91a-4f10-97e3-279629ea835c</t>
  </si>
  <si>
    <t>贵阳恒大文化旅游城-一期-07地块-高层区（裕顺）-7栋1单元-401</t>
  </si>
  <si>
    <t>0571628b-fc6a-420f-820a-ba1b7b23a475</t>
  </si>
  <si>
    <t>贵阳恒大文化旅游城-一期-07地块-高层区（裕顺）-7栋1单元-402</t>
  </si>
  <si>
    <t>b9f145d4-7438-47ad-aced-c9bee0bbe76a</t>
  </si>
  <si>
    <t>贵阳恒大文化旅游城-一期-07地块-高层区（裕顺）-7栋1单元-403</t>
  </si>
  <si>
    <t>96d3c261-5c59-4ae8-99aa-a98269bea8b5</t>
  </si>
  <si>
    <t>贵阳恒大文化旅游城-一期-07地块-高层区（裕顺）-7栋1单元-404</t>
  </si>
  <si>
    <t>826347b3-02e3-46aa-b985-8adccf9cba0a</t>
  </si>
  <si>
    <t>贵阳恒大文化旅游城-一期-07地块-高层区（裕顺）-7栋1单元-503</t>
  </si>
  <si>
    <t>a3d7ab21-ff2b-4f05-9da8-9a57db365079</t>
  </si>
  <si>
    <t>504</t>
  </si>
  <si>
    <t>贵阳恒大文化旅游城-一期-07地块-高层区（裕顺）-7栋1单元-504</t>
  </si>
  <si>
    <t>73a7fe52-e75f-4d46-940e-14602585b324</t>
  </si>
  <si>
    <t>贵阳恒大文化旅游城-一期-07地块-高层区（裕顺）-7栋1单元-602</t>
  </si>
  <si>
    <t>dbff8a5e-3a0f-4727-9787-7c0399e49378</t>
  </si>
  <si>
    <t>贵阳恒大文化旅游城-一期-07地块-高层区（裕顺）-7栋1单元-702</t>
  </si>
  <si>
    <t>12667b3d-08ce-4065-a855-5477dea03ed3</t>
  </si>
  <si>
    <t>贵阳恒大文化旅游城-一期-07地块-高层区（裕顺）-7栋1单元-802</t>
  </si>
  <si>
    <t>846dbf22-a1a9-4229-b93c-3d2426cf51ce</t>
  </si>
  <si>
    <t>贵阳恒大文化旅游城-一期-07地块-高层区（裕顺）-7栋1单元-803</t>
  </si>
  <si>
    <t>7c485f33-c7de-45c8-8ef1-d780b78647df</t>
  </si>
  <si>
    <t>贵阳恒大文化旅游城-一期-07地块-高层区（裕顺）-7栋1单元-1002</t>
  </si>
  <si>
    <t>7dcfadf9-63e3-4864-ac61-2920227f42a0</t>
  </si>
  <si>
    <t>贵阳恒大文化旅游城-一期-07地块-高层区（裕顺）-7栋1单元-1102</t>
  </si>
  <si>
    <t>62fe1ed7-aa3e-4b4d-8e1c-4351145a0dc4</t>
  </si>
  <si>
    <t>1304</t>
  </si>
  <si>
    <t>贵阳恒大文化旅游城-一期-07地块-高层区（裕顺）-7栋1单元-1304</t>
  </si>
  <si>
    <t>a1e9c865-aed7-4ed4-afc3-822b69c81831</t>
  </si>
  <si>
    <t>贵阳恒大文化旅游城-一期-07地块-高层区（裕顺）-7栋1单元-1401</t>
  </si>
  <si>
    <t>689caf6d-2ddc-43be-b2fc-318bf076c02a</t>
  </si>
  <si>
    <t>贵阳恒大文化旅游城-一期-07地块-高层区（裕顺）-7栋1单元-1402</t>
  </si>
  <si>
    <t>0987ecf0-8da4-400f-80b6-14a389f6ab10</t>
  </si>
  <si>
    <t>贵阳恒大文化旅游城-一期-07地块-高层区（裕顺）-7栋1单元-1403</t>
  </si>
  <si>
    <t>b1af7d21-c9f6-4c0d-9066-e5bbb80fc519</t>
  </si>
  <si>
    <t>1404</t>
  </si>
  <si>
    <t>贵阳恒大文化旅游城-一期-07地块-高层区（裕顺）-7栋1单元-1404</t>
  </si>
  <si>
    <t>5ba96cd4-afe6-4567-93e1-2a7065190012</t>
  </si>
  <si>
    <t>贵阳恒大文化旅游城-一期-07地块-高层区（裕顺）-7栋1单元-1702</t>
  </si>
  <si>
    <t>8eefe07b-b564-45c9-ac21-eeae352dc525</t>
  </si>
  <si>
    <t>贵阳恒大文化旅游城-一期-07地块-高层区（裕顺）-7栋1单元-1802</t>
  </si>
  <si>
    <t>ce4b4a35-6f1e-4e9f-bcdd-330f46b1ff6a</t>
  </si>
  <si>
    <t>贵阳恒大文化旅游城-一期-07地块-高层区（裕顺）-7栋1单元-1803</t>
  </si>
  <si>
    <t>38aae5cf-762c-4040-bd77-39952b1d632e</t>
  </si>
  <si>
    <t>1902</t>
  </si>
  <si>
    <t>贵阳恒大文化旅游城-一期-07地块-高层区（裕顺）-7栋1单元-1902</t>
  </si>
  <si>
    <t>0c06ab23-6264-445d-9b0b-8dde3e1cc224</t>
  </si>
  <si>
    <t>2002</t>
  </si>
  <si>
    <t>贵阳恒大文化旅游城-一期-07地块-高层区（裕顺）-7栋1单元-2002</t>
  </si>
  <si>
    <t>30cec002-0682-42ec-8235-7ee6ab4564c6</t>
  </si>
  <si>
    <t>贵阳恒大文化旅游城-一期-07地块-高层区（裕顺）-7栋1单元-2102</t>
  </si>
  <si>
    <t>26479fec-3ed1-460e-bc9c-a0ba5fc3d9d2</t>
  </si>
  <si>
    <t>贵阳恒大文化旅游城-一期-07地块-高层区（裕顺）-7栋1单元-2103</t>
  </si>
  <si>
    <t>2937cac3-935e-4327-b0b7-2c72fcc48a6f</t>
  </si>
  <si>
    <t>贵阳恒大文化旅游城-一期-07地块-高层区（裕顺）-7栋1单元-2302</t>
  </si>
  <si>
    <t>7b82ca33-daf4-4408-bf58-092d0d637368</t>
  </si>
  <si>
    <t>贵阳恒大文化旅游城-一期-07地块-高层区（裕顺）-7栋1单元-2402</t>
  </si>
  <si>
    <t>bd12a0bc-467f-43e7-a5e4-1b2ba4040575</t>
  </si>
  <si>
    <t>贵阳恒大文化旅游城-一期-07地块-高层区（裕顺）-7栋1单元-2502</t>
  </si>
  <si>
    <t>65be82a3-12f0-4aea-9b25-4252ee0165fa</t>
  </si>
  <si>
    <t>贵阳恒大文化旅游城-一期-07地块-高层区（裕顺）-7栋1单元-2602</t>
  </si>
  <si>
    <t>9986e85c-e485-4e3b-b1df-d20cde572e16</t>
  </si>
  <si>
    <t>贵阳恒大文化旅游城-一期-07地块-高层区（裕顺）-7栋1单元-2702</t>
  </si>
  <si>
    <t>2c5ca750-9b94-4446-859d-9175cbe326ff</t>
  </si>
  <si>
    <t>贵阳恒大文化旅游城-一期-07地块-高层区（裕顺）-7栋1单元-2703</t>
  </si>
  <si>
    <t>3890e4c5-0d9d-4422-b4ad-f6f94ecb9471</t>
  </si>
  <si>
    <t>2801</t>
  </si>
  <si>
    <t>贵阳恒大文化旅游城-一期-07地块-高层区（裕顺）-7栋1单元-2801</t>
  </si>
  <si>
    <t>adf73885-9cc1-41b4-95ba-1db7591c9a68</t>
  </si>
  <si>
    <t>贵阳恒大文化旅游城-一期-07地块-高层区（裕顺）-7栋1单元-2802</t>
  </si>
  <si>
    <t>0c3ed208-95ec-4efa-93a9-d9896be603f9</t>
  </si>
  <si>
    <t>贵阳恒大文化旅游城-一期-07地块-高层区（裕顺）-7栋1单元-2803</t>
  </si>
  <si>
    <t>9373f799-35d7-4f4d-870f-c636696e817a</t>
  </si>
  <si>
    <t>贵阳恒大文化旅游城-一期-07地块-高层区（裕顺）-7栋1单元-2804</t>
  </si>
  <si>
    <t>911ff19a-edea-45a6-abbe-9ddb5dd5c3c7</t>
  </si>
  <si>
    <t>07地块-高层区（裕顺）-7栋2单元</t>
  </si>
  <si>
    <t>贵阳恒大文化旅游城-一期-07地块-高层区（裕顺）-7栋2单元-201</t>
  </si>
  <si>
    <t>5e4b969b-00c9-4289-beb0-037fae047462</t>
  </si>
  <si>
    <t>fb2e9019-b351-4469-aece-70020b69db23</t>
  </si>
  <si>
    <t>贵阳恒大文化旅游城-一期-07地块-高层区（裕顺）-7栋2单元-203</t>
  </si>
  <si>
    <t>616ad7c7-e1bc-446b-86f2-6f8ab5089ece</t>
  </si>
  <si>
    <t>贵阳恒大文化旅游城-一期-07地块-高层区（裕顺）-7栋2单元-204</t>
  </si>
  <si>
    <t>6b885fc5-1eda-4786-bdb6-c154ed0c8946</t>
  </si>
  <si>
    <t>贵阳恒大文化旅游城-一期-07地块-高层区（裕顺）-7栋2单元-301</t>
  </si>
  <si>
    <t>71919fa6-6fd8-45f9-b358-f8026a5eb6de</t>
  </si>
  <si>
    <t>贵阳恒大文化旅游城-一期-07地块-高层区（裕顺）-7栋2单元-302</t>
  </si>
  <si>
    <t>10235f71-76db-4067-affa-9993d5ff01cd</t>
  </si>
  <si>
    <t>贵阳恒大文化旅游城-一期-07地块-高层区（裕顺）-7栋2单元-303</t>
  </si>
  <si>
    <t>5387f369-a11f-41f8-97e8-0a6db06a1206</t>
  </si>
  <si>
    <t>贵阳恒大文化旅游城-一期-07地块-高层区（裕顺）-7栋2单元-304</t>
  </si>
  <si>
    <t>444faa66-b42d-4fdd-9b22-dc553e419fd1</t>
  </si>
  <si>
    <t>贵阳恒大文化旅游城-一期-07地块-高层区（裕顺）-7栋2单元-401</t>
  </si>
  <si>
    <t>8024aa42-6e50-4de1-932e-5fa383b40ba2</t>
  </si>
  <si>
    <t>贵阳恒大文化旅游城-一期-07地块-高层区（裕顺）-7栋2单元-402</t>
  </si>
  <si>
    <t>01ceaee8-4e71-4991-bce7-2431e4c8fee0</t>
  </si>
  <si>
    <t>贵阳恒大文化旅游城-一期-07地块-高层区（裕顺）-7栋2单元-403</t>
  </si>
  <si>
    <t>fee4f415-c6db-40ef-b14a-b02323368c9a</t>
  </si>
  <si>
    <t>贵阳恒大文化旅游城-一期-07地块-高层区（裕顺）-7栋2单元-404</t>
  </si>
  <si>
    <t>efc0910d-ac31-4057-a488-9b441e8a7e88</t>
  </si>
  <si>
    <t>贵阳恒大文化旅游城-一期-07地块-高层区（裕顺）-7栋2单元-501</t>
  </si>
  <si>
    <t>41d4be9b-e2a4-43f7-a0c1-8336891d4caa</t>
  </si>
  <si>
    <t>贵阳恒大文化旅游城-一期-07地块-高层区（裕顺）-7栋2单元-502</t>
  </si>
  <si>
    <t>6809aee9-2b0f-482e-94a6-623d37f5138f</t>
  </si>
  <si>
    <t>贵阳恒大文化旅游城-一期-07地块-高层区（裕顺）-7栋2单元-503</t>
  </si>
  <si>
    <t>da8f0efc-77e3-4389-a715-00f9643ad54e</t>
  </si>
  <si>
    <t>贵阳恒大文化旅游城-一期-07地块-高层区（裕顺）-7栋2单元-603</t>
  </si>
  <si>
    <t>bc02e8eb-f4f1-4732-b68a-8c803331cad5</t>
  </si>
  <si>
    <t>604</t>
  </si>
  <si>
    <t>贵阳恒大文化旅游城-一期-07地块-高层区（裕顺）-7栋2单元-604</t>
  </si>
  <si>
    <t>a2f5cfff-90ea-4580-a4b0-cf5a28bd2431</t>
  </si>
  <si>
    <t>贵阳恒大文化旅游城-一期-07地块-高层区（裕顺）-7栋2单元-702</t>
  </si>
  <si>
    <t>22ddb2de-4a52-4247-969d-28720cbd658a</t>
  </si>
  <si>
    <t>贵阳恒大文化旅游城-一期-07地块-高层区（裕顺）-7栋2单元-703</t>
  </si>
  <si>
    <t>9bea374e-ed66-4e77-9eda-9a1627024753</t>
  </si>
  <si>
    <t>贵阳恒大文化旅游城-一期-07地块-高层区（裕顺）-7栋2单元-802</t>
  </si>
  <si>
    <t>21a8b48c-9bc1-48bf-9b57-1fa4968bbbea</t>
  </si>
  <si>
    <t>贵阳恒大文化旅游城-一期-07地块-高层区（裕顺）-7栋2单元-803</t>
  </si>
  <si>
    <t>b669ee36-706b-49d5-a580-be967a1b336b</t>
  </si>
  <si>
    <t>贵阳恒大文化旅游城-一期-07地块-高层区（裕顺）-7栋2单元-902</t>
  </si>
  <si>
    <t>6d91a301-5056-47c0-9d97-f3d977bfc099</t>
  </si>
  <si>
    <t>贵阳恒大文化旅游城-一期-07地块-高层区（裕顺）-7栋2单元-903</t>
  </si>
  <si>
    <t>40518a19-5f60-46b7-82ea-b6b830cdfca2</t>
  </si>
  <si>
    <t>贵阳恒大文化旅游城-一期-07地块-高层区（裕顺）-7栋2单元-1002</t>
  </si>
  <si>
    <t>95a0e6f0-276b-4886-8ead-ffccf53f6fc7</t>
  </si>
  <si>
    <t>贵阳恒大文化旅游城-一期-07地块-高层区（裕顺）-7栋2单元-1003</t>
  </si>
  <si>
    <t>b13dab56-5527-4ffa-ab66-c82c622ef9aa</t>
  </si>
  <si>
    <t>1004</t>
  </si>
  <si>
    <t>贵阳恒大文化旅游城-一期-07地块-高层区（裕顺）-7栋2单元-1004</t>
  </si>
  <si>
    <t>09fe3e59-d275-4252-8c88-a30624249ff4</t>
  </si>
  <si>
    <t>贵阳恒大文化旅游城-一期-07地块-高层区（裕顺）-7栋2单元-1101</t>
  </si>
  <si>
    <t>fe228ef0-bd09-435f-9089-7ba18ac41644</t>
  </si>
  <si>
    <t>贵阳恒大文化旅游城-一期-07地块-高层区（裕顺）-7栋2单元-1103</t>
  </si>
  <si>
    <t>bf91efa7-754f-441e-8dd5-0082b371dd7f</t>
  </si>
  <si>
    <t>1104</t>
  </si>
  <si>
    <t>贵阳恒大文化旅游城-一期-07地块-高层区（裕顺）-7栋2单元-1104</t>
  </si>
  <si>
    <t>b45dd971-543e-42d6-b420-1fc8a6701d07</t>
  </si>
  <si>
    <t>贵阳恒大文化旅游城-一期-07地块-高层区（裕顺）-7栋2单元-1201</t>
  </si>
  <si>
    <t>10bd30fb-35d7-4006-9d05-48115246c7c3</t>
  </si>
  <si>
    <t>贵阳恒大文化旅游城-一期-07地块-高层区（裕顺）-7栋2单元-1203</t>
  </si>
  <si>
    <t>17719f06-6b2a-4a2b-91eb-3a375c72a372</t>
  </si>
  <si>
    <t>贵阳恒大文化旅游城-一期-07地块-高层区（裕顺）-7栋2单元-1302</t>
  </si>
  <si>
    <t>61dc9fec-cd21-492a-a4dc-5020e635b9e0</t>
  </si>
  <si>
    <t>贵阳恒大文化旅游城-一期-07地块-高层区（裕顺）-7栋2单元-1303</t>
  </si>
  <si>
    <t>8c86be0e-e78a-4aa8-a3c7-0c4ab30c6873</t>
  </si>
  <si>
    <t>贵阳恒大文化旅游城-一期-07地块-高层区（裕顺）-7栋2单元-1304</t>
  </si>
  <si>
    <t>0a54ec74-997d-47ed-856e-159e8333241d</t>
  </si>
  <si>
    <t>贵阳恒大文化旅游城-一期-07地块-高层区（裕顺）-7栋2单元-1401</t>
  </si>
  <si>
    <t>04db3001-5f57-4b7d-a1a8-fe1aa9163935</t>
  </si>
  <si>
    <t>贵阳恒大文化旅游城-一期-07地块-高层区（裕顺）-7栋2单元-1402</t>
  </si>
  <si>
    <t>fae3a982-320f-41c2-920c-7d0d0875a181</t>
  </si>
  <si>
    <t>贵阳恒大文化旅游城-一期-07地块-高层区（裕顺）-7栋2单元-1403</t>
  </si>
  <si>
    <t>b2504663-5cea-44b7-bde0-bdfc9d845f1f</t>
  </si>
  <si>
    <t>贵阳恒大文化旅游城-一期-07地块-高层区（裕顺）-7栋2单元-1404</t>
  </si>
  <si>
    <t>e4ff2bc4-7e1d-48d1-a2fb-47bfc27365ea</t>
  </si>
  <si>
    <t>贵阳恒大文化旅游城-一期-07地块-高层区（裕顺）-7栋2单元-1502</t>
  </si>
  <si>
    <t>41742532-f646-4649-b24b-85a8de5b8eb0</t>
  </si>
  <si>
    <t>贵阳恒大文化旅游城-一期-07地块-高层区（裕顺）-7栋2单元-1503</t>
  </si>
  <si>
    <t>567fa507-781a-4c5c-b3f1-9cdafd029758</t>
  </si>
  <si>
    <t>1504</t>
  </si>
  <si>
    <t>贵阳恒大文化旅游城-一期-07地块-高层区（裕顺）-7栋2单元-1504</t>
  </si>
  <si>
    <t>916194f6-ea17-4e1e-a177-a7493c989ae5</t>
  </si>
  <si>
    <t>贵阳恒大文化旅游城-一期-07地块-高层区（裕顺）-7栋2单元-1801</t>
  </si>
  <si>
    <t>3c653beb-6334-4631-823a-7405549578fe</t>
  </si>
  <si>
    <t>贵阳恒大文化旅游城-一期-07地块-高层区（裕顺）-7栋2单元-1802</t>
  </si>
  <si>
    <t>af3a293b-0888-447b-9825-531aa12ab43c</t>
  </si>
  <si>
    <t>贵阳恒大文化旅游城-一期-07地块-高层区（裕顺）-7栋2单元-1803</t>
  </si>
  <si>
    <t>57c1dc37-dd44-49ee-bf9f-76018a563b25</t>
  </si>
  <si>
    <t>1804</t>
  </si>
  <si>
    <t>贵阳恒大文化旅游城-一期-07地块-高层区（裕顺）-7栋2单元-1804</t>
  </si>
  <si>
    <t>969b30fd-af81-4557-ba0b-a91280d7a6df</t>
  </si>
  <si>
    <t>1904</t>
  </si>
  <si>
    <t>贵阳恒大文化旅游城-一期-07地块-高层区（裕顺）-7栋2单元-1904</t>
  </si>
  <si>
    <t>732d46f0-84ac-4c12-9e65-c12d07683231</t>
  </si>
  <si>
    <t>贵阳恒大文化旅游城-一期-07地块-高层区（裕顺）-7栋2单元-2003</t>
  </si>
  <si>
    <t>c8e7170b-b9d1-48b4-b9e5-6b8585e8c10f</t>
  </si>
  <si>
    <t>2004</t>
  </si>
  <si>
    <t>贵阳恒大文化旅游城-一期-07地块-高层区（裕顺）-7栋2单元-2004</t>
  </si>
  <si>
    <t>4b0ad567-4d4a-43fb-80c6-c594155886f4</t>
  </si>
  <si>
    <t>2101</t>
  </si>
  <si>
    <t>贵阳恒大文化旅游城-一期-07地块-高层区（裕顺）-7栋2单元-2101</t>
  </si>
  <si>
    <t>7e9f044a-e639-4515-a017-d19b3393362f</t>
  </si>
  <si>
    <t>贵阳恒大文化旅游城-一期-07地块-高层区（裕顺）-7栋2单元-2103</t>
  </si>
  <si>
    <t>a3d59266-085f-456e-92a5-83867cbdae8a</t>
  </si>
  <si>
    <t>2104</t>
  </si>
  <si>
    <t>贵阳恒大文化旅游城-一期-07地块-高层区（裕顺）-7栋2单元-2104</t>
  </si>
  <si>
    <t>1384250a-d040-4fb8-acd9-027507c35f43</t>
  </si>
  <si>
    <t>贵阳恒大文化旅游城-一期-07地块-高层区（裕顺）-7栋2单元-2203</t>
  </si>
  <si>
    <t>aeff61dd-bad9-4388-9253-86ad53dd656e</t>
  </si>
  <si>
    <t>2204</t>
  </si>
  <si>
    <t>贵阳恒大文化旅游城-一期-07地块-高层区（裕顺）-7栋2单元-2204</t>
  </si>
  <si>
    <t>8685d234-5a4b-4084-86cb-6ef5bf942b38</t>
  </si>
  <si>
    <t>2301</t>
  </si>
  <si>
    <t>贵阳恒大文化旅游城-一期-07地块-高层区（裕顺）-7栋2单元-2301</t>
  </si>
  <si>
    <t>1afb0832-1b15-4433-aea4-eb77a4c22b81</t>
  </si>
  <si>
    <t>贵阳恒大文化旅游城-一期-07地块-高层区（裕顺）-7栋2单元-2303</t>
  </si>
  <si>
    <t>b33ff91f-f1bb-4aaf-8c0f-011dedfa0bdb</t>
  </si>
  <si>
    <t>2304</t>
  </si>
  <si>
    <t>贵阳恒大文化旅游城-一期-07地块-高层区（裕顺）-7栋2单元-2304</t>
  </si>
  <si>
    <t>5d50adac-9f43-47d7-9b2a-7775ef579fbf</t>
  </si>
  <si>
    <t>贵阳恒大文化旅游城-一期-07地块-高层区（裕顺）-7栋2单元-2402</t>
  </si>
  <si>
    <t>c857e94c-b727-4261-8503-b430bbc6cf59</t>
  </si>
  <si>
    <t>贵阳恒大文化旅游城-一期-07地块-高层区（裕顺）-7栋2单元-2403</t>
  </si>
  <si>
    <t>65cb7aed-042e-4e91-b4b7-eb110c0766db</t>
  </si>
  <si>
    <t>2404</t>
  </si>
  <si>
    <t>贵阳恒大文化旅游城-一期-07地块-高层区（裕顺）-7栋2单元-2404</t>
  </si>
  <si>
    <t>f8ccb5dd-f951-4ee5-8640-362d2b5ff626</t>
  </si>
  <si>
    <t>2504</t>
  </si>
  <si>
    <t>贵阳恒大文化旅游城-一期-07地块-高层区（裕顺）-7栋2单元-2504</t>
  </si>
  <si>
    <t>a5e64de8-7ea0-485e-b3ce-54b45a3c20b9</t>
  </si>
  <si>
    <t>2604</t>
  </si>
  <si>
    <t>贵阳恒大文化旅游城-一期-07地块-高层区（裕顺）-7栋2单元-2604</t>
  </si>
  <si>
    <t>b2e1f9c3-4d75-4607-aa73-533b753bbfe2</t>
  </si>
  <si>
    <t>贵阳恒大文化旅游城-一期-07地块-高层区（裕顺）-7栋2单元-2702</t>
  </si>
  <si>
    <t>45e7f9b7-bbe0-4117-927e-81ac6a3ba0e5</t>
  </si>
  <si>
    <t>贵阳恒大文化旅游城-一期-07地块-高层区（裕顺）-7栋2单元-2703</t>
  </si>
  <si>
    <t>fb21a3fe-4621-41a2-baa8-2babec1cf4cb</t>
  </si>
  <si>
    <t>2704</t>
  </si>
  <si>
    <t>贵阳恒大文化旅游城-一期-07地块-高层区（裕顺）-7栋2单元-2704</t>
  </si>
  <si>
    <t>6afc733d-d519-4638-ae7b-c9983b7417b7</t>
  </si>
  <si>
    <t>贵阳恒大文化旅游城-一期-07地块-高层区（裕顺）-7栋2单元-2802</t>
  </si>
  <si>
    <t>21e39f34-20b1-4837-94cf-c81b466db511</t>
  </si>
  <si>
    <t>贵阳恒大文化旅游城-一期-07地块-高层区（裕顺）-7栋2单元-2803</t>
  </si>
  <si>
    <t>767c9e6c-74f6-41e9-91d4-1dc5b9bf035f</t>
  </si>
  <si>
    <t>90112a24-122b-4d49-91b7-b5e378839620</t>
  </si>
  <si>
    <t>07地块-高层区（裕顺）-8栋</t>
  </si>
  <si>
    <t>贵阳恒大文化旅游城-一期-07地块-高层区（裕顺）-8栋-301</t>
  </si>
  <si>
    <t>fa2385c1-d0f8-4ff3-9344-c89e3b46922e</t>
  </si>
  <si>
    <t>L2(01)</t>
  </si>
  <si>
    <t>651cc77c-eee4-4047-a799-030cbc284f53</t>
  </si>
  <si>
    <t>贵阳恒大文化旅游城-一期-07地块-高层区（裕顺）-8栋-304</t>
  </si>
  <si>
    <t>5e12ac1a-0622-4d79-88d7-0f67e32ea788</t>
  </si>
  <si>
    <t>L2(04)</t>
  </si>
  <si>
    <t>贵阳恒大文化旅游城-一期-07地块-高层区（裕顺）-8栋-401</t>
  </si>
  <si>
    <t>fa60dd0f-3177-4730-92d3-06a894a065e9</t>
  </si>
  <si>
    <t>贵阳恒大文化旅游城-一期-07地块-高层区（裕顺）-8栋-404</t>
  </si>
  <si>
    <t>80bf3f7c-f3ad-4360-a221-06e9ca2c5be3</t>
  </si>
  <si>
    <t>贵阳恒大文化旅游城-一期-07地块-高层区（裕顺）-8栋-501</t>
  </si>
  <si>
    <t>8c392e16-2c30-4341-a771-06e28fcb00cd</t>
  </si>
  <si>
    <t>贵阳恒大文化旅游城-一期-07地块-高层区（裕顺）-8栋-504</t>
  </si>
  <si>
    <t>5be73d33-b73f-40bd-baf5-b494c22137d9</t>
  </si>
  <si>
    <t>贵阳恒大文化旅游城-一期-07地块-高层区（裕顺）-8栋-601</t>
  </si>
  <si>
    <t>d1e8c126-bd66-41be-b146-c57f55d7289b</t>
  </si>
  <si>
    <t>贵阳恒大文化旅游城-一期-07地块-高层区（裕顺）-8栋-604</t>
  </si>
  <si>
    <t>19e513e0-8297-4b1a-8c6d-2f0509a0dfe6</t>
  </si>
  <si>
    <t>贵阳恒大文化旅游城-一期-07地块-高层区（裕顺）-8栋-701</t>
  </si>
  <si>
    <t>2eaaebd2-bb4b-4ce4-84e6-bfcd730ef6eb</t>
  </si>
  <si>
    <t>704</t>
  </si>
  <si>
    <t>贵阳恒大文化旅游城-一期-07地块-高层区（裕顺）-8栋-704</t>
  </si>
  <si>
    <t>eff02ea4-d32d-47d5-966f-eaae6fa16351</t>
  </si>
  <si>
    <t>贵阳恒大文化旅游城-一期-07地块-高层区（裕顺）-8栋-801</t>
  </si>
  <si>
    <t>15fd7011-49bf-4cd1-a020-49ea4af83287</t>
  </si>
  <si>
    <t>804</t>
  </si>
  <si>
    <t>贵阳恒大文化旅游城-一期-07地块-高层区（裕顺）-8栋-804</t>
  </si>
  <si>
    <t>daee6737-7084-4228-9faf-5f18dad748c3</t>
  </si>
  <si>
    <t>贵阳恒大文化旅游城-一期-07地块-高层区（裕顺）-8栋-901</t>
  </si>
  <si>
    <t>bf7c488a-d0d4-4ab9-8888-d3c0459ddf83</t>
  </si>
  <si>
    <t>贵阳恒大文化旅游城-一期-07地块-高层区（裕顺）-8栋-1001</t>
  </si>
  <si>
    <t>6c2231ef-de0b-4234-b136-548347f5c1c5</t>
  </si>
  <si>
    <t>贵阳恒大文化旅游城-一期-07地块-高层区（裕顺）-8栋-1004</t>
  </si>
  <si>
    <t>5cb943a4-b269-40c1-9720-b03510a0bb55</t>
  </si>
  <si>
    <t>贵阳恒大文化旅游城-一期-07地块-高层区（裕顺）-8栋-1101</t>
  </si>
  <si>
    <t>b87f2fe6-f59b-473b-8055-abdbd6bdd724</t>
  </si>
  <si>
    <t>贵阳恒大文化旅游城-一期-07地块-高层区（裕顺）-8栋-1104</t>
  </si>
  <si>
    <t>a8f2efde-7e22-4681-bd44-05f9ac920c26</t>
  </si>
  <si>
    <t>贵阳恒大文化旅游城-一期-07地块-高层区（裕顺）-8栋-1201</t>
  </si>
  <si>
    <t>16415a15-63f3-4c89-8820-267abaa4f3b3</t>
  </si>
  <si>
    <t>1204</t>
  </si>
  <si>
    <t>贵阳恒大文化旅游城-一期-07地块-高层区（裕顺）-8栋-1204</t>
  </si>
  <si>
    <t>c8e84258-b9f6-4e2c-ad26-edb7f941e98a</t>
  </si>
  <si>
    <t>贵阳恒大文化旅游城-一期-07地块-高层区（裕顺）-8栋-1301</t>
  </si>
  <si>
    <t>c76c76fe-cbc6-4144-9b50-0e31bd07c240</t>
  </si>
  <si>
    <t>贵阳恒大文化旅游城-一期-07地块-高层区（裕顺）-8栋-1304</t>
  </si>
  <si>
    <t>a70e260b-1387-4265-817b-74f2e11c3b9f</t>
  </si>
  <si>
    <t>贵阳恒大文化旅游城-一期-07地块-高层区（裕顺）-8栋-1401</t>
  </si>
  <si>
    <t>a352f0c8-69cf-4ee3-8fec-8da0781cffaf</t>
  </si>
  <si>
    <t>贵阳恒大文化旅游城-一期-07地块-高层区（裕顺）-8栋-1404</t>
  </si>
  <si>
    <t>3def500a-2103-408c-bf26-32fd522f9301</t>
  </si>
  <si>
    <t>贵阳恒大文化旅游城-一期-07地块-高层区（裕顺）-8栋-1504</t>
  </si>
  <si>
    <t>cbbf2a46-83e1-4834-81ba-820c6540c240</t>
  </si>
  <si>
    <t>1601</t>
  </si>
  <si>
    <t>贵阳恒大文化旅游城-一期-07地块-高层区（裕顺）-8栋-1601</t>
  </si>
  <si>
    <t>864db795-b3e6-466e-aa26-95b6163b1cb0</t>
  </si>
  <si>
    <t>1604</t>
  </si>
  <si>
    <t>贵阳恒大文化旅游城-一期-07地块-高层区（裕顺）-8栋-1604</t>
  </si>
  <si>
    <t>252307a8-cfa3-49e4-ba9e-7ea2bf49acb7</t>
  </si>
  <si>
    <t>贵阳恒大文化旅游城-一期-07地块-高层区（裕顺）-8栋-1701</t>
  </si>
  <si>
    <t>35ab6566-7312-4985-9cdf-e757ba7bb8ee</t>
  </si>
  <si>
    <t>1704</t>
  </si>
  <si>
    <t>贵阳恒大文化旅游城-一期-07地块-高层区（裕顺）-8栋-1704</t>
  </si>
  <si>
    <t>7985bc80-0a6a-4a3a-97ba-45aec1a2bb8b</t>
  </si>
  <si>
    <t>贵阳恒大文化旅游城-一期-07地块-高层区（裕顺）-8栋-1801</t>
  </si>
  <si>
    <t>e78bcfbd-a958-4a30-a90a-e8d1ef065bb7</t>
  </si>
  <si>
    <t>贵阳恒大文化旅游城-一期-07地块-高层区（裕顺）-8栋-1804</t>
  </si>
  <si>
    <t>9e6cfa39-f556-402c-b3e2-deb18ff43265</t>
  </si>
  <si>
    <t>1901</t>
  </si>
  <si>
    <t>贵阳恒大文化旅游城-一期-07地块-高层区（裕顺）-8栋-1901</t>
  </si>
  <si>
    <t>9baaf84a-91c2-4ae6-92a6-0cfa3bd58078</t>
  </si>
  <si>
    <t>贵阳恒大文化旅游城-一期-07地块-高层区（裕顺）-8栋-1904</t>
  </si>
  <si>
    <t>12d70ec0-e2bc-428b-8b45-602e5b24e1cc</t>
  </si>
  <si>
    <t>2001</t>
  </si>
  <si>
    <t>贵阳恒大文化旅游城-一期-07地块-高层区（裕顺）-8栋-2001</t>
  </si>
  <si>
    <t>e743f86c-62b9-4e72-8988-22e9d2dba686</t>
  </si>
  <si>
    <t>贵阳恒大文化旅游城-一期-07地块-高层区（裕顺）-8栋-2004</t>
  </si>
  <si>
    <t>9c03a6c1-9882-4dbb-9c9e-3e11e62496b7</t>
  </si>
  <si>
    <t>贵阳恒大文化旅游城-一期-07地块-高层区（裕顺）-8栋-2101</t>
  </si>
  <si>
    <t>d50596bd-1003-4a74-84c3-696761041b54</t>
  </si>
  <si>
    <t>贵阳恒大文化旅游城-一期-07地块-高层区（裕顺）-8栋-2104</t>
  </si>
  <si>
    <t>c28af778-3535-4ab4-bad0-46100a65c53f</t>
  </si>
  <si>
    <t>2201</t>
  </si>
  <si>
    <t>贵阳恒大文化旅游城-一期-07地块-高层区（裕顺）-8栋-2201</t>
  </si>
  <si>
    <t>a2fefe42-e7a4-48da-b20b-ffcefdf2633c</t>
  </si>
  <si>
    <t>贵阳恒大文化旅游城-一期-07地块-高层区（裕顺）-8栋-2204</t>
  </si>
  <si>
    <t>9e4d30a0-957a-4c29-a4e8-2b86bdf8bd2f</t>
  </si>
  <si>
    <t>贵阳恒大文化旅游城-一期-07地块-高层区（裕顺）-8栋-2301</t>
  </si>
  <si>
    <t>70cdb417-2351-44dc-bc09-a655b2545ae0</t>
  </si>
  <si>
    <t>贵阳恒大文化旅游城-一期-07地块-高层区（裕顺）-8栋-2304</t>
  </si>
  <si>
    <t>52284cdb-45d6-42c6-8d39-fc7f3364b893</t>
  </si>
  <si>
    <t>2401</t>
  </si>
  <si>
    <t>贵阳恒大文化旅游城-一期-07地块-高层区（裕顺）-8栋-2401</t>
  </si>
  <si>
    <t>1b16bbaa-4721-49d0-a2c4-dca0cb2d54e8</t>
  </si>
  <si>
    <t>贵阳恒大文化旅游城-一期-07地块-高层区（裕顺）-8栋-2404</t>
  </si>
  <si>
    <t>ad0fae94-e7b8-4996-825a-d02c3d55d2cb</t>
  </si>
  <si>
    <t>2501</t>
  </si>
  <si>
    <t>贵阳恒大文化旅游城-一期-07地块-高层区（裕顺）-8栋-2501</t>
  </si>
  <si>
    <t>c0df5055-5ebd-40a4-9709-6e54f583acff</t>
  </si>
  <si>
    <t>贵阳恒大文化旅游城-一期-07地块-高层区（裕顺）-8栋-2504</t>
  </si>
  <si>
    <t>18946722-4cad-45d5-bed3-8977677b63b6</t>
  </si>
  <si>
    <t>2601</t>
  </si>
  <si>
    <t>贵阳恒大文化旅游城-一期-07地块-高层区（裕顺）-8栋-2601</t>
  </si>
  <si>
    <t>a9343566-c8e3-4e2c-9e15-d0af7efe752f</t>
  </si>
  <si>
    <t>贵阳恒大文化旅游城-一期-07地块-高层区（裕顺）-8栋-2604</t>
  </si>
  <si>
    <t>a0709c5d-ad25-43d6-897b-7f139b322a15</t>
  </si>
  <si>
    <t>2701</t>
  </si>
  <si>
    <t>贵阳恒大文化旅游城-一期-07地块-高层区（裕顺）-8栋-2701</t>
  </si>
  <si>
    <t>9815ce55-b2cc-4689-a57c-ca191a0a6443</t>
  </si>
  <si>
    <t>贵阳恒大文化旅游城-一期-07地块-高层区（裕顺）-8栋-2704</t>
  </si>
  <si>
    <t>ec87bf07-b106-4109-bff0-c175354c6416</t>
  </si>
  <si>
    <t>贵阳恒大文化旅游城-一期-07地块-高层区（裕顺）-8栋-2801</t>
  </si>
  <si>
    <t>16931e04-52a6-45d1-b94c-6e52295aa6a2</t>
  </si>
  <si>
    <t>贵阳恒大文化旅游城-一期-07地块-高层区（裕顺）-8栋-2804</t>
  </si>
  <si>
    <t>ec151e8a-921d-4699-974c-e25bbb26a0f8</t>
  </si>
  <si>
    <t>27865826-0cac-46ef-82b1-6478b0f49f2e</t>
  </si>
  <si>
    <t>07地块-高层区（裕顺）-9栋</t>
  </si>
  <si>
    <t>贵阳恒大文化旅游城-一期-07地块-高层区（裕顺）-9栋-201</t>
  </si>
  <si>
    <t>258c8e1e-c1f0-4981-ba77-f05208d67549</t>
  </si>
  <si>
    <t>d6cd250b-8579-4975-994f-aa1962bbf0b8</t>
  </si>
  <si>
    <t>贵阳恒大文化旅游城-一期-07地块-高层区（裕顺）-9栋-202</t>
  </si>
  <si>
    <t>09b6a696-e6b7-4096-b364-0146a4763156</t>
  </si>
  <si>
    <t>贵阳恒大文化旅游城-一期-07地块-高层区（裕顺）-9栋-203</t>
  </si>
  <si>
    <t>39a9b2a7-1bb3-4b6b-9bfb-f94e287fbb4a</t>
  </si>
  <si>
    <t>贵阳恒大文化旅游城-一期-07地块-高层区（裕顺）-9栋-204</t>
  </si>
  <si>
    <t>f1778749-72cb-4ed0-b8ee-edc199036356</t>
  </si>
  <si>
    <t>贵阳恒大文化旅游城-一期-07地块-高层区（裕顺）-9栋-301</t>
  </si>
  <si>
    <t>604361af-b5a4-4bee-9762-d6a65261ec7d</t>
  </si>
  <si>
    <t>贵阳恒大文化旅游城-一期-07地块-高层区（裕顺）-9栋-302</t>
  </si>
  <si>
    <t>4476feae-a80d-4b46-ab6b-ba4d47d79dca</t>
  </si>
  <si>
    <t>贵阳恒大文化旅游城-一期-07地块-高层区（裕顺）-9栋-303</t>
  </si>
  <si>
    <t>fbfe821b-6828-4d1a-bd53-0489021f9adf</t>
  </si>
  <si>
    <t>贵阳恒大文化旅游城-一期-07地块-高层区（裕顺）-9栋-304</t>
  </si>
  <si>
    <t>79c6a282-b36c-4ad6-acea-18373ff1309e</t>
  </si>
  <si>
    <t>贵阳恒大文化旅游城-一期-07地块-高层区（裕顺）-9栋-401</t>
  </si>
  <si>
    <t>3b532725-3a68-4ca4-88eb-290c2f61bd15</t>
  </si>
  <si>
    <t>贵阳恒大文化旅游城-一期-07地块-高层区（裕顺）-9栋-402</t>
  </si>
  <si>
    <t>739efac7-102b-45ac-9360-d611ed0981ea</t>
  </si>
  <si>
    <t>贵阳恒大文化旅游城-一期-07地块-高层区（裕顺）-9栋-403</t>
  </si>
  <si>
    <t>c676bfa6-2ccd-4dc3-bdb4-777a8b6f82d2</t>
  </si>
  <si>
    <t>贵阳恒大文化旅游城-一期-07地块-高层区（裕顺）-9栋-404</t>
  </si>
  <si>
    <t>9e6857c5-bf52-4555-a184-110adc1f0741</t>
  </si>
  <si>
    <t>贵阳恒大文化旅游城-一期-07地块-高层区（裕顺）-9栋-501</t>
  </si>
  <si>
    <t>6cc9c37c-3263-460c-b633-80fb26ee40d4</t>
  </si>
  <si>
    <t>贵阳恒大文化旅游城-一期-07地块-高层区（裕顺）-9栋-502</t>
  </si>
  <si>
    <t>fa797d03-4061-428b-84a3-2a6482dda7ac</t>
  </si>
  <si>
    <t>贵阳恒大文化旅游城-一期-07地块-高层区（裕顺）-9栋-503</t>
  </si>
  <si>
    <t>094726e4-8eb7-4e94-958f-7eb496322b5b</t>
  </si>
  <si>
    <t>贵阳恒大文化旅游城-一期-07地块-高层区（裕顺）-9栋-504</t>
  </si>
  <si>
    <t>eaef55dd-2417-4ffd-8dcc-adb2ac5852a5</t>
  </si>
  <si>
    <t>贵阳恒大文化旅游城-一期-07地块-高层区（裕顺）-9栋-601</t>
  </si>
  <si>
    <t>a6f09364-c912-4739-b111-c65e1eea98fb</t>
  </si>
  <si>
    <t>贵阳恒大文化旅游城-一期-07地块-高层区（裕顺）-9栋-602</t>
  </si>
  <si>
    <t>5e1904e0-8c28-4532-8165-e32c42c2749c</t>
  </si>
  <si>
    <t>贵阳恒大文化旅游城-一期-07地块-高层区（裕顺）-9栋-603</t>
  </si>
  <si>
    <t>b87170f4-4303-43ee-8065-de6c48d4355c</t>
  </si>
  <si>
    <t>贵阳恒大文化旅游城-一期-07地块-高层区（裕顺）-9栋-604</t>
  </si>
  <si>
    <t>eed1d90c-1fa2-453f-89eb-36e87bba4b2b</t>
  </si>
  <si>
    <t>贵阳恒大文化旅游城-一期-07地块-高层区（裕顺）-9栋-701</t>
  </si>
  <si>
    <t>1e713cf0-87d6-4396-af31-25f0a0e398f9</t>
  </si>
  <si>
    <t>贵阳恒大文化旅游城-一期-07地块-高层区（裕顺）-9栋-702</t>
  </si>
  <si>
    <t>6592aa9d-f7f9-4201-ba3d-a172fe4cfd75</t>
  </si>
  <si>
    <t>贵阳恒大文化旅游城-一期-07地块-高层区（裕顺）-9栋-703</t>
  </si>
  <si>
    <t>f836acb2-082d-47eb-8ed7-76ea3552f6f2</t>
  </si>
  <si>
    <t>贵阳恒大文化旅游城-一期-07地块-高层区（裕顺）-9栋-704</t>
  </si>
  <si>
    <t>41fd307a-f4fa-45f7-8742-07c821729a6f</t>
  </si>
  <si>
    <t>贵阳恒大文化旅游城-一期-07地块-高层区（裕顺）-9栋-801</t>
  </si>
  <si>
    <t>500abec4-a6f4-43bd-a004-079251b96aec</t>
  </si>
  <si>
    <t>贵阳恒大文化旅游城-一期-07地块-高层区（裕顺）-9栋-802</t>
  </si>
  <si>
    <t>1f83fecd-471b-4c12-bab7-565e8f5f7fc1</t>
  </si>
  <si>
    <t>贵阳恒大文化旅游城-一期-07地块-高层区（裕顺）-9栋-803</t>
  </si>
  <si>
    <t>cb356760-e997-4aa5-9db4-d6feb64d8298</t>
  </si>
  <si>
    <t>贵阳恒大文化旅游城-一期-07地块-高层区（裕顺）-9栋-804</t>
  </si>
  <si>
    <t>ade5091d-3d55-4453-bd1f-c16eefde2a90</t>
  </si>
  <si>
    <t>贵阳恒大文化旅游城-一期-07地块-高层区（裕顺）-9栋-902</t>
  </si>
  <si>
    <t>a09e3d1e-437f-4964-a318-32461462ba1b</t>
  </si>
  <si>
    <t>贵阳恒大文化旅游城-一期-07地块-高层区（裕顺）-9栋-903</t>
  </si>
  <si>
    <t>4d96ce3a-3ca1-493c-a05b-1723dd3b5bb7</t>
  </si>
  <si>
    <t>904</t>
  </si>
  <si>
    <t>贵阳恒大文化旅游城-一期-07地块-高层区（裕顺）-9栋-904</t>
  </si>
  <si>
    <t>3e3fefa4-d57e-41cb-84f3-7275e0d85a3a</t>
  </si>
  <si>
    <t>贵阳恒大文化旅游城-一期-07地块-高层区（裕顺）-9栋-1002</t>
  </si>
  <si>
    <t>aa742552-3974-4a4d-86aa-5b5ce173dcc6</t>
  </si>
  <si>
    <t>贵阳恒大文化旅游城-一期-07地块-高层区（裕顺）-9栋-1003</t>
  </si>
  <si>
    <t>fede8a43-73bc-4cee-b54f-af585fa9bfc1</t>
  </si>
  <si>
    <t>贵阳恒大文化旅游城-一期-07地块-高层区（裕顺）-9栋-1004</t>
  </si>
  <si>
    <t>b46b980b-3bb7-450c-b3e6-b30266d87b12</t>
  </si>
  <si>
    <t>贵阳恒大文化旅游城-一期-07地块-高层区（裕顺）-9栋-1101</t>
  </si>
  <si>
    <t>0b8ee496-ac23-4999-8e0f-d26b4a3bd1e0</t>
  </si>
  <si>
    <t>贵阳恒大文化旅游城-一期-07地块-高层区（裕顺）-9栋-1102</t>
  </si>
  <si>
    <t>72d42498-964a-487f-baa7-a73a3dab3644</t>
  </si>
  <si>
    <t>贵阳恒大文化旅游城-一期-07地块-高层区（裕顺）-9栋-1103</t>
  </si>
  <si>
    <t>699b3de2-ce2f-4d8e-856d-88b104dbe5bd</t>
  </si>
  <si>
    <t>贵阳恒大文化旅游城-一期-07地块-高层区（裕顺）-9栋-1104</t>
  </si>
  <si>
    <t>d9cf785b-a25f-4d51-bc54-7c8051ede1b9</t>
  </si>
  <si>
    <t>贵阳恒大文化旅游城-一期-07地块-高层区（裕顺）-9栋-1201</t>
  </si>
  <si>
    <t>ae677707-125d-4935-8ca6-a28845a2321d</t>
  </si>
  <si>
    <t>贵阳恒大文化旅游城-一期-07地块-高层区（裕顺）-9栋-1202</t>
  </si>
  <si>
    <t>fe688d59-e15d-4f08-939d-963f92e8aeec</t>
  </si>
  <si>
    <t>贵阳恒大文化旅游城-一期-07地块-高层区（裕顺）-9栋-1203</t>
  </si>
  <si>
    <t>a46a8a19-6ffe-4536-af3d-1cd599fcea27</t>
  </si>
  <si>
    <t>贵阳恒大文化旅游城-一期-07地块-高层区（裕顺）-9栋-1204</t>
  </si>
  <si>
    <t>a517ef72-8a9b-4a02-adb6-d191ad24477a</t>
  </si>
  <si>
    <t>贵阳恒大文化旅游城-一期-07地块-高层区（裕顺）-9栋-1302</t>
  </si>
  <si>
    <t>11518154-f029-414a-9abf-b434217c54ed</t>
  </si>
  <si>
    <t>贵阳恒大文化旅游城-一期-07地块-高层区（裕顺）-9栋-1303</t>
  </si>
  <si>
    <t>4cf76a42-ede0-4109-9a75-b1b0702d928b</t>
  </si>
  <si>
    <t>贵阳恒大文化旅游城-一期-07地块-高层区（裕顺）-9栋-1304</t>
  </si>
  <si>
    <t>30fbe7a8-35e0-4491-86d7-573411f74f2f</t>
  </si>
  <si>
    <t>贵阳恒大文化旅游城-一期-07地块-高层区（裕顺）-9栋-1401</t>
  </si>
  <si>
    <t>d0a6fa46-d0d1-4f4e-b6ab-a130a22c8182</t>
  </si>
  <si>
    <t>贵阳恒大文化旅游城-一期-07地块-高层区（裕顺）-9栋-1402</t>
  </si>
  <si>
    <t>dcd0fac9-c289-47bd-8e2f-f53be82c1566</t>
  </si>
  <si>
    <t>贵阳恒大文化旅游城-一期-07地块-高层区（裕顺）-9栋-1403</t>
  </si>
  <si>
    <t>300cef07-567c-4cc5-8ff7-b6e124c2a922</t>
  </si>
  <si>
    <t>贵阳恒大文化旅游城-一期-07地块-高层区（裕顺）-9栋-1404</t>
  </si>
  <si>
    <t>2736a54b-aef9-49ad-83c7-08caf5b45287</t>
  </si>
  <si>
    <t>贵阳恒大文化旅游城-一期-07地块-高层区（裕顺）-9栋-1502</t>
  </si>
  <si>
    <t>b9a5670e-1223-45a2-9e5e-31172e14f6a9</t>
  </si>
  <si>
    <t>贵阳恒大文化旅游城-一期-07地块-高层区（裕顺）-9栋-1503</t>
  </si>
  <si>
    <t>629b1149-7275-46ce-b47f-eadbb0b56e86</t>
  </si>
  <si>
    <t>贵阳恒大文化旅游城-一期-07地块-高层区（裕顺）-9栋-1504</t>
  </si>
  <si>
    <t>57f485c6-85a8-4e32-a34a-bebba3016a17</t>
  </si>
  <si>
    <t>贵阳恒大文化旅游城-一期-07地块-高层区（裕顺）-9栋-1602</t>
  </si>
  <si>
    <t>445ad70c-9a08-4f40-b128-effafb7abbac</t>
  </si>
  <si>
    <t>贵阳恒大文化旅游城-一期-07地块-高层区（裕顺）-9栋-1603</t>
  </si>
  <si>
    <t>254d9225-ad0c-4c5f-824d-f707cf8b7c96</t>
  </si>
  <si>
    <t>贵阳恒大文化旅游城-一期-07地块-高层区（裕顺）-9栋-1604</t>
  </si>
  <si>
    <t>7713c708-3420-460d-ab9c-e0b39640d7ba</t>
  </si>
  <si>
    <t>贵阳恒大文化旅游城-一期-07地块-高层区（裕顺）-9栋-1701</t>
  </si>
  <si>
    <t>151ab8b7-6901-49e0-b952-586f7f757331</t>
  </si>
  <si>
    <t>贵阳恒大文化旅游城-一期-07地块-高层区（裕顺）-9栋-1702</t>
  </si>
  <si>
    <t>6d2613f9-57e9-494f-a6a7-02354379f8af</t>
  </si>
  <si>
    <t>贵阳恒大文化旅游城-一期-07地块-高层区（裕顺）-9栋-1703</t>
  </si>
  <si>
    <t>79a1fbf9-2d3f-4037-9331-520c06a12788</t>
  </si>
  <si>
    <t>贵阳恒大文化旅游城-一期-07地块-高层区（裕顺）-9栋-1704</t>
  </si>
  <si>
    <t>d79619ee-8770-4e4e-9acf-53363e3bf4be</t>
  </si>
  <si>
    <t>贵阳恒大文化旅游城-一期-07地块-高层区（裕顺）-9栋-1801</t>
  </si>
  <si>
    <t>99018540-f032-4038-8d43-da2819e6d022</t>
  </si>
  <si>
    <t>贵阳恒大文化旅游城-一期-07地块-高层区（裕顺）-9栋-1802</t>
  </si>
  <si>
    <t>0829c071-0698-4b77-ac08-f6d528a7a52a</t>
  </si>
  <si>
    <t>贵阳恒大文化旅游城-一期-07地块-高层区（裕顺）-9栋-1803</t>
  </si>
  <si>
    <t>94ca184c-e08d-4bf7-9f27-c5fe7b8f8445</t>
  </si>
  <si>
    <t>贵阳恒大文化旅游城-一期-07地块-高层区（裕顺）-9栋-1804</t>
  </si>
  <si>
    <t>696df49d-9aa2-4017-a934-7b6f6b844a4b</t>
  </si>
  <si>
    <t>贵阳恒大文化旅游城-一期-07地块-高层区（裕顺）-9栋-1902</t>
  </si>
  <si>
    <t>d8c23b38-6b4d-4d92-9fc6-1d39c6413e30</t>
  </si>
  <si>
    <t>贵阳恒大文化旅游城-一期-07地块-高层区（裕顺）-9栋-1903</t>
  </si>
  <si>
    <t>0aeaffe6-78cc-4cba-bda2-7315c273e948</t>
  </si>
  <si>
    <t>贵阳恒大文化旅游城-一期-07地块-高层区（裕顺）-9栋-1904</t>
  </si>
  <si>
    <t>9e967fcd-f6d4-4f99-846a-6234cbb082e8</t>
  </si>
  <si>
    <t>贵阳恒大文化旅游城-一期-07地块-高层区（裕顺）-9栋-2001</t>
  </si>
  <si>
    <t>e96f4f1d-1c66-420c-aa55-da39db9db1c5</t>
  </si>
  <si>
    <t>贵阳恒大文化旅游城-一期-07地块-高层区（裕顺）-9栋-2002</t>
  </si>
  <si>
    <t>89d758f4-7413-4bcb-ada9-c34a0e50f3e1</t>
  </si>
  <si>
    <t>贵阳恒大文化旅游城-一期-07地块-高层区（裕顺）-9栋-2003</t>
  </si>
  <si>
    <t>ace5bf8c-4bb4-4914-952b-4a0dde44d024</t>
  </si>
  <si>
    <t>贵阳恒大文化旅游城-一期-07地块-高层区（裕顺）-9栋-2004</t>
  </si>
  <si>
    <t>1ecd6459-11c4-4266-8cf3-9538b1501039</t>
  </si>
  <si>
    <t>贵阳恒大文化旅游城-一期-07地块-高层区（裕顺）-9栋-2101</t>
  </si>
  <si>
    <t>40f12ffe-f99c-4c8a-8a4d-c22f0a086621</t>
  </si>
  <si>
    <t>贵阳恒大文化旅游城-一期-07地块-高层区（裕顺）-9栋-2102</t>
  </si>
  <si>
    <t>832c6682-e20f-4abd-87b8-c231fca89abb</t>
  </si>
  <si>
    <t>贵阳恒大文化旅游城-一期-07地块-高层区（裕顺）-9栋-2103</t>
  </si>
  <si>
    <t>d924ed7a-012d-4983-9cb3-8b529e74e56a</t>
  </si>
  <si>
    <t>贵阳恒大文化旅游城-一期-07地块-高层区（裕顺）-9栋-2104</t>
  </si>
  <si>
    <t>01c4d518-66d7-496f-bf05-e2be06116861</t>
  </si>
  <si>
    <t>贵阳恒大文化旅游城-一期-07地块-高层区（裕顺）-9栋-2201</t>
  </si>
  <si>
    <t>f716f3eb-df11-46ac-baf5-18c56e5e92c4</t>
  </si>
  <si>
    <t>贵阳恒大文化旅游城-一期-07地块-高层区（裕顺）-9栋-2202</t>
  </si>
  <si>
    <t>c7111c56-9657-4885-b155-828cd90c42a6</t>
  </si>
  <si>
    <t>贵阳恒大文化旅游城-一期-07地块-高层区（裕顺）-9栋-2203</t>
  </si>
  <si>
    <t>eb1429ed-7531-4a53-9407-0bdec5f7e2be</t>
  </si>
  <si>
    <t>贵阳恒大文化旅游城-一期-07地块-高层区（裕顺）-9栋-2204</t>
  </si>
  <si>
    <t>95cde774-597f-429c-93b7-7642f231b4a8</t>
  </si>
  <si>
    <t>贵阳恒大文化旅游城-一期-07地块-高层区（裕顺）-9栋-2301</t>
  </si>
  <si>
    <t>fddc4248-638b-4ffc-a93c-b10f8f0c69a2</t>
  </si>
  <si>
    <t>贵阳恒大文化旅游城-一期-07地块-高层区（裕顺）-9栋-2302</t>
  </si>
  <si>
    <t>8a5a628c-1e68-4e07-b678-e4f6c38951e7</t>
  </si>
  <si>
    <t>贵阳恒大文化旅游城-一期-07地块-高层区（裕顺）-9栋-2303</t>
  </si>
  <si>
    <t>417faaa7-ac32-46dd-8da9-733cdc8a934d</t>
  </si>
  <si>
    <t>贵阳恒大文化旅游城-一期-07地块-高层区（裕顺）-9栋-2304</t>
  </si>
  <si>
    <t>ff4ca88b-36f8-4e87-a163-dd2017b889b9</t>
  </si>
  <si>
    <t>贵阳恒大文化旅游城-一期-07地块-高层区（裕顺）-9栋-2401</t>
  </si>
  <si>
    <t>9a074a87-9a41-401e-80b0-43ebd9c3d8e8</t>
  </si>
  <si>
    <t>贵阳恒大文化旅游城-一期-07地块-高层区（裕顺）-9栋-2402</t>
  </si>
  <si>
    <t>7e33dbef-7b63-49b0-8e6f-111ca04c6920</t>
  </si>
  <si>
    <t>贵阳恒大文化旅游城-一期-07地块-高层区（裕顺）-9栋-2403</t>
  </si>
  <si>
    <t>fc62cd81-e994-4448-a338-7f81f0b8ad9e</t>
  </si>
  <si>
    <t>贵阳恒大文化旅游城-一期-07地块-高层区（裕顺）-9栋-2404</t>
  </si>
  <si>
    <t>c43aa2cb-e608-4c61-a513-16bef591cb0f</t>
  </si>
  <si>
    <t>贵阳恒大文化旅游城-一期-07地块-高层区（裕顺）-9栋-2501</t>
  </si>
  <si>
    <t>5945c5a2-0256-49a5-a43b-738d06b93c8f</t>
  </si>
  <si>
    <t>贵阳恒大文化旅游城-一期-07地块-高层区（裕顺）-9栋-2502</t>
  </si>
  <si>
    <t>624caa07-1355-4ea5-881e-a0b341c8bee5</t>
  </si>
  <si>
    <t>贵阳恒大文化旅游城-一期-07地块-高层区（裕顺）-9栋-2503</t>
  </si>
  <si>
    <t>222273e5-9b59-4f14-8d2b-964abc207ce4</t>
  </si>
  <si>
    <t>贵阳恒大文化旅游城-一期-07地块-高层区（裕顺）-9栋-2504</t>
  </si>
  <si>
    <t>729b31bb-dd27-4d9e-822a-2cec035fc644</t>
  </si>
  <si>
    <t>贵阳恒大文化旅游城-一期-07地块-高层区（裕顺）-9栋-2601</t>
  </si>
  <si>
    <t>2cd921ab-d908-45e6-910d-3d3beb0fb0f8</t>
  </si>
  <si>
    <t>贵阳恒大文化旅游城-一期-07地块-高层区（裕顺）-9栋-2602</t>
  </si>
  <si>
    <t>3b039e51-ca1d-4704-81be-daa591427e78</t>
  </si>
  <si>
    <t>贵阳恒大文化旅游城-一期-07地块-高层区（裕顺）-9栋-2603</t>
  </si>
  <si>
    <t>632dd98d-f08e-4ebf-a1ce-1a2e48834391</t>
  </si>
  <si>
    <t>贵阳恒大文化旅游城-一期-07地块-高层区（裕顺）-9栋-2604</t>
  </si>
  <si>
    <t>dd9ae8ef-799a-488e-a5d2-3cd27fab20f6</t>
  </si>
  <si>
    <t>贵阳恒大文化旅游城-一期-07地块-高层区（裕顺）-9栋-2701</t>
  </si>
  <si>
    <t>f3833d5c-96b4-49ee-87e6-20efd9bb1544</t>
  </si>
  <si>
    <t>贵阳恒大文化旅游城-一期-07地块-高层区（裕顺）-9栋-2702</t>
  </si>
  <si>
    <t>c1d431fb-fbd5-4d00-a8b3-7543649a29a4</t>
  </si>
  <si>
    <t>贵阳恒大文化旅游城-一期-07地块-高层区（裕顺）-9栋-2703</t>
  </si>
  <si>
    <t>2267eb28-7da8-4878-b625-506b7a7eae16</t>
  </si>
  <si>
    <t>贵阳恒大文化旅游城-一期-07地块-高层区（裕顺）-9栋-2704</t>
  </si>
  <si>
    <t>54838ae5-309b-441b-9711-3bf1512677c0</t>
  </si>
  <si>
    <t>贵阳恒大文化旅游城-一期-07地块-高层区（裕顺）-9栋-2801</t>
  </si>
  <si>
    <t>f35ef827-16a4-4d94-b92f-8ff23f2c3dd3</t>
  </si>
  <si>
    <t>贵阳恒大文化旅游城-一期-07地块-高层区（裕顺）-9栋-2802</t>
  </si>
  <si>
    <t>9bb96565-1ac2-4c5c-963e-52866f6f4a8b</t>
  </si>
  <si>
    <t>贵阳恒大文化旅游城-一期-07地块-高层区（裕顺）-9栋-2803</t>
  </si>
  <si>
    <t>a59d4753-ccb6-4221-a7ee-02887925d379</t>
  </si>
  <si>
    <t>贵阳恒大文化旅游城-一期-07地块-高层区（裕顺）-9栋-2804</t>
  </si>
  <si>
    <t>4bf885b5-913e-43d0-855b-6c08a3d85255</t>
  </si>
  <si>
    <t>贵阳恒大文化旅游城-一期-07地块-高层区（裕顺）-9栋-2901</t>
  </si>
  <si>
    <t>bdc48b53-7789-439f-b4d9-746313b497a0</t>
  </si>
  <si>
    <t>贵阳恒大文化旅游城-一期-07地块-高层区（裕顺）-9栋-2902</t>
  </si>
  <si>
    <t>3ab21ac5-3b5d-49fa-8b8d-7cd2dfb31b99</t>
  </si>
  <si>
    <t>贵阳恒大文化旅游城-一期-07地块-高层区（裕顺）-9栋-2903</t>
  </si>
  <si>
    <t>dd1113f6-49b7-42e4-8409-06eafa5d5f06</t>
  </si>
  <si>
    <t>2904</t>
  </si>
  <si>
    <t>38e61033-2dd5-4672-88a9-d7604a6a54b1</t>
  </si>
  <si>
    <t>07地块-商铺区（裕顺）-1栋</t>
  </si>
  <si>
    <t>贵阳恒大文化旅游城-一期-07地块-商铺区（裕顺）-1栋-109</t>
  </si>
  <si>
    <t>5182103a-0034-4998-8b92-30dc65ced40d</t>
  </si>
  <si>
    <t>45006cdd-2447-4019-8fe8-4254a4dc31fa</t>
  </si>
  <si>
    <t>一层商铺</t>
  </si>
  <si>
    <t>3c9e5998-4587-4b9d-b81c-ca9b5bcc11c1</t>
  </si>
  <si>
    <t>07地块-商铺区（裕顺）-2栋</t>
  </si>
  <si>
    <t>负104</t>
  </si>
  <si>
    <t>贵阳恒大文化旅游城-一期-07地块-商铺区（裕顺）-2栋-负104</t>
  </si>
  <si>
    <t>6e9e98a1-924f-4b09-aa8b-8d7a453e41ba</t>
  </si>
  <si>
    <t>80f69159-b6d3-4a6e-9930-5f051675a708</t>
  </si>
  <si>
    <t>负一层商铺</t>
  </si>
  <si>
    <t>负107</t>
  </si>
  <si>
    <t>贵阳恒大文化旅游城-一期-07地块-商铺区（裕顺）-2栋-负107</t>
  </si>
  <si>
    <t>35105869-82af-4a12-a617-69d513206c59</t>
  </si>
  <si>
    <t>负108</t>
  </si>
  <si>
    <t>d8b44f38-0406-41c0-9127-e986e123821d</t>
  </si>
  <si>
    <t>07地块-商铺区（裕顺）-3栋</t>
  </si>
  <si>
    <t>负101</t>
  </si>
  <si>
    <t>贵阳恒大文化旅游城-一期-07地块-商铺区（裕顺）-3栋-负101</t>
  </si>
  <si>
    <t>7e2b879d-ec24-4ec0-9f1d-36e0742492aa</t>
  </si>
  <si>
    <t>8bbb0009-a88e-42e9-a398-0f345f8e2bc8</t>
  </si>
  <si>
    <t>负102</t>
  </si>
  <si>
    <t>贵阳恒大文化旅游城-一期-07地块-商铺区（裕顺）-3栋-负102</t>
  </si>
  <si>
    <t>c7c6cbbe-7c8a-46cc-8798-e78381e650e4</t>
  </si>
  <si>
    <t>负103</t>
  </si>
  <si>
    <t>贵阳恒大文化旅游城-一期-07地块-商铺区（裕顺）-3栋-负103</t>
  </si>
  <si>
    <t>68a11c19-d722-473b-8b93-3a03c5e14dde</t>
  </si>
  <si>
    <t>负106</t>
  </si>
  <si>
    <t>贵阳恒大文化旅游城-一期-07地块-商铺区（裕顺）-3栋-负106</t>
  </si>
  <si>
    <t>26734460-d324-41b6-95dc-fe7ade9b1857</t>
  </si>
  <si>
    <t>f75b97e5-304a-431a-b2f0-66730073314c</t>
  </si>
  <si>
    <t>07地块-商铺区（裕顺）-4栋</t>
  </si>
  <si>
    <t>贵阳恒大文化旅游城-一期-07地块-商铺区（裕顺）-4栋-负101</t>
  </si>
  <si>
    <t>5a7aac77-d7da-4103-b3d7-48510c4e350e</t>
  </si>
  <si>
    <t>5b2853dc-a828-4272-b1d9-63d99fe32bbc</t>
  </si>
  <si>
    <t>贵阳恒大文化旅游城-一期-07地块-商铺区（裕顺）-4栋-负102</t>
  </si>
  <si>
    <t>3110d7fd-d715-41df-8c0b-d23fec73b13b</t>
  </si>
  <si>
    <t>负105</t>
  </si>
  <si>
    <t>贵阳恒大文化旅游城-一期-07地块-商铺区（裕顺）-4栋-负105</t>
  </si>
  <si>
    <t>df2c3e73-39dd-4346-a50f-520384b8905a</t>
  </si>
  <si>
    <t>e5ef5be2-368e-4f7a-b28e-2b1166dad217</t>
  </si>
  <si>
    <t>07地块-商铺区（裕顺）-5栋</t>
  </si>
  <si>
    <t>贵阳恒大文化旅游城-一期-07地块-商铺区（裕顺）-5栋-负103</t>
  </si>
  <si>
    <t>f2f45515-9f9f-49d1-acfc-7b5f2cb7d30d</t>
  </si>
  <si>
    <t>ef6555b2-7d47-4f7d-9ced-b455d4811112</t>
  </si>
  <si>
    <t>贵阳恒大文化旅游城-一期-07地块-商铺区（裕顺）-5栋-负107</t>
  </si>
  <si>
    <t>b7ffc303-3c23-46f3-b11a-ff8dddabf6b9</t>
  </si>
  <si>
    <t>7348a12d-bb9d-4ed3-b83f-7ec68a318b6d</t>
  </si>
  <si>
    <t>07地块-商铺区（裕顺）-9栋</t>
  </si>
  <si>
    <t>贵阳恒大文化旅游城-一期-07地块-商铺区（裕顺）-9栋-104</t>
  </si>
  <si>
    <t>54442f79-8918-4ecb-b8d1-db4fee0aa4c4</t>
  </si>
  <si>
    <t>54a4e911-9221-4eb1-a7b4-4d69b0e7c659</t>
  </si>
  <si>
    <t>e78434e0-710a-4e5e-9b34-0ab2e0e01b3c</t>
  </si>
  <si>
    <t>贵阳恒大文化旅游城-一期-06地块-高层区（裕顺）-10栋-1602</t>
    <phoneticPr fontId="143" type="noConversion"/>
  </si>
  <si>
    <t>10栋</t>
    <phoneticPr fontId="143" type="noConversion"/>
  </si>
  <si>
    <t>贵阳恒大文化旅游城-一期-06地块-高层区（裕顺）-11栋-2902</t>
    <phoneticPr fontId="143" type="noConversion"/>
  </si>
  <si>
    <t>11栋</t>
    <phoneticPr fontId="143" type="noConversion"/>
  </si>
  <si>
    <t>贵阳恒大文化旅游城-一期-06地块-洋房区（裕顺）-25栋1单元-402</t>
    <phoneticPr fontId="143" type="noConversion"/>
  </si>
  <si>
    <t>25栋</t>
    <phoneticPr fontId="143" type="noConversion"/>
  </si>
  <si>
    <t>贵阳恒大文化旅游城-一期-06地块-商铺区（裕顺）-3栋-111</t>
    <phoneticPr fontId="143" type="noConversion"/>
  </si>
  <si>
    <t>3栋</t>
    <phoneticPr fontId="143" type="noConversion"/>
  </si>
  <si>
    <t>贵阳恒大文化旅游城-一期-06地块-商铺区（裕顺）-4栋-108</t>
    <phoneticPr fontId="143" type="noConversion"/>
  </si>
  <si>
    <t>4栋</t>
    <phoneticPr fontId="143" type="noConversion"/>
  </si>
  <si>
    <t>贵阳恒大文化旅游城-一期-06地块-商铺区（裕顺）-16栋-108</t>
    <phoneticPr fontId="143" type="noConversion"/>
  </si>
  <si>
    <t>16栋</t>
    <phoneticPr fontId="143" type="noConversion"/>
  </si>
  <si>
    <t>贵阳恒大文化旅游城-一期-06地块-商铺区（裕顺）-20栋-109</t>
    <phoneticPr fontId="143" type="noConversion"/>
  </si>
  <si>
    <t>20栋</t>
    <phoneticPr fontId="143" type="noConversion"/>
  </si>
  <si>
    <t>贵阳恒大文化旅游城-一期-06地块-商铺区（裕顺）-24栋-118</t>
    <phoneticPr fontId="143" type="noConversion"/>
  </si>
  <si>
    <t>24栋</t>
    <phoneticPr fontId="143" type="noConversion"/>
  </si>
  <si>
    <t>贵阳恒大文化旅游城-一期-06地块-商铺区（裕顺）-25栋-112</t>
    <phoneticPr fontId="143" type="noConversion"/>
  </si>
  <si>
    <t>25栋</t>
    <phoneticPr fontId="143" type="noConversion"/>
  </si>
  <si>
    <t>贵阳恒大文化旅游城-一期-07地块-高层区（裕顺）-1栋-2903</t>
    <phoneticPr fontId="143" type="noConversion"/>
  </si>
  <si>
    <t>1栋</t>
    <phoneticPr fontId="143" type="noConversion"/>
  </si>
  <si>
    <t>贵阳恒大文化旅游城-一期-07地块-高层区（裕顺）-4栋-3203</t>
    <phoneticPr fontId="143" type="noConversion"/>
  </si>
  <si>
    <t>4栋</t>
    <phoneticPr fontId="143" type="noConversion"/>
  </si>
  <si>
    <t>贵阳恒大文化旅游城-一期-07地块-高层区（裕顺）-7栋2单元-2804</t>
    <phoneticPr fontId="143" type="noConversion"/>
  </si>
  <si>
    <t>7栋</t>
    <phoneticPr fontId="143" type="noConversion"/>
  </si>
  <si>
    <t>贵阳恒大文化旅游城-一期-07地块-高层区（裕顺）-8栋-2901</t>
    <phoneticPr fontId="143" type="noConversion"/>
  </si>
  <si>
    <t>8栋</t>
    <phoneticPr fontId="143" type="noConversion"/>
  </si>
  <si>
    <t>贵阳恒大文化旅游城-一期-07地块-高层区（裕顺）-9栋-2904</t>
    <phoneticPr fontId="143" type="noConversion"/>
  </si>
  <si>
    <t>9栋</t>
    <phoneticPr fontId="143" type="noConversion"/>
  </si>
  <si>
    <t>贵阳恒大文化旅游城-一期-07地块-商铺区（裕顺）-1栋-110</t>
    <phoneticPr fontId="143" type="noConversion"/>
  </si>
  <si>
    <t>贵阳恒大文化旅游城-一期-07地块-商铺区（裕顺）-2栋-负108</t>
    <phoneticPr fontId="143" type="noConversion"/>
  </si>
  <si>
    <t>2栋</t>
    <phoneticPr fontId="143" type="noConversion"/>
  </si>
  <si>
    <t>贵阳恒大文化旅游城-一期-07地块-商铺区（裕顺）-3栋-负107</t>
    <phoneticPr fontId="143" type="noConversion"/>
  </si>
  <si>
    <t>3栋</t>
    <phoneticPr fontId="143" type="noConversion"/>
  </si>
  <si>
    <t>贵阳恒大文化旅游城-一期-07地块-商铺区（裕顺）-4栋-负106</t>
    <phoneticPr fontId="143" type="noConversion"/>
  </si>
  <si>
    <t>贵阳恒大文化旅游城-一期-07地块-商铺区（裕顺）-5栋-负108</t>
    <phoneticPr fontId="143" type="noConversion"/>
  </si>
  <si>
    <t>5栋</t>
    <phoneticPr fontId="143" type="noConversion"/>
  </si>
  <si>
    <t>贵阳恒大文化旅游城-一期-07地块-商铺区（裕顺）-9栋-105</t>
    <phoneticPr fontId="143" type="noConversion"/>
  </si>
  <si>
    <t>楼栋</t>
    <phoneticPr fontId="143" type="noConversion"/>
  </si>
  <si>
    <t>建筑面积</t>
    <phoneticPr fontId="143" type="noConversion"/>
  </si>
  <si>
    <t>住宅</t>
    <phoneticPr fontId="143" type="noConversion"/>
  </si>
  <si>
    <t>商业</t>
    <phoneticPr fontId="143" type="noConversion"/>
  </si>
  <si>
    <t>合计</t>
    <phoneticPr fontId="143" type="noConversion"/>
  </si>
  <si>
    <t>7#地块</t>
    <phoneticPr fontId="143" type="noConversion"/>
  </si>
  <si>
    <t>6#地块</t>
    <phoneticPr fontId="143" type="noConversion"/>
  </si>
  <si>
    <t>万科花溪大都会</t>
    <phoneticPr fontId="3" type="noConversion"/>
  </si>
  <si>
    <t>碧桂园印象花溪</t>
    <phoneticPr fontId="3" type="noConversion"/>
  </si>
  <si>
    <t>押一</t>
  </si>
  <si>
    <t>按租金收入计税</t>
  </si>
  <si>
    <t>非生产用房</t>
  </si>
  <si>
    <t>地上</t>
  </si>
  <si>
    <t>成本法</t>
  </si>
  <si>
    <t>假设开发法</t>
  </si>
  <si>
    <t>总层数</t>
    <phoneticPr fontId="143" type="noConversion"/>
  </si>
  <si>
    <t>建设层数</t>
    <phoneticPr fontId="143" type="noConversion"/>
  </si>
  <si>
    <t>地下</t>
    <phoneticPr fontId="143" type="noConversion"/>
  </si>
  <si>
    <t>主体结构封顶</t>
    <phoneticPr fontId="143" type="noConversion"/>
  </si>
  <si>
    <t xml:space="preserve"> </t>
    <phoneticPr fontId="143" type="noConversion"/>
  </si>
  <si>
    <t>平整费用</t>
    <phoneticPr fontId="8" type="noConversion"/>
  </si>
  <si>
    <t>成本比率</t>
  </si>
  <si>
    <t>贵阳市经开区金竹镇</t>
    <phoneticPr fontId="143" type="noConversion"/>
  </si>
  <si>
    <t>土地比较法-住宅、综合</t>
  </si>
  <si>
    <t>较不规则</t>
  </si>
  <si>
    <t>较不规则</t>
    <phoneticPr fontId="31" type="noConversion"/>
  </si>
  <si>
    <t>《合同》</t>
    <phoneticPr fontId="6" type="noConversion"/>
  </si>
  <si>
    <t>差</t>
    <phoneticPr fontId="41" type="noConversion"/>
  </si>
  <si>
    <t>差</t>
    <phoneticPr fontId="25" type="noConversion"/>
  </si>
  <si>
    <t>较差</t>
    <phoneticPr fontId="41" type="noConversion"/>
  </si>
  <si>
    <t>土地</t>
  </si>
  <si>
    <t>贵阳恒大文化旅游城一期</t>
    <phoneticPr fontId="25" type="noConversion"/>
  </si>
  <si>
    <t>贵阳恒大文化旅游城二期</t>
    <phoneticPr fontId="3" type="noConversion"/>
  </si>
  <si>
    <t>贵阳市花溪区贵筑社区尖山村、马洞村</t>
    <phoneticPr fontId="6" type="noConversion"/>
  </si>
  <si>
    <t>地块名称</t>
    <phoneticPr fontId="143" type="noConversion"/>
  </si>
  <si>
    <t>土地面积</t>
    <phoneticPr fontId="143" type="noConversion"/>
  </si>
  <si>
    <t>建筑面积</t>
    <phoneticPr fontId="143" type="noConversion"/>
  </si>
  <si>
    <t>容积率</t>
    <phoneticPr fontId="143" type="noConversion"/>
  </si>
  <si>
    <t>楼面单价</t>
    <phoneticPr fontId="143" type="noConversion"/>
  </si>
  <si>
    <t>地面单价</t>
    <phoneticPr fontId="143" type="noConversion"/>
  </si>
  <si>
    <t>总价</t>
    <phoneticPr fontId="143" type="noConversion"/>
  </si>
  <si>
    <t>用途</t>
    <phoneticPr fontId="143" type="noConversion"/>
  </si>
  <si>
    <t xml:space="preserve">拿地楼面 </t>
    <phoneticPr fontId="143" type="noConversion"/>
  </si>
  <si>
    <t>拿地价</t>
    <phoneticPr fontId="143" type="noConversion"/>
  </si>
  <si>
    <t>住宅</t>
    <phoneticPr fontId="143" type="noConversion"/>
  </si>
  <si>
    <t>商业</t>
    <phoneticPr fontId="143" type="noConversion"/>
  </si>
  <si>
    <t>合计</t>
    <phoneticPr fontId="143" type="noConversion"/>
  </si>
  <si>
    <t>——</t>
    <phoneticPr fontId="143" type="noConversion"/>
  </si>
  <si>
    <t>估价对象</t>
  </si>
  <si>
    <t>《不动产权证书》证号</t>
  </si>
  <si>
    <t>土地面积</t>
  </si>
  <si>
    <t>（平方米）</t>
  </si>
  <si>
    <t>规划建筑面积（平方米）</t>
  </si>
  <si>
    <r>
      <t>估价对象</t>
    </r>
    <r>
      <rPr>
        <sz val="9"/>
        <color theme="1"/>
        <rFont val="Arial"/>
        <family val="2"/>
      </rPr>
      <t>1</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</si>
  <si>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093</t>
    </r>
  </si>
  <si>
    <r>
      <t>估价对象</t>
    </r>
    <r>
      <rPr>
        <sz val="9"/>
        <color theme="1"/>
        <rFont val="Arial"/>
        <family val="2"/>
      </rPr>
      <t>14</t>
    </r>
  </si>
  <si>
    <r>
      <t>黔（</t>
    </r>
    <r>
      <rPr>
        <sz val="9"/>
        <color theme="1"/>
        <rFont val="Arial"/>
        <family val="2"/>
      </rPr>
      <t>2019</t>
    </r>
    <r>
      <rPr>
        <sz val="9"/>
        <color theme="1"/>
        <rFont val="华文细黑"/>
        <family val="3"/>
        <charset val="134"/>
      </rPr>
      <t>）花溪区不动产权第</t>
    </r>
    <r>
      <rPr>
        <sz val="9"/>
        <color theme="1"/>
        <rFont val="Arial"/>
        <family val="2"/>
      </rPr>
      <t>0020544</t>
    </r>
    <r>
      <rPr>
        <sz val="9"/>
        <color theme="1"/>
        <rFont val="华文细黑"/>
        <family val="3"/>
        <charset val="134"/>
      </rPr>
      <t>号</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</si>
  <si>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0020528</t>
    </r>
    <r>
      <rPr>
        <sz val="9"/>
        <color theme="1"/>
        <rFont val="华文细黑"/>
        <family val="3"/>
        <charset val="134"/>
      </rPr>
      <t>号</t>
    </r>
    <phoneticPr fontId="143" type="noConversion"/>
  </si>
  <si>
    <r>
      <t>估价对象</t>
    </r>
    <r>
      <rPr>
        <sz val="9"/>
        <color rgb="FFFF0000"/>
        <rFont val="Arial"/>
        <family val="2"/>
      </rPr>
      <t>2</t>
    </r>
  </si>
  <si>
    <r>
      <t>黔（</t>
    </r>
    <r>
      <rPr>
        <sz val="9"/>
        <color theme="1"/>
        <rFont val="Arial"/>
        <family val="2"/>
      </rPr>
      <t>2019</t>
    </r>
    <r>
      <rPr>
        <sz val="9"/>
        <color theme="1"/>
        <rFont val="华文细黑"/>
        <family val="3"/>
        <charset val="134"/>
      </rPr>
      <t>）花溪区不动产权第</t>
    </r>
    <r>
      <rPr>
        <sz val="9"/>
        <color theme="1"/>
        <rFont val="Arial"/>
        <family val="2"/>
      </rPr>
      <t>0020529</t>
    </r>
    <r>
      <rPr>
        <sz val="9"/>
        <color theme="1"/>
        <rFont val="华文细黑"/>
        <family val="3"/>
        <charset val="134"/>
      </rPr>
      <t>号</t>
    </r>
    <phoneticPr fontId="143" type="noConversion"/>
  </si>
  <si>
    <r>
      <t>估价对象</t>
    </r>
    <r>
      <rPr>
        <sz val="9"/>
        <color rgb="FFFF0000"/>
        <rFont val="Arial"/>
        <family val="2"/>
      </rPr>
      <t>3</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</si>
  <si>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091</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</si>
  <si>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0020596</t>
    </r>
    <r>
      <rPr>
        <sz val="9"/>
        <color theme="1"/>
        <rFont val="华文细黑"/>
        <family val="3"/>
        <charset val="134"/>
      </rPr>
      <t>号</t>
    </r>
    <phoneticPr fontId="143" type="noConversion"/>
  </si>
  <si>
    <r>
      <t>估价对象</t>
    </r>
    <r>
      <rPr>
        <sz val="9"/>
        <color rgb="FFFF0000"/>
        <rFont val="Arial"/>
        <family val="2"/>
      </rPr>
      <t>4</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</si>
  <si>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092</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</si>
  <si>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0020535</t>
    </r>
    <r>
      <rPr>
        <sz val="9"/>
        <color theme="1"/>
        <rFont val="华文细黑"/>
        <family val="3"/>
        <charset val="134"/>
      </rPr>
      <t>号</t>
    </r>
    <phoneticPr fontId="143" type="noConversion"/>
  </si>
  <si>
    <r>
      <t>估价对象</t>
    </r>
    <r>
      <rPr>
        <sz val="9"/>
        <color rgb="FFFF0000"/>
        <rFont val="Arial"/>
        <family val="2"/>
      </rPr>
      <t>5</t>
    </r>
  </si>
  <si>
    <r>
      <t>黔（</t>
    </r>
    <r>
      <rPr>
        <sz val="9"/>
        <color theme="1"/>
        <rFont val="Arial"/>
        <family val="2"/>
      </rPr>
      <t>2019</t>
    </r>
    <r>
      <rPr>
        <sz val="9"/>
        <color theme="1"/>
        <rFont val="华文细黑"/>
        <family val="3"/>
        <charset val="134"/>
      </rPr>
      <t>）花溪区不动产权第</t>
    </r>
    <r>
      <rPr>
        <sz val="9"/>
        <color theme="1"/>
        <rFont val="Arial"/>
        <family val="2"/>
      </rPr>
      <t>0020542</t>
    </r>
    <r>
      <rPr>
        <sz val="9"/>
        <color theme="1"/>
        <rFont val="华文细黑"/>
        <family val="3"/>
        <charset val="134"/>
      </rPr>
      <t>号</t>
    </r>
    <phoneticPr fontId="143" type="noConversion"/>
  </si>
  <si>
    <r>
      <t>估价对象</t>
    </r>
    <r>
      <rPr>
        <sz val="9"/>
        <color rgb="FFFF0000"/>
        <rFont val="Arial"/>
        <family val="2"/>
      </rPr>
      <t>6</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</si>
  <si>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094</t>
    </r>
    <phoneticPr fontId="143" type="noConversion"/>
  </si>
  <si>
    <r>
      <t>估价对象</t>
    </r>
    <r>
      <rPr>
        <sz val="9"/>
        <color rgb="FFFF0000"/>
        <rFont val="Arial"/>
        <family val="2"/>
      </rPr>
      <t>7</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</si>
  <si>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095</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</si>
  <si>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0020526</t>
    </r>
    <r>
      <rPr>
        <sz val="9"/>
        <color theme="1"/>
        <rFont val="华文细黑"/>
        <family val="3"/>
        <charset val="134"/>
      </rPr>
      <t>号</t>
    </r>
    <phoneticPr fontId="143" type="noConversion"/>
  </si>
  <si>
    <r>
      <t>估价对象</t>
    </r>
    <r>
      <rPr>
        <sz val="9"/>
        <color rgb="FFFF0000"/>
        <rFont val="Arial"/>
        <family val="2"/>
      </rPr>
      <t>8</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</si>
  <si>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096</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</si>
  <si>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0020555</t>
    </r>
    <r>
      <rPr>
        <sz val="9"/>
        <color theme="1"/>
        <rFont val="华文细黑"/>
        <family val="3"/>
        <charset val="134"/>
      </rPr>
      <t>号</t>
    </r>
    <phoneticPr fontId="143" type="noConversion"/>
  </si>
  <si>
    <r>
      <t>估价对象</t>
    </r>
    <r>
      <rPr>
        <sz val="9"/>
        <color rgb="FFFF0000"/>
        <rFont val="Arial"/>
        <family val="2"/>
      </rPr>
      <t>9</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</si>
  <si>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097</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</si>
  <si>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0020537</t>
    </r>
    <r>
      <rPr>
        <sz val="9"/>
        <color theme="1"/>
        <rFont val="华文细黑"/>
        <family val="3"/>
        <charset val="134"/>
      </rPr>
      <t>号</t>
    </r>
    <phoneticPr fontId="143" type="noConversion"/>
  </si>
  <si>
    <r>
      <t>估价对象</t>
    </r>
    <r>
      <rPr>
        <sz val="9"/>
        <color rgb="FFFF0000"/>
        <rFont val="Arial"/>
        <family val="2"/>
      </rPr>
      <t>10</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</si>
  <si>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098</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</si>
  <si>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0020523</t>
    </r>
    <r>
      <rPr>
        <sz val="9"/>
        <color theme="1"/>
        <rFont val="华文细黑"/>
        <family val="3"/>
        <charset val="134"/>
      </rPr>
      <t>号</t>
    </r>
    <phoneticPr fontId="143" type="noConversion"/>
  </si>
  <si>
    <r>
      <t>估价对象</t>
    </r>
    <r>
      <rPr>
        <sz val="9"/>
        <color rgb="FFFF0000"/>
        <rFont val="Arial"/>
        <family val="2"/>
      </rPr>
      <t>11</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</si>
  <si>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099</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</si>
  <si>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0020524</t>
    </r>
    <r>
      <rPr>
        <sz val="9"/>
        <color theme="1"/>
        <rFont val="华文细黑"/>
        <family val="3"/>
        <charset val="134"/>
      </rPr>
      <t>号</t>
    </r>
    <phoneticPr fontId="143" type="noConversion"/>
  </si>
  <si>
    <r>
      <t>估价对象</t>
    </r>
    <r>
      <rPr>
        <sz val="9"/>
        <color rgb="FFFF0000"/>
        <rFont val="Arial"/>
        <family val="2"/>
      </rPr>
      <t>12</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</si>
  <si>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100</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</si>
  <si>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0020525</t>
    </r>
    <r>
      <rPr>
        <sz val="9"/>
        <color theme="1"/>
        <rFont val="华文细黑"/>
        <family val="3"/>
        <charset val="134"/>
      </rPr>
      <t>号</t>
    </r>
    <phoneticPr fontId="143" type="noConversion"/>
  </si>
  <si>
    <r>
      <t>估价对象</t>
    </r>
    <r>
      <rPr>
        <sz val="9"/>
        <color rgb="FFFF0000"/>
        <rFont val="Arial"/>
        <family val="2"/>
      </rPr>
      <t>13</t>
    </r>
  </si>
  <si>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102</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</si>
  <si>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0020527</t>
    </r>
    <r>
      <rPr>
        <sz val="9"/>
        <color theme="1"/>
        <rFont val="华文细黑"/>
        <family val="3"/>
        <charset val="134"/>
      </rPr>
      <t>号</t>
    </r>
    <phoneticPr fontId="143" type="noConversion"/>
  </si>
  <si>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103</t>
    </r>
    <phoneticPr fontId="143" type="noConversion"/>
  </si>
  <si>
    <r>
      <t>黔（</t>
    </r>
    <r>
      <rPr>
        <sz val="9"/>
        <color theme="1"/>
        <rFont val="Arial"/>
        <family val="2"/>
      </rPr>
      <t>2019</t>
    </r>
    <r>
      <rPr>
        <sz val="9"/>
        <color theme="1"/>
        <rFont val="华文细黑"/>
        <family val="3"/>
        <charset val="134"/>
      </rPr>
      <t>）花溪区不动产权第</t>
    </r>
    <r>
      <rPr>
        <sz val="9"/>
        <color theme="1"/>
        <rFont val="Arial"/>
        <family val="2"/>
      </rPr>
      <t>0020538</t>
    </r>
    <r>
      <rPr>
        <sz val="9"/>
        <color theme="1"/>
        <rFont val="华文细黑"/>
        <family val="3"/>
        <charset val="134"/>
      </rPr>
      <t>号</t>
    </r>
    <phoneticPr fontId="143" type="noConversion"/>
  </si>
  <si>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089</t>
    </r>
    <phoneticPr fontId="143" type="noConversion"/>
  </si>
  <si>
    <r>
      <t>G</t>
    </r>
    <r>
      <rPr>
        <sz val="9"/>
        <color theme="1"/>
        <rFont val="华文细黑"/>
        <family val="3"/>
        <charset val="134"/>
      </rPr>
      <t>（</t>
    </r>
    <r>
      <rPr>
        <sz val="9"/>
        <color theme="1"/>
        <rFont val="Arial"/>
        <family val="2"/>
      </rPr>
      <t>18</t>
    </r>
    <r>
      <rPr>
        <sz val="9"/>
        <color theme="1"/>
        <rFont val="华文细黑"/>
        <family val="3"/>
        <charset val="134"/>
      </rPr>
      <t>）</t>
    </r>
    <r>
      <rPr>
        <sz val="9"/>
        <color theme="1"/>
        <rFont val="Arial"/>
        <family val="2"/>
      </rPr>
      <t>090</t>
    </r>
    <phoneticPr fontId="143" type="noConversion"/>
  </si>
  <si>
    <t>无</t>
    <phoneticPr fontId="31" type="noConversion"/>
  </si>
  <si>
    <t>有</t>
    <phoneticPr fontId="31" type="noConversion"/>
  </si>
  <si>
    <t>经开区小孟社区红艳村</t>
  </si>
  <si>
    <t>G〔19〕051</t>
  </si>
  <si>
    <t>2019-08-15</t>
  </si>
  <si>
    <t>贵阳经开融创黔城房地产开发有限公司</t>
  </si>
  <si>
    <t>公共配套</t>
    <phoneticPr fontId="143" type="noConversion"/>
  </si>
  <si>
    <t>贵阳恒大童梦天地旅游发展有限公司</t>
    <phoneticPr fontId="6" type="noConversion"/>
  </si>
  <si>
    <t>中信信托</t>
    <phoneticPr fontId="6" type="noConversion"/>
  </si>
  <si>
    <t>商业项目</t>
  </si>
  <si>
    <t>独栋</t>
  </si>
  <si>
    <t>商业</t>
    <phoneticPr fontId="7" type="noConversion"/>
  </si>
  <si>
    <t>商业</t>
    <phoneticPr fontId="31" type="noConversion"/>
  </si>
  <si>
    <t>开发进度</t>
  </si>
  <si>
    <t>交易状态</t>
  </si>
  <si>
    <t>地面单价</t>
    <phoneticPr fontId="3" type="noConversion"/>
  </si>
  <si>
    <t>花溪区青岩镇龙井村</t>
  </si>
  <si>
    <t>商业/办公用地</t>
  </si>
  <si>
    <t>G〔19〕103</t>
  </si>
  <si>
    <t>商业(商业建筑比例不大于*90%,娱乐康体建筑比例不大于*10%。)</t>
  </si>
  <si>
    <t>≤1.0</t>
  </si>
  <si>
    <t>未开工</t>
  </si>
  <si>
    <t>2019-12-11</t>
  </si>
  <si>
    <t>已成交</t>
  </si>
  <si>
    <t>贵州奇域开发管理有限公司</t>
  </si>
  <si>
    <t>40年</t>
  </si>
  <si>
    <t>贵阳市花溪区青岩镇北街村、歪脚村</t>
  </si>
  <si>
    <t>G〔19〕094</t>
  </si>
  <si>
    <t>≤0.8</t>
  </si>
  <si>
    <t>2019-12-04</t>
  </si>
  <si>
    <t>贵州水院黔街置业有限公司</t>
  </si>
  <si>
    <t>贵阳市花溪区青岩镇龙井村</t>
  </si>
  <si>
    <t>G〔19〕032</t>
  </si>
  <si>
    <t>≤1.39</t>
  </si>
  <si>
    <t>2019-06-19</t>
  </si>
  <si>
    <t>贵阳市城市发展投资(集团)股份有限公司</t>
  </si>
  <si>
    <t>新区栋青路交科技路南侧</t>
  </si>
  <si>
    <t>HE-12-06</t>
  </si>
  <si>
    <t>商业用地B1(兼容商务建筑)</t>
  </si>
  <si>
    <t>≤1.8</t>
  </si>
  <si>
    <t>贵阳市花溪区石板镇合朋村</t>
  </si>
  <si>
    <t>G〔19〕021</t>
  </si>
  <si>
    <t>≤3</t>
  </si>
  <si>
    <t>开工中</t>
  </si>
  <si>
    <t>2019-05-16</t>
  </si>
  <si>
    <t>贵阳金石坤城置业有限公司</t>
  </si>
  <si>
    <t>贵阳市花溪区青岩镇南街村</t>
  </si>
  <si>
    <t>G〔19〕011</t>
  </si>
  <si>
    <t>贵州青岩碧桂园房地产开发有限公司</t>
  </si>
  <si>
    <t>商业40年</t>
  </si>
  <si>
    <t>贵阳市花溪区石板镇云凹村</t>
  </si>
  <si>
    <t>G〔19〕008</t>
  </si>
  <si>
    <t>≤2</t>
  </si>
  <si>
    <t>贵州鑫联城房地产开发有限公司</t>
  </si>
  <si>
    <t>商业用地40年</t>
  </si>
  <si>
    <t>贵阳市花溪区贵筑社区尖山村</t>
  </si>
  <si>
    <t>G(18)106</t>
  </si>
  <si>
    <t>其他商服用地</t>
  </si>
  <si>
    <t>贵阳城南地产(集团)有限公司</t>
  </si>
  <si>
    <t>G(18)105</t>
  </si>
  <si>
    <t>≤3.5</t>
  </si>
  <si>
    <t>张世惠</t>
  </si>
  <si>
    <t>G(18)104</t>
  </si>
  <si>
    <t>≤1.5</t>
  </si>
  <si>
    <t>贵阳花溪建设村镇银行有限责任公司</t>
  </si>
  <si>
    <t>新区马场镇</t>
  </si>
  <si>
    <t>MN-31-07</t>
  </si>
  <si>
    <t>批发零售用地</t>
  </si>
  <si>
    <t>＞0,≤2</t>
  </si>
  <si>
    <t>2018-12-26</t>
  </si>
  <si>
    <t>贵州贵安综合保税区有限公司</t>
  </si>
  <si>
    <t>花溪区孟关乡五星村</t>
  </si>
  <si>
    <t>G〔18〕085</t>
  </si>
  <si>
    <t>商业(加油加气站)</t>
  </si>
  <si>
    <t>＜0.5</t>
  </si>
  <si>
    <t>2018-12-19</t>
  </si>
  <si>
    <t>贵阳中石化元通能源有限公司</t>
  </si>
  <si>
    <t>新区寅贡路交清渠路西侧</t>
  </si>
  <si>
    <t>ZD-28</t>
  </si>
  <si>
    <t>＞0,≤3</t>
  </si>
  <si>
    <t>2018-12-05</t>
  </si>
  <si>
    <t>贵州贵安新区碧桂园建设开发有限公司</t>
  </si>
  <si>
    <t>新区百马大道西侧</t>
  </si>
  <si>
    <t>ZD-10-01-1</t>
  </si>
  <si>
    <t>＞0,≤3.5</t>
  </si>
  <si>
    <t>贵州烟草投资管理有限公司与贵州科泰房地产开发有限公司</t>
  </si>
  <si>
    <t>新区龙武路交清渠路南侧</t>
  </si>
  <si>
    <t>ZD-30</t>
  </si>
  <si>
    <t>ZD-23</t>
  </si>
  <si>
    <t>＞0,≤4.5</t>
  </si>
  <si>
    <t>新区北斗路西侧</t>
  </si>
  <si>
    <t>MQ-01-04</t>
  </si>
  <si>
    <t>住宿餐饮用地</t>
  </si>
  <si>
    <t>＞0,≤0.5</t>
  </si>
  <si>
    <t>ZD-22-01</t>
  </si>
  <si>
    <t>＞0,≤1</t>
  </si>
  <si>
    <t>ZD-24</t>
  </si>
  <si>
    <t>＞0,≤4</t>
  </si>
  <si>
    <t>ZD-26-04</t>
  </si>
  <si>
    <t>ZD-22-03</t>
  </si>
  <si>
    <t>ZB-01-02-1</t>
  </si>
  <si>
    <t>＞0,≤2.5</t>
  </si>
  <si>
    <t>新区黔中大道南侧北斗路东侧</t>
  </si>
  <si>
    <t>XJ-01-02</t>
  </si>
  <si>
    <t>＞0,≤0.8</t>
  </si>
  <si>
    <t>贵州贵安文化旅游投资集团有限公司</t>
  </si>
  <si>
    <t>XJ-01-01</t>
  </si>
  <si>
    <t>ZB-04-01-1</t>
  </si>
  <si>
    <t>花溪区贵筑社区尖山村</t>
  </si>
  <si>
    <t>G(18)057</t>
  </si>
  <si>
    <t>≤1.3</t>
  </si>
  <si>
    <t>杨芳俊</t>
  </si>
  <si>
    <t>大学城平安大道交思雅路西北侧</t>
  </si>
  <si>
    <t>HI-08-06</t>
  </si>
  <si>
    <t>商业用地</t>
  </si>
  <si>
    <t>≤2.0</t>
  </si>
  <si>
    <t>2018-08-01</t>
  </si>
  <si>
    <t>花溪区清溪社区桐木岭村</t>
  </si>
  <si>
    <t>G(18)043</t>
  </si>
  <si>
    <t>2018-04-20</t>
  </si>
  <si>
    <t>贵州惠城实业有限公司</t>
  </si>
  <si>
    <t>G(18)037</t>
  </si>
  <si>
    <t>≤1</t>
  </si>
  <si>
    <t>G(18)035</t>
  </si>
  <si>
    <t>花溪区孟关乡上板村</t>
  </si>
  <si>
    <t>G(18)024</t>
  </si>
  <si>
    <t>2018-03-09</t>
  </si>
  <si>
    <t>贵阳传化石油销售有限公司</t>
  </si>
  <si>
    <t>G(18)013</t>
  </si>
  <si>
    <t>≤4</t>
  </si>
  <si>
    <t>G(18)016</t>
  </si>
  <si>
    <t>等于1</t>
  </si>
  <si>
    <t>G(18)020</t>
  </si>
  <si>
    <t>2018-02-08</t>
  </si>
  <si>
    <t>贵阳花溪城南置业有限公司</t>
  </si>
  <si>
    <t>贵阳恒大文化旅游城花溪项目42个地块指标平衡对比表（调整后）</t>
  </si>
  <si>
    <t>摘牌公司</t>
  </si>
  <si>
    <t>总用地面积（㎡）</t>
  </si>
  <si>
    <t>净用地面积(国土证面积）（㎡）</t>
  </si>
  <si>
    <t>市政道路用地面积（㎡）</t>
  </si>
  <si>
    <t>绿地用地面积（㎡）</t>
  </si>
  <si>
    <t>大沟用地面积（㎡）</t>
  </si>
  <si>
    <t>总建筑面积㎡</t>
  </si>
  <si>
    <t>商业建筑面积㎡</t>
  </si>
  <si>
    <t>居住建筑面积㎡</t>
  </si>
  <si>
    <t>备注                 （主体建筑物性质）</t>
  </si>
  <si>
    <t>贵阳恒大耀佳旅游开发有限公司</t>
  </si>
  <si>
    <t>商业-04
（02-04-01地块）</t>
  </si>
  <si>
    <t>\</t>
  </si>
  <si>
    <t>商业B1</t>
  </si>
  <si>
    <t>贵阳恒大宏禄旅游开发有限公司</t>
  </si>
  <si>
    <t>商业-13B
（02-07-02地块）</t>
  </si>
  <si>
    <t>贵阳恒大凯源旅游开发有限公司</t>
  </si>
  <si>
    <t>商业-01、02
（02-05-04地块）</t>
  </si>
  <si>
    <t>2019-1-0500</t>
    <phoneticPr fontId="6" type="noConversion"/>
  </si>
  <si>
    <r>
      <t>10%</t>
    </r>
    <r>
      <rPr>
        <sz val="10"/>
        <color indexed="8"/>
        <rFont val="宋体"/>
        <family val="3"/>
        <charset val="134"/>
      </rPr>
      <t>配建成本</t>
    </r>
    <phoneticPr fontId="3" type="noConversion"/>
  </si>
  <si>
    <t xml:space="preserve"> </t>
    <phoneticPr fontId="3" type="noConversion"/>
  </si>
  <si>
    <t>楼层</t>
    <phoneticPr fontId="3" type="noConversion"/>
  </si>
  <si>
    <t>系数</t>
    <phoneticPr fontId="3" type="noConversion"/>
  </si>
  <si>
    <t>租金</t>
    <phoneticPr fontId="3" type="noConversion"/>
  </si>
  <si>
    <t>容积率</t>
    <phoneticPr fontId="3" type="noConversion"/>
  </si>
  <si>
    <t>0-1</t>
    <phoneticPr fontId="3" type="noConversion"/>
  </si>
  <si>
    <t>1-2</t>
    <phoneticPr fontId="3" type="noConversion"/>
  </si>
  <si>
    <t>2-3</t>
    <phoneticPr fontId="3" type="noConversion"/>
  </si>
  <si>
    <t xml:space="preserve"> </t>
    <phoneticPr fontId="25" type="noConversion"/>
  </si>
  <si>
    <t>3-4</t>
  </si>
  <si>
    <t>3-4</t>
    <phoneticPr fontId="3" type="noConversion"/>
  </si>
  <si>
    <t>0-1</t>
  </si>
  <si>
    <t>总价</t>
  </si>
  <si>
    <t>情况3</t>
  </si>
  <si>
    <t>G23</t>
  </si>
  <si>
    <t>总地价款</t>
  </si>
  <si>
    <t>总土地面积</t>
  </si>
  <si>
    <t>地块土地面积</t>
  </si>
  <si>
    <t>地块建面</t>
  </si>
  <si>
    <t>仅含出让金</t>
  </si>
  <si>
    <t>询价</t>
    <phoneticPr fontId="8"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</si>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</sst>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
    <numFmt numFmtId="198" formatCode="[$-10804]yyyy/m/d\ h:mm:ss"/>
    <numFmt numFmtId="199" formatCode="[$-10804]yyyy/m/d"/>
    <numFmt numFmtId="200" formatCode="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rgb="FF000000"/>
      <name val="宋体"/>
      <family val="3"/>
      <charset val="134"/>
    </font>
    <font>
      <sz val="9"/>
      <color rgb="FF000000"/>
      <name val="宋体"/>
      <family val="3"/>
      <charset val="134"/>
    </font>
    <font>
      <sz val="9"/>
      <color theme="1"/>
      <name val="华文细黑"/>
      <family val="3"/>
      <charset val="134"/>
    </font>
    <font>
      <sz val="9"/>
      <color theme="1"/>
      <name val="Arial"/>
      <family val="2"/>
    </font>
    <font>
      <sz val="9"/>
      <color rgb="FFFF0000"/>
      <name val="华文细黑"/>
      <family val="3"/>
      <charset val="134"/>
    </font>
    <font>
      <b/>
      <sz val="33"/>
      <color theme="1"/>
      <name val="宋体"/>
      <family val="3"/>
      <charset val="134"/>
      <scheme val="minor"/>
    </font>
    <font>
      <sz val="22"/>
      <color theme="1"/>
      <name val="宋体"/>
      <family val="3"/>
      <charset val="134"/>
      <scheme val="minor"/>
    </font>
    <font>
      <sz val="28"/>
      <color theme="1"/>
      <name val="宋体"/>
      <family val="3"/>
      <charset val="134"/>
      <scheme val="minor"/>
    </font>
    <font>
      <b/>
      <sz val="33"/>
      <color theme="1"/>
      <name val="黑体"/>
      <family val="3"/>
      <charset val="134"/>
    </font>
    <font>
      <b/>
      <sz val="33"/>
      <name val="宋体"/>
      <family val="3"/>
      <charset val="134"/>
      <scheme val="minor"/>
    </font>
    <font>
      <sz val="20"/>
      <color theme="1"/>
      <name val="宋体"/>
      <family val="3"/>
      <charset val="134"/>
      <scheme val="minor"/>
    </font>
    <font>
      <sz val="26"/>
      <color theme="1"/>
      <name val="宋体"/>
      <family val="3"/>
      <charset val="134"/>
      <scheme val="minor"/>
    </font>
    <font>
      <sz val="18"/>
      <color theme="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E2E2E2"/>
        <bgColor rgb="FFE2E2E2"/>
      </patternFill>
    </fill>
    <fill>
      <patternFill patternType="solid">
        <fgColor rgb="FFFFFFFF"/>
        <bgColor rgb="FFFFFFFF"/>
      </patternFill>
    </fill>
    <fill>
      <patternFill patternType="solid">
        <fgColor theme="9" tint="0.39997558519241921"/>
        <bgColor rgb="FFFFFFFF"/>
      </patternFill>
    </fill>
    <fill>
      <patternFill patternType="solid">
        <fgColor theme="9" tint="0.39997558519241921"/>
        <bgColor rgb="FFE2E2E2"/>
      </patternFill>
    </fill>
    <fill>
      <patternFill patternType="solid">
        <fgColor theme="6"/>
        <bgColor rgb="FFFFFFFF"/>
      </patternFill>
    </fill>
    <fill>
      <patternFill patternType="solid">
        <fgColor theme="6"/>
        <bgColor indexed="64"/>
      </patternFill>
    </fill>
    <fill>
      <patternFill patternType="solid">
        <fgColor theme="9" tint="0.59999389629810485"/>
        <bgColor indexed="64"/>
      </patternFill>
    </fill>
    <fill>
      <patternFill patternType="solid">
        <fgColor theme="8"/>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64" fillId="18"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6" fontId="47" fillId="18" borderId="24" xfId="1"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pplyAlignment="1"/>
    <xf numFmtId="0" fontId="19" fillId="0" borderId="0" xfId="0" applyFont="1" applyAlignment="1"/>
    <xf numFmtId="0" fontId="0" fillId="5" borderId="0" xfId="0" applyFill="1" applyAlignment="1"/>
    <xf numFmtId="0" fontId="120" fillId="0" borderId="0" xfId="0" applyFont="1" applyAlignment="1"/>
    <xf numFmtId="0" fontId="54" fillId="18" borderId="6" xfId="0" applyNumberFormat="1" applyFont="1" applyFill="1" applyBorder="1" applyAlignment="1" applyProtection="1">
      <alignment horizontal="center" vertical="center" wrapText="1"/>
      <protection locked="0"/>
    </xf>
    <xf numFmtId="49" fontId="54" fillId="18"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19" borderId="156" xfId="10" applyNumberFormat="1" applyFont="1" applyFill="1" applyBorder="1" applyAlignment="1">
      <alignment horizontal="center" vertical="center" wrapText="1" readingOrder="1"/>
    </xf>
    <xf numFmtId="0" fontId="99" fillId="0" borderId="0" xfId="10">
      <alignment vertical="center"/>
    </xf>
    <xf numFmtId="0" fontId="256" fillId="20" borderId="156" xfId="10" applyNumberFormat="1" applyFont="1" applyFill="1" applyBorder="1" applyAlignment="1">
      <alignment horizontal="left" vertical="center" wrapText="1" readingOrder="1"/>
    </xf>
    <xf numFmtId="197" fontId="256" fillId="20" borderId="156" xfId="10" applyNumberFormat="1" applyFont="1" applyFill="1" applyBorder="1" applyAlignment="1">
      <alignment horizontal="left" vertical="center" wrapText="1" readingOrder="1"/>
    </xf>
    <xf numFmtId="198" fontId="256" fillId="20" borderId="156" xfId="10" applyNumberFormat="1" applyFont="1" applyFill="1" applyBorder="1" applyAlignment="1">
      <alignment horizontal="left" vertical="center" wrapText="1" readingOrder="1"/>
    </xf>
    <xf numFmtId="199" fontId="256" fillId="20" borderId="156" xfId="10" applyNumberFormat="1" applyFont="1" applyFill="1" applyBorder="1" applyAlignment="1">
      <alignment horizontal="left" vertical="center" wrapText="1" readingOrder="1"/>
    </xf>
    <xf numFmtId="0" fontId="256" fillId="21" borderId="156" xfId="10" applyNumberFormat="1" applyFont="1" applyFill="1" applyBorder="1" applyAlignment="1">
      <alignment horizontal="left" vertical="center" wrapText="1" readingOrder="1"/>
    </xf>
    <xf numFmtId="197" fontId="256" fillId="21" borderId="156" xfId="10" applyNumberFormat="1" applyFont="1" applyFill="1" applyBorder="1" applyAlignment="1">
      <alignment horizontal="left" vertical="center" wrapText="1" readingOrder="1"/>
    </xf>
    <xf numFmtId="198" fontId="256" fillId="21" borderId="156" xfId="10" applyNumberFormat="1" applyFont="1" applyFill="1" applyBorder="1" applyAlignment="1">
      <alignment horizontal="left" vertical="center" wrapText="1" readingOrder="1"/>
    </xf>
    <xf numFmtId="199" fontId="256" fillId="21" borderId="156" xfId="10" applyNumberFormat="1" applyFont="1" applyFill="1" applyBorder="1" applyAlignment="1">
      <alignment horizontal="left" vertical="center" wrapText="1" readingOrder="1"/>
    </xf>
    <xf numFmtId="0" fontId="99" fillId="18" borderId="0" xfId="10" applyFill="1">
      <alignment vertical="center"/>
    </xf>
    <xf numFmtId="0" fontId="255" fillId="22" borderId="156" xfId="10" applyNumberFormat="1" applyFont="1" applyFill="1" applyBorder="1" applyAlignment="1">
      <alignment horizontal="center" vertical="center" wrapText="1" readingOrder="1"/>
    </xf>
    <xf numFmtId="0" fontId="256" fillId="23" borderId="156" xfId="10" applyNumberFormat="1" applyFont="1" applyFill="1" applyBorder="1" applyAlignment="1">
      <alignment horizontal="left" vertical="center" wrapText="1" readingOrder="1"/>
    </xf>
    <xf numFmtId="197" fontId="256" fillId="23" borderId="156" xfId="10" applyNumberFormat="1" applyFont="1" applyFill="1" applyBorder="1" applyAlignment="1">
      <alignment horizontal="left" vertical="center" wrapText="1" readingOrder="1"/>
    </xf>
    <xf numFmtId="198" fontId="256" fillId="23" borderId="156" xfId="10" applyNumberFormat="1" applyFont="1" applyFill="1" applyBorder="1" applyAlignment="1">
      <alignment horizontal="left" vertical="center" wrapText="1" readingOrder="1"/>
    </xf>
    <xf numFmtId="199" fontId="256" fillId="23" borderId="156" xfId="10" applyNumberFormat="1" applyFont="1" applyFill="1" applyBorder="1" applyAlignment="1">
      <alignment horizontal="left" vertical="center" wrapText="1" readingOrder="1"/>
    </xf>
    <xf numFmtId="0" fontId="99" fillId="24" borderId="0" xfId="10" applyFill="1">
      <alignment vertical="center"/>
    </xf>
    <xf numFmtId="197" fontId="99" fillId="24" borderId="0" xfId="10" applyNumberFormat="1" applyFill="1">
      <alignment vertical="center"/>
    </xf>
    <xf numFmtId="197" fontId="99" fillId="0" borderId="0" xfId="10" applyNumberFormat="1">
      <alignment vertical="center"/>
    </xf>
    <xf numFmtId="0" fontId="99" fillId="17" borderId="1" xfId="10" applyFill="1" applyBorder="1" applyAlignment="1">
      <alignment horizontal="left" vertical="center"/>
    </xf>
    <xf numFmtId="197" fontId="99" fillId="17" borderId="1" xfId="10" applyNumberFormat="1" applyFill="1" applyBorder="1" applyAlignment="1">
      <alignment horizontal="left" vertical="center"/>
    </xf>
    <xf numFmtId="0" fontId="99" fillId="25" borderId="1" xfId="10" applyFill="1" applyBorder="1" applyAlignment="1">
      <alignment horizontal="left" vertical="center"/>
    </xf>
    <xf numFmtId="197" fontId="99" fillId="25" borderId="1" xfId="10" applyNumberFormat="1" applyFill="1" applyBorder="1" applyAlignment="1">
      <alignment horizontal="left" vertical="center"/>
    </xf>
    <xf numFmtId="0" fontId="47" fillId="17" borderId="23" xfId="0" applyNumberFormat="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9" fontId="99" fillId="0" borderId="0" xfId="10" applyNumberFormat="1">
      <alignment vertical="center"/>
    </xf>
    <xf numFmtId="9" fontId="99" fillId="18" borderId="0" xfId="10" applyNumberFormat="1" applyFill="1">
      <alignment vertical="center"/>
    </xf>
    <xf numFmtId="9" fontId="99" fillId="18" borderId="0" xfId="17" applyFont="1" applyFill="1">
      <alignment vertical="center"/>
    </xf>
    <xf numFmtId="0" fontId="131" fillId="0" borderId="23" xfId="0" applyFont="1" applyBorder="1" applyAlignment="1" applyProtection="1">
      <alignment horizontal="center" vertical="center"/>
      <protection locked="0"/>
    </xf>
    <xf numFmtId="0" fontId="106" fillId="17" borderId="1" xfId="0" applyFont="1" applyFill="1" applyBorder="1" applyAlignment="1" applyProtection="1">
      <alignment horizontal="center" vertical="center"/>
      <protection locked="0"/>
    </xf>
    <xf numFmtId="179" fontId="50" fillId="18" borderId="1" xfId="0" applyNumberFormat="1" applyFont="1" applyFill="1" applyBorder="1" applyAlignment="1" applyProtection="1">
      <alignment horizontal="center" vertical="center" wrapText="1"/>
      <protection locked="0"/>
    </xf>
    <xf numFmtId="0" fontId="19" fillId="18" borderId="10" xfId="1" applyNumberFormat="1" applyFont="1" applyFill="1" applyBorder="1" applyAlignment="1" applyProtection="1">
      <alignment horizontal="center" vertical="center"/>
      <protection locked="0"/>
    </xf>
    <xf numFmtId="188" fontId="50" fillId="0" borderId="1" xfId="0" applyNumberFormat="1" applyFont="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0" fontId="0" fillId="5" borderId="0" xfId="0" applyFill="1">
      <alignment vertical="center"/>
    </xf>
    <xf numFmtId="0" fontId="0" fillId="0" borderId="1" xfId="0" applyBorder="1" applyAlignment="1">
      <alignment horizontal="center" vertical="center"/>
    </xf>
    <xf numFmtId="0" fontId="100" fillId="0" borderId="1" xfId="0" applyFont="1" applyFill="1" applyBorder="1" applyAlignment="1">
      <alignment horizontal="center" vertical="center"/>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0" fontId="99" fillId="0" borderId="1" xfId="0" applyFont="1" applyBorder="1" applyAlignment="1">
      <alignment horizontal="center" vertical="center"/>
    </xf>
    <xf numFmtId="0" fontId="257" fillId="0" borderId="160"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8" fillId="0" borderId="161" xfId="0" applyFont="1" applyBorder="1" applyAlignment="1">
      <alignment horizontal="justify" vertical="center" wrapText="1"/>
    </xf>
    <xf numFmtId="0" fontId="258" fillId="5" borderId="161" xfId="0" applyFont="1" applyFill="1" applyBorder="1" applyAlignment="1">
      <alignment horizontal="justify" vertical="center" wrapText="1"/>
    </xf>
    <xf numFmtId="58" fontId="0" fillId="0" borderId="0" xfId="0" applyNumberFormat="1">
      <alignment vertical="center"/>
    </xf>
    <xf numFmtId="58" fontId="0" fillId="5" borderId="0" xfId="0" applyNumberFormat="1" applyFill="1">
      <alignment vertical="center"/>
    </xf>
    <xf numFmtId="0" fontId="259" fillId="0" borderId="158" xfId="0" applyFont="1" applyBorder="1" applyAlignment="1">
      <alignment horizontal="justify" vertical="center" wrapText="1"/>
    </xf>
    <xf numFmtId="200" fontId="258" fillId="0" borderId="161" xfId="0" applyNumberFormat="1" applyFont="1" applyBorder="1" applyAlignment="1">
      <alignment horizontal="justify" vertical="center" wrapText="1"/>
    </xf>
    <xf numFmtId="0" fontId="137" fillId="0" borderId="41" xfId="0" applyNumberFormat="1" applyFont="1" applyFill="1" applyBorder="1" applyAlignment="1" applyProtection="1">
      <alignment horizontal="center" vertical="center" wrapText="1"/>
      <protection locked="0"/>
    </xf>
    <xf numFmtId="0" fontId="257" fillId="0" borderId="0" xfId="0" applyFont="1" applyFill="1" applyBorder="1" applyAlignment="1">
      <alignment horizontal="justify" vertical="center" wrapText="1"/>
    </xf>
    <xf numFmtId="0" fontId="258" fillId="0" borderId="0" xfId="0" applyFont="1" applyFill="1" applyBorder="1" applyAlignment="1">
      <alignment horizontal="justify" vertical="center" wrapText="1"/>
    </xf>
    <xf numFmtId="9" fontId="0" fillId="0" borderId="0" xfId="17" applyFont="1">
      <alignment vertical="center"/>
    </xf>
    <xf numFmtId="183" fontId="54" fillId="6" borderId="0" xfId="17" applyNumberFormat="1" applyFont="1" applyFill="1" applyAlignment="1" applyProtection="1">
      <alignment horizontal="center" vertical="center"/>
      <protection locked="0"/>
    </xf>
    <xf numFmtId="0" fontId="0" fillId="0" borderId="15" xfId="0" applyFill="1" applyBorder="1" applyAlignment="1">
      <alignment horizontal="center" vertical="center"/>
    </xf>
    <xf numFmtId="182" fontId="0" fillId="0" borderId="0" xfId="0" applyNumberFormat="1">
      <alignment vertical="center"/>
    </xf>
    <xf numFmtId="0" fontId="259" fillId="26" borderId="158" xfId="0" applyFont="1" applyFill="1" applyBorder="1" applyAlignment="1">
      <alignment horizontal="justify" vertical="center" wrapText="1"/>
    </xf>
    <xf numFmtId="0" fontId="258" fillId="26" borderId="161" xfId="0" applyFont="1" applyFill="1" applyBorder="1" applyAlignment="1">
      <alignment horizontal="justify" vertical="center" wrapText="1"/>
    </xf>
    <xf numFmtId="0" fontId="257" fillId="26" borderId="161" xfId="0" applyFont="1" applyFill="1" applyBorder="1" applyAlignment="1">
      <alignment horizontal="justify" vertical="center" wrapText="1"/>
    </xf>
    <xf numFmtId="0" fontId="190" fillId="7" borderId="5" xfId="0" applyFont="1" applyFill="1" applyBorder="1" applyAlignment="1" applyProtection="1">
      <alignment vertical="center"/>
      <protection locked="0"/>
    </xf>
    <xf numFmtId="0" fontId="0" fillId="26" borderId="0" xfId="0" applyFill="1" applyAlignment="1"/>
    <xf numFmtId="0" fontId="261" fillId="0" borderId="0" xfId="10" applyFont="1" applyAlignment="1">
      <alignment vertical="center" wrapText="1"/>
    </xf>
    <xf numFmtId="0" fontId="262" fillId="0" borderId="0" xfId="10" applyFont="1">
      <alignment vertical="center"/>
    </xf>
    <xf numFmtId="0" fontId="260" fillId="7" borderId="1" xfId="10" applyFont="1" applyFill="1" applyBorder="1" applyAlignment="1">
      <alignment horizontal="center" vertical="center" wrapText="1"/>
    </xf>
    <xf numFmtId="0" fontId="263" fillId="7" borderId="1" xfId="10" applyFont="1" applyFill="1" applyBorder="1" applyAlignment="1">
      <alignment horizontal="center" vertical="center" wrapText="1"/>
    </xf>
    <xf numFmtId="0" fontId="260" fillId="0" borderId="1" xfId="10" applyFont="1" applyBorder="1" applyAlignment="1">
      <alignment horizontal="center" vertical="center"/>
    </xf>
    <xf numFmtId="0" fontId="260" fillId="0" borderId="1" xfId="10" applyNumberFormat="1" applyFont="1" applyFill="1" applyBorder="1" applyAlignment="1">
      <alignment horizontal="center" vertical="center" wrapText="1"/>
    </xf>
    <xf numFmtId="179" fontId="260" fillId="0" borderId="1" xfId="10" applyNumberFormat="1" applyFont="1" applyFill="1" applyBorder="1" applyAlignment="1">
      <alignment horizontal="center" vertical="center"/>
    </xf>
    <xf numFmtId="179" fontId="264" fillId="0" borderId="1" xfId="10" applyNumberFormat="1" applyFont="1" applyFill="1" applyBorder="1" applyAlignment="1">
      <alignment horizontal="center" vertical="center"/>
    </xf>
    <xf numFmtId="0" fontId="264" fillId="0" borderId="1" xfId="10" applyFont="1" applyFill="1" applyBorder="1" applyAlignment="1">
      <alignment horizontal="center" vertical="center" wrapText="1"/>
    </xf>
    <xf numFmtId="0" fontId="260" fillId="0" borderId="1" xfId="10" applyFont="1" applyFill="1" applyBorder="1" applyAlignment="1">
      <alignment horizontal="center" vertical="center"/>
    </xf>
    <xf numFmtId="0" fontId="260" fillId="0" borderId="1" xfId="10" applyFont="1" applyBorder="1" applyAlignment="1">
      <alignment vertical="center" wrapText="1"/>
    </xf>
    <xf numFmtId="0" fontId="260" fillId="0" borderId="1" xfId="10" applyFont="1" applyFill="1" applyBorder="1" applyAlignment="1">
      <alignment vertical="center"/>
    </xf>
    <xf numFmtId="0" fontId="100" fillId="0" borderId="0" xfId="10" applyFont="1" applyFill="1">
      <alignment vertical="center"/>
    </xf>
    <xf numFmtId="0" fontId="99" fillId="0" borderId="0" xfId="10" applyFill="1">
      <alignment vertical="center"/>
    </xf>
    <xf numFmtId="0" fontId="265" fillId="0" borderId="0" xfId="10" applyFont="1" applyFill="1">
      <alignment vertical="center"/>
    </xf>
    <xf numFmtId="0" fontId="265" fillId="0" borderId="0" xfId="10" applyFont="1">
      <alignment vertical="center"/>
    </xf>
    <xf numFmtId="0" fontId="266" fillId="0" borderId="0" xfId="10" applyFont="1">
      <alignment vertical="center"/>
    </xf>
    <xf numFmtId="0" fontId="267" fillId="0" borderId="0" xfId="10" applyFont="1">
      <alignment vertical="center"/>
    </xf>
    <xf numFmtId="0" fontId="128" fillId="0" borderId="0" xfId="10" applyFont="1" applyFill="1" applyAlignment="1">
      <alignment horizontal="center" vertical="center" wrapText="1"/>
    </xf>
    <xf numFmtId="0" fontId="127" fillId="0" borderId="0" xfId="10" applyFont="1" applyFill="1" applyAlignment="1">
      <alignment horizontal="center" vertical="center" wrapText="1"/>
    </xf>
    <xf numFmtId="0" fontId="100" fillId="0" borderId="0" xfId="10" applyFont="1">
      <alignment vertical="center"/>
    </xf>
    <xf numFmtId="0" fontId="260" fillId="5" borderId="1" xfId="10" applyFont="1" applyFill="1" applyBorder="1" applyAlignment="1">
      <alignment horizontal="center" vertical="center"/>
    </xf>
    <xf numFmtId="0" fontId="260" fillId="5" borderId="1" xfId="10" applyFont="1" applyFill="1" applyBorder="1" applyAlignment="1">
      <alignment horizontal="center" vertical="center" wrapText="1"/>
    </xf>
    <xf numFmtId="0" fontId="260" fillId="5" borderId="1" xfId="10" applyNumberFormat="1" applyFont="1" applyFill="1" applyBorder="1" applyAlignment="1">
      <alignment horizontal="center" vertical="center" wrapText="1"/>
    </xf>
    <xf numFmtId="179" fontId="260" fillId="5" borderId="1" xfId="10" applyNumberFormat="1" applyFont="1" applyFill="1" applyBorder="1" applyAlignment="1">
      <alignment horizontal="center" vertical="center"/>
    </xf>
    <xf numFmtId="179" fontId="264" fillId="5" borderId="1" xfId="10" applyNumberFormat="1" applyFont="1" applyFill="1" applyBorder="1" applyAlignment="1">
      <alignment horizontal="center" vertical="center" wrapText="1"/>
    </xf>
    <xf numFmtId="0" fontId="264" fillId="5" borderId="1" xfId="10" applyFont="1" applyFill="1" applyBorder="1" applyAlignment="1">
      <alignment horizontal="center" vertical="center" wrapText="1"/>
    </xf>
    <xf numFmtId="179" fontId="264" fillId="5" borderId="1" xfId="10" applyNumberFormat="1" applyFont="1" applyFill="1" applyBorder="1" applyAlignment="1">
      <alignment horizontal="center" vertical="center"/>
    </xf>
    <xf numFmtId="9" fontId="50" fillId="6" borderId="0" xfId="0" applyNumberFormat="1"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58" fillId="0" borderId="1" xfId="0" applyFont="1" applyBorder="1" applyAlignment="1" applyProtection="1">
      <alignment horizontal="left" vertical="center" wrapText="1"/>
      <protection locked="0"/>
    </xf>
    <xf numFmtId="0" fontId="241" fillId="0" borderId="109" xfId="0" applyNumberFormat="1" applyFont="1" applyFill="1" applyBorder="1" applyAlignment="1" applyProtection="1">
      <alignment horizontal="center"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128" fillId="0" borderId="0" xfId="10" applyFont="1" applyFill="1" applyAlignment="1">
      <alignment horizontal="center" vertical="center" wrapText="1"/>
    </xf>
    <xf numFmtId="0" fontId="260" fillId="7" borderId="1" xfId="10" applyFont="1" applyFill="1" applyBorder="1" applyAlignment="1">
      <alignment horizontal="center" vertical="center"/>
    </xf>
    <xf numFmtId="0" fontId="260" fillId="7" borderId="1" xfId="10" applyFont="1" applyFill="1" applyBorder="1" applyAlignment="1">
      <alignment horizontal="center" vertical="center" wrapText="1"/>
    </xf>
    <xf numFmtId="0" fontId="127" fillId="0" borderId="0" xfId="10" applyFont="1" applyFill="1" applyAlignment="1">
      <alignment horizontal="center" vertical="center" wrapText="1"/>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157" xfId="0" applyFont="1" applyBorder="1" applyAlignment="1">
      <alignment horizontal="justify" vertical="center" wrapText="1"/>
    </xf>
    <xf numFmtId="0" fontId="257"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2" xfId="0" applyFont="1" applyBorder="1" applyAlignment="1">
      <alignment horizontal="justify" vertical="center" wrapText="1"/>
    </xf>
    <xf numFmtId="0" fontId="257" fillId="0" borderId="159" xfId="0" applyFont="1" applyBorder="1" applyAlignment="1">
      <alignment horizontal="justify" vertical="center" wrapText="1"/>
    </xf>
    <xf numFmtId="0" fontId="80" fillId="7" borderId="0" xfId="0" applyFont="1" applyFill="1" applyAlignment="1" applyProtection="1">
      <alignment horizontal="left" vertical="center"/>
      <protection locked="0"/>
    </xf>
    <xf numFmtId="0" fontId="50" fillId="7" borderId="0" xfId="0" applyFont="1" applyFill="1" applyAlignment="1" applyProtection="1">
      <alignment horizontal="left" vertical="center"/>
      <protection locked="0"/>
    </xf>
    <xf numFmtId="14" fontId="64" fillId="27" borderId="13" xfId="0" applyNumberFormat="1" applyFont="1" applyFill="1" applyBorder="1" applyAlignment="1" applyProtection="1">
      <alignment horizontal="left" vertical="center"/>
      <protection locked="0"/>
    </xf>
    <xf numFmtId="10" fontId="47" fillId="27" borderId="1" xfId="0" applyNumberFormat="1"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5</xdr:col>
      <xdr:colOff>647700</xdr:colOff>
      <xdr:row>21</xdr:row>
      <xdr:rowOff>380334</xdr:rowOff>
    </xdr:to>
    <xdr:pic>
      <xdr:nvPicPr>
        <xdr:cNvPr id="2" name="图片 1"/>
        <xdr:cNvPicPr>
          <a:picLocks noChangeAspect="1"/>
        </xdr:cNvPicPr>
      </xdr:nvPicPr>
      <xdr:blipFill>
        <a:blip xmlns:r="http://schemas.openxmlformats.org/officeDocument/2006/relationships" r:embed="rId1"/>
        <a:stretch>
          <a:fillRect/>
        </a:stretch>
      </xdr:blipFill>
      <xdr:spPr>
        <a:xfrm>
          <a:off x="1181100" y="9334500"/>
          <a:ext cx="20231100" cy="12115134"/>
        </a:xfrm>
        <a:prstGeom prst="rect">
          <a:avLst/>
        </a:prstGeom>
      </xdr:spPr>
    </xdr:pic>
    <xdr:clientData/>
  </xdr:twoCellAnchor>
  <xdr:twoCellAnchor editAs="oneCell">
    <xdr:from>
      <xdr:col>1</xdr:col>
      <xdr:colOff>190500</xdr:colOff>
      <xdr:row>22</xdr:row>
      <xdr:rowOff>533399</xdr:rowOff>
    </xdr:from>
    <xdr:to>
      <xdr:col>4</xdr:col>
      <xdr:colOff>342900</xdr:colOff>
      <xdr:row>36</xdr:row>
      <xdr:rowOff>515394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22440899"/>
          <a:ext cx="16573500" cy="11716795"/>
        </a:xfrm>
        <a:prstGeom prst="rect">
          <a:avLst/>
        </a:prstGeom>
      </xdr:spPr>
    </xdr:pic>
    <xdr:clientData/>
  </xdr:twoCellAnchor>
  <xdr:twoCellAnchor editAs="oneCell">
    <xdr:from>
      <xdr:col>5</xdr:col>
      <xdr:colOff>1524000</xdr:colOff>
      <xdr:row>6</xdr:row>
      <xdr:rowOff>723900</xdr:rowOff>
    </xdr:from>
    <xdr:to>
      <xdr:col>9</xdr:col>
      <xdr:colOff>413879</xdr:colOff>
      <xdr:row>20</xdr:row>
      <xdr:rowOff>495300</xdr:rowOff>
    </xdr:to>
    <xdr:pic>
      <xdr:nvPicPr>
        <xdr:cNvPr id="4" name="图片 3"/>
        <xdr:cNvPicPr>
          <a:picLocks noChangeAspect="1"/>
        </xdr:cNvPicPr>
      </xdr:nvPicPr>
      <xdr:blipFill>
        <a:blip xmlns:r="http://schemas.openxmlformats.org/officeDocument/2006/relationships" r:embed="rId3"/>
        <a:stretch>
          <a:fillRect/>
        </a:stretch>
      </xdr:blipFill>
      <xdr:spPr>
        <a:xfrm>
          <a:off x="22288500" y="9220200"/>
          <a:ext cx="11539079" cy="11506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57</xdr:row>
      <xdr:rowOff>135468</xdr:rowOff>
    </xdr:from>
    <xdr:to>
      <xdr:col>5</xdr:col>
      <xdr:colOff>141446</xdr:colOff>
      <xdr:row>88</xdr:row>
      <xdr:rowOff>65713</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9850968"/>
          <a:ext cx="7799546" cy="5245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360877</xdr:colOff>
      <xdr:row>25</xdr:row>
      <xdr:rowOff>151846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90477" cy="4438096"/>
        </a:xfrm>
        <a:prstGeom prst="rect">
          <a:avLst/>
        </a:prstGeom>
      </xdr:spPr>
    </xdr:pic>
    <xdr:clientData/>
  </xdr:twoCellAnchor>
  <xdr:twoCellAnchor editAs="oneCell">
    <xdr:from>
      <xdr:col>0</xdr:col>
      <xdr:colOff>0</xdr:colOff>
      <xdr:row>26</xdr:row>
      <xdr:rowOff>9525</xdr:rowOff>
    </xdr:from>
    <xdr:to>
      <xdr:col>11</xdr:col>
      <xdr:colOff>656201</xdr:colOff>
      <xdr:row>58</xdr:row>
      <xdr:rowOff>104078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67225"/>
          <a:ext cx="8200001" cy="5580953"/>
        </a:xfrm>
        <a:prstGeom prst="rect">
          <a:avLst/>
        </a:prstGeom>
      </xdr:spPr>
    </xdr:pic>
    <xdr:clientData/>
  </xdr:twoCellAnchor>
  <xdr:twoCellAnchor editAs="oneCell">
    <xdr:from>
      <xdr:col>13</xdr:col>
      <xdr:colOff>0</xdr:colOff>
      <xdr:row>1</xdr:row>
      <xdr:rowOff>0</xdr:rowOff>
    </xdr:from>
    <xdr:to>
      <xdr:col>25</xdr:col>
      <xdr:colOff>646591</xdr:colOff>
      <xdr:row>45</xdr:row>
      <xdr:rowOff>75248</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171450"/>
          <a:ext cx="8876191" cy="7619048"/>
        </a:xfrm>
        <a:prstGeom prst="rect">
          <a:avLst/>
        </a:prstGeom>
      </xdr:spPr>
    </xdr:pic>
    <xdr:clientData/>
  </xdr:twoCellAnchor>
  <xdr:twoCellAnchor editAs="oneCell">
    <xdr:from>
      <xdr:col>0</xdr:col>
      <xdr:colOff>0</xdr:colOff>
      <xdr:row>59</xdr:row>
      <xdr:rowOff>0</xdr:rowOff>
    </xdr:from>
    <xdr:to>
      <xdr:col>8</xdr:col>
      <xdr:colOff>618362</xdr:colOff>
      <xdr:row>85</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15550"/>
          <a:ext cx="6104762" cy="4571429"/>
        </a:xfrm>
        <a:prstGeom prst="rect">
          <a:avLst/>
        </a:prstGeom>
      </xdr:spPr>
    </xdr:pic>
    <xdr:clientData/>
  </xdr:twoCellAnchor>
  <xdr:twoCellAnchor editAs="oneCell">
    <xdr:from>
      <xdr:col>0</xdr:col>
      <xdr:colOff>0</xdr:colOff>
      <xdr:row>86</xdr:row>
      <xdr:rowOff>0</xdr:rowOff>
    </xdr:from>
    <xdr:to>
      <xdr:col>7</xdr:col>
      <xdr:colOff>656543</xdr:colOff>
      <xdr:row>117</xdr:row>
      <xdr:rowOff>142193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44700"/>
          <a:ext cx="5457143" cy="5457143"/>
        </a:xfrm>
        <a:prstGeom prst="rect">
          <a:avLst/>
        </a:prstGeom>
      </xdr:spPr>
    </xdr:pic>
    <xdr:clientData/>
  </xdr:twoCellAnchor>
  <xdr:twoCellAnchor editAs="oneCell">
    <xdr:from>
      <xdr:col>0</xdr:col>
      <xdr:colOff>0</xdr:colOff>
      <xdr:row>118</xdr:row>
      <xdr:rowOff>0</xdr:rowOff>
    </xdr:from>
    <xdr:to>
      <xdr:col>11</xdr:col>
      <xdr:colOff>370486</xdr:colOff>
      <xdr:row>126</xdr:row>
      <xdr:rowOff>9352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7914286" cy="1380952"/>
        </a:xfrm>
        <a:prstGeom prst="rect">
          <a:avLst/>
        </a:prstGeom>
      </xdr:spPr>
    </xdr:pic>
    <xdr:clientData/>
  </xdr:twoCellAnchor>
  <xdr:twoCellAnchor editAs="oneCell">
    <xdr:from>
      <xdr:col>0</xdr:col>
      <xdr:colOff>0</xdr:colOff>
      <xdr:row>126</xdr:row>
      <xdr:rowOff>0</xdr:rowOff>
    </xdr:from>
    <xdr:to>
      <xdr:col>8</xdr:col>
      <xdr:colOff>665981</xdr:colOff>
      <xdr:row>151</xdr:row>
      <xdr:rowOff>85179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602700"/>
          <a:ext cx="6152381" cy="4371429"/>
        </a:xfrm>
        <a:prstGeom prst="rect">
          <a:avLst/>
        </a:prstGeom>
      </xdr:spPr>
    </xdr:pic>
    <xdr:clientData/>
  </xdr:twoCellAnchor>
  <xdr:twoCellAnchor editAs="oneCell">
    <xdr:from>
      <xdr:col>0</xdr:col>
      <xdr:colOff>0</xdr:colOff>
      <xdr:row>152</xdr:row>
      <xdr:rowOff>0</xdr:rowOff>
    </xdr:from>
    <xdr:to>
      <xdr:col>6</xdr:col>
      <xdr:colOff>551867</xdr:colOff>
      <xdr:row>184</xdr:row>
      <xdr:rowOff>113600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060400"/>
          <a:ext cx="4666667" cy="5600000"/>
        </a:xfrm>
        <a:prstGeom prst="rect">
          <a:avLst/>
        </a:prstGeom>
      </xdr:spPr>
    </xdr:pic>
    <xdr:clientData/>
  </xdr:twoCellAnchor>
  <xdr:twoCellAnchor editAs="oneCell">
    <xdr:from>
      <xdr:col>0</xdr:col>
      <xdr:colOff>0</xdr:colOff>
      <xdr:row>185</xdr:row>
      <xdr:rowOff>0</xdr:rowOff>
    </xdr:from>
    <xdr:to>
      <xdr:col>10</xdr:col>
      <xdr:colOff>427714</xdr:colOff>
      <xdr:row>195</xdr:row>
      <xdr:rowOff>56929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718250"/>
          <a:ext cx="7285714" cy="1771429"/>
        </a:xfrm>
        <a:prstGeom prst="rect">
          <a:avLst/>
        </a:prstGeom>
      </xdr:spPr>
    </xdr:pic>
    <xdr:clientData/>
  </xdr:twoCellAnchor>
  <xdr:twoCellAnchor editAs="oneCell">
    <xdr:from>
      <xdr:col>0</xdr:col>
      <xdr:colOff>0</xdr:colOff>
      <xdr:row>196</xdr:row>
      <xdr:rowOff>0</xdr:rowOff>
    </xdr:from>
    <xdr:to>
      <xdr:col>11</xdr:col>
      <xdr:colOff>618105</xdr:colOff>
      <xdr:row>206</xdr:row>
      <xdr:rowOff>47405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604200"/>
          <a:ext cx="8161905" cy="1761905"/>
        </a:xfrm>
        <a:prstGeom prst="rect">
          <a:avLst/>
        </a:prstGeom>
      </xdr:spPr>
    </xdr:pic>
    <xdr:clientData/>
  </xdr:twoCellAnchor>
  <xdr:twoCellAnchor editAs="oneCell">
    <xdr:from>
      <xdr:col>0</xdr:col>
      <xdr:colOff>0</xdr:colOff>
      <xdr:row>207</xdr:row>
      <xdr:rowOff>0</xdr:rowOff>
    </xdr:from>
    <xdr:to>
      <xdr:col>13</xdr:col>
      <xdr:colOff>160790</xdr:colOff>
      <xdr:row>243</xdr:row>
      <xdr:rowOff>103990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5490150"/>
          <a:ext cx="9076190" cy="6276190"/>
        </a:xfrm>
        <a:prstGeom prst="rect">
          <a:avLst/>
        </a:prstGeom>
      </xdr:spPr>
    </xdr:pic>
    <xdr:clientData/>
  </xdr:twoCellAnchor>
  <xdr:twoCellAnchor editAs="oneCell">
    <xdr:from>
      <xdr:col>0</xdr:col>
      <xdr:colOff>0</xdr:colOff>
      <xdr:row>244</xdr:row>
      <xdr:rowOff>0</xdr:rowOff>
    </xdr:from>
    <xdr:to>
      <xdr:col>13</xdr:col>
      <xdr:colOff>122695</xdr:colOff>
      <xdr:row>278</xdr:row>
      <xdr:rowOff>46890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833800"/>
          <a:ext cx="9038095" cy="5876190"/>
        </a:xfrm>
        <a:prstGeom prst="rect">
          <a:avLst/>
        </a:prstGeom>
      </xdr:spPr>
    </xdr:pic>
    <xdr:clientData/>
  </xdr:twoCellAnchor>
  <xdr:twoCellAnchor editAs="oneCell">
    <xdr:from>
      <xdr:col>0</xdr:col>
      <xdr:colOff>0</xdr:colOff>
      <xdr:row>279</xdr:row>
      <xdr:rowOff>0</xdr:rowOff>
    </xdr:from>
    <xdr:to>
      <xdr:col>18</xdr:col>
      <xdr:colOff>579409</xdr:colOff>
      <xdr:row>312</xdr:row>
      <xdr:rowOff>94531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834550"/>
          <a:ext cx="12923809" cy="5752381"/>
        </a:xfrm>
        <a:prstGeom prst="rect">
          <a:avLst/>
        </a:prstGeom>
      </xdr:spPr>
    </xdr:pic>
    <xdr:clientData/>
  </xdr:twoCellAnchor>
  <xdr:twoCellAnchor editAs="oneCell">
    <xdr:from>
      <xdr:col>9</xdr:col>
      <xdr:colOff>0</xdr:colOff>
      <xdr:row>60</xdr:row>
      <xdr:rowOff>0</xdr:rowOff>
    </xdr:from>
    <xdr:to>
      <xdr:col>20</xdr:col>
      <xdr:colOff>475248</xdr:colOff>
      <xdr:row>90</xdr:row>
      <xdr:rowOff>94595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172200" y="10287000"/>
          <a:ext cx="8019048" cy="5238095"/>
        </a:xfrm>
        <a:prstGeom prst="rect">
          <a:avLst/>
        </a:prstGeom>
      </xdr:spPr>
    </xdr:pic>
    <xdr:clientData/>
  </xdr:twoCellAnchor>
  <xdr:twoCellAnchor editAs="oneCell">
    <xdr:from>
      <xdr:col>9</xdr:col>
      <xdr:colOff>0</xdr:colOff>
      <xdr:row>126</xdr:row>
      <xdr:rowOff>0</xdr:rowOff>
    </xdr:from>
    <xdr:to>
      <xdr:col>20</xdr:col>
      <xdr:colOff>141914</xdr:colOff>
      <xdr:row>157</xdr:row>
      <xdr:rowOff>161240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172200" y="21602700"/>
          <a:ext cx="7685714" cy="5476190"/>
        </a:xfrm>
        <a:prstGeom prst="rect">
          <a:avLst/>
        </a:prstGeom>
      </xdr:spPr>
    </xdr:pic>
    <xdr:clientData/>
  </xdr:twoCellAnchor>
  <xdr:twoCellAnchor editAs="oneCell">
    <xdr:from>
      <xdr:col>0</xdr:col>
      <xdr:colOff>0</xdr:colOff>
      <xdr:row>313</xdr:row>
      <xdr:rowOff>0</xdr:rowOff>
    </xdr:from>
    <xdr:to>
      <xdr:col>9</xdr:col>
      <xdr:colOff>561133</xdr:colOff>
      <xdr:row>353</xdr:row>
      <xdr:rowOff>56286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53663850"/>
          <a:ext cx="6733333" cy="6914286"/>
        </a:xfrm>
        <a:prstGeom prst="rect">
          <a:avLst/>
        </a:prstGeom>
      </xdr:spPr>
    </xdr:pic>
    <xdr:clientData/>
  </xdr:twoCellAnchor>
  <xdr:twoCellAnchor editAs="oneCell">
    <xdr:from>
      <xdr:col>0</xdr:col>
      <xdr:colOff>0</xdr:colOff>
      <xdr:row>354</xdr:row>
      <xdr:rowOff>0</xdr:rowOff>
    </xdr:from>
    <xdr:to>
      <xdr:col>12</xdr:col>
      <xdr:colOff>179924</xdr:colOff>
      <xdr:row>366</xdr:row>
      <xdr:rowOff>133076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60693300"/>
          <a:ext cx="8409524" cy="2190476"/>
        </a:xfrm>
        <a:prstGeom prst="rect">
          <a:avLst/>
        </a:prstGeom>
      </xdr:spPr>
    </xdr:pic>
    <xdr:clientData/>
  </xdr:twoCellAnchor>
  <xdr:twoCellAnchor editAs="oneCell">
    <xdr:from>
      <xdr:col>26</xdr:col>
      <xdr:colOff>0</xdr:colOff>
      <xdr:row>0</xdr:row>
      <xdr:rowOff>0</xdr:rowOff>
    </xdr:from>
    <xdr:to>
      <xdr:col>40</xdr:col>
      <xdr:colOff>255943</xdr:colOff>
      <xdr:row>27</xdr:row>
      <xdr:rowOff>123231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7830800" y="0"/>
          <a:ext cx="9857143" cy="4752381"/>
        </a:xfrm>
        <a:prstGeom prst="rect">
          <a:avLst/>
        </a:prstGeom>
      </xdr:spPr>
    </xdr:pic>
    <xdr:clientData/>
  </xdr:twoCellAnchor>
  <xdr:twoCellAnchor editAs="oneCell">
    <xdr:from>
      <xdr:col>26</xdr:col>
      <xdr:colOff>0</xdr:colOff>
      <xdr:row>28</xdr:row>
      <xdr:rowOff>0</xdr:rowOff>
    </xdr:from>
    <xdr:to>
      <xdr:col>40</xdr:col>
      <xdr:colOff>122609</xdr:colOff>
      <xdr:row>65</xdr:row>
      <xdr:rowOff>123017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7830800" y="4800600"/>
          <a:ext cx="9723809" cy="6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2" customWidth="1"/>
    <col min="2" max="2" width="81" style="1589" customWidth="1"/>
    <col min="3" max="16384" width="9" style="1587"/>
  </cols>
  <sheetData>
    <row r="1" spans="1:2" s="1575" customFormat="1" ht="16.5" thickBot="1">
      <c r="A1" s="1574" t="s">
        <v>1215</v>
      </c>
      <c r="B1" s="1573" t="s">
        <v>1294</v>
      </c>
    </row>
    <row r="2" spans="1:2" s="1578" customFormat="1" ht="15" thickTop="1">
      <c r="A2" s="1576" t="s">
        <v>1216</v>
      </c>
      <c r="B2" s="1577" t="str">
        <f>'预评函-封皮'!B37:I37</f>
        <v>贵州省贵阳市花溪区贵筑社区尖山村、马洞村出让国有建设用地使用权房地产抵押价值预评估</v>
      </c>
    </row>
    <row r="3" spans="1:2" s="1581" customFormat="1">
      <c r="A3" s="1579" t="s">
        <v>1217</v>
      </c>
      <c r="B3" s="1580" t="str">
        <f>'预评函-封皮'!B40</f>
        <v>贵阳恒大童梦天地旅游发展有限公司</v>
      </c>
    </row>
    <row r="4" spans="1:2" s="1581" customFormat="1">
      <c r="A4" s="1579" t="s">
        <v>1218</v>
      </c>
      <c r="B4" s="1580" t="str">
        <f ca="1">'预评函-封皮'!B46</f>
        <v>王鹏（注册号：1120050019)、崔锴（注册号：1120100036)</v>
      </c>
    </row>
    <row r="5" spans="1:2" s="1575" customFormat="1" ht="15" thickBot="1">
      <c r="A5" s="1582" t="s">
        <v>1219</v>
      </c>
      <c r="B5" s="1583" t="str">
        <f>'预评函-封皮'!B49</f>
        <v>康正预评字2019-1-0500号</v>
      </c>
    </row>
    <row r="6" spans="1:2" s="1578" customFormat="1" ht="15" thickTop="1">
      <c r="A6" s="1576" t="s">
        <v>1220</v>
      </c>
      <c r="B6" s="1577" t="str">
        <f>'预评函-1'!A4</f>
        <v>受贵公司委托，我公司对贵州省贵阳市花溪区贵筑社区尖山村、马洞村出让国有建设用地使用权抵押价值进行了预评估。</v>
      </c>
    </row>
    <row r="7" spans="1:2" s="1581" customFormat="1">
      <c r="A7" s="1579" t="s">
        <v>1260</v>
      </c>
      <c r="B7" s="1580" t="str">
        <f>'预评函-1'!A7</f>
        <v>估价对象为贵州省贵阳市花溪区贵筑社区尖山村、马洞村出让国有建设用地使用权，为贵阳恒大童梦天地旅游发展有限公司所有。根据《不动产权证书》，估价对象（分摊）出让国有建设用地使用权面积为19053.5平方米。根据《合同》，估价对象建筑面积为66687.25平方米。</v>
      </c>
    </row>
    <row r="8" spans="1:2" s="1581" customFormat="1">
      <c r="A8" s="1579" t="s">
        <v>1261</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1262</v>
      </c>
      <c r="B9" s="1580" t="str">
        <f>'预评函-1'!A10</f>
        <v>估价对象为贵州省贵阳市花溪区贵筑社区尖山村、马洞村出让国有建设用地使用权,属贵阳恒大童梦天地旅游发展有限公司开发建设的商业项目，该项目尚在开发建设中。根据《不动产权证书》，估价对象（分摊）出让国有建设用地使用权面积为19053.5平方米。根据《合同》，估价对象规划建筑面积为66687.25平方米。</v>
      </c>
    </row>
    <row r="10" spans="1:2" s="1581" customFormat="1">
      <c r="A10" s="1579" t="s">
        <v>1263</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1221</v>
      </c>
      <c r="B11" s="1580" t="str">
        <f>'预评函-1'!A13</f>
        <v>为估价委托人在向中信信托办理贷款手续过程中，确定房地产抵押贷款额度提供参考依据而评估房地产抵押价值。</v>
      </c>
    </row>
    <row r="12" spans="1:2" s="1581" customFormat="1">
      <c r="A12" s="1579" t="s">
        <v>1222</v>
      </c>
      <c r="B12" s="1580" t="str">
        <f>'预评函-1'!A15</f>
        <v>2020年5月19日（评估专业人员实地查勘之日）</v>
      </c>
    </row>
    <row r="13" spans="1:2" s="1581" customFormat="1">
      <c r="A13" s="1579" t="s">
        <v>1223</v>
      </c>
      <c r="B13" s="1580" t="str">
        <f>'预评函-1'!A18</f>
        <v>本次估价的“房地产价值”是指在正常市场情况下，在价值时点2020年5月19日，估价对象规划用途为住宅、商业，土地取得方式为出让，出让国有建设用地使用权剩余土地使用年限为，假定未设立法定优先受偿款下的房地产市场价值。</v>
      </c>
    </row>
    <row r="14" spans="1:2" s="1581" customFormat="1">
      <c r="A14" s="1579" t="s">
        <v>1224</v>
      </c>
      <c r="B14" s="1580" t="str">
        <f>'预评函-1'!A19</f>
        <v>其中，“出让国有建设用地使用权价值”是指估价对象用途为住宅、商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1" customFormat="1">
      <c r="A15" s="1579" t="s">
        <v>1225</v>
      </c>
      <c r="B15" s="1580" t="str">
        <f>'预评函-1'!A20</f>
        <v>本次估价的“房地产抵押价值”是指估价对象在价值时点的“房地产价值”扣减估价师于价值时点所知悉的法定优先受偿款后的余额。</v>
      </c>
    </row>
    <row r="16" spans="1:2" s="1581" customFormat="1">
      <c r="A16" s="1579" t="s">
        <v>1226</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1227</v>
      </c>
      <c r="B17" s="1580" t="str">
        <f>'预评函-1'!A22</f>
        <v/>
      </c>
    </row>
    <row r="18" spans="1:2" s="1575" customFormat="1" ht="15" thickBot="1">
      <c r="A18" s="1582" t="s">
        <v>1228</v>
      </c>
      <c r="B18" s="1583" t="str">
        <f>'预评函-1'!A24</f>
        <v>本次评估采用的主估价方法为比较法和假设开发法。</v>
      </c>
    </row>
    <row r="19" spans="1:2" s="1578" customFormat="1" ht="15" thickTop="1">
      <c r="A19" s="1576" t="s">
        <v>1229</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1230</v>
      </c>
      <c r="B20" s="1580">
        <f ca="1">'预评函-2'!D5</f>
        <v>27909</v>
      </c>
    </row>
    <row r="21" spans="1:2" s="1581" customFormat="1">
      <c r="A21" s="1579" t="s">
        <v>1231</v>
      </c>
      <c r="B21" s="1580">
        <f ca="1">'预评函-2'!D7</f>
        <v>4185</v>
      </c>
    </row>
    <row r="22" spans="1:2" s="1581" customFormat="1">
      <c r="A22" s="1579" t="s">
        <v>1232</v>
      </c>
      <c r="B22" s="1580" t="str">
        <f ca="1">'预评函-2'!D6</f>
        <v>贰亿柒仟玖佰零玖万元整</v>
      </c>
    </row>
    <row r="23" spans="1:2" s="1581" customFormat="1">
      <c r="A23" s="1579" t="s">
        <v>1283</v>
      </c>
      <c r="B23" s="1580" t="str">
        <f>'预评函-2'!B8</f>
        <v>2.估价师知悉的法定优先受偿款</v>
      </c>
    </row>
    <row r="24" spans="1:2" s="1581" customFormat="1">
      <c r="A24" s="1579" t="s">
        <v>1289</v>
      </c>
      <c r="B24" s="1580">
        <f>'预评函-2'!D8</f>
        <v>0</v>
      </c>
    </row>
    <row r="25" spans="1:2" s="1581" customFormat="1">
      <c r="A25" s="1579" t="s">
        <v>1233</v>
      </c>
      <c r="B25" s="1580" t="str">
        <f>'预评函-2'!D9</f>
        <v>零元整</v>
      </c>
    </row>
    <row r="26" spans="1:2" s="1581" customFormat="1">
      <c r="A26" s="1579" t="s">
        <v>1234</v>
      </c>
      <c r="B26" s="1580">
        <f>'预评函-2'!D10</f>
        <v>0</v>
      </c>
    </row>
    <row r="27" spans="1:2" s="1581" customFormat="1">
      <c r="A27" s="1579" t="s">
        <v>1235</v>
      </c>
      <c r="B27" s="1580">
        <f>'预评函-2'!D11</f>
        <v>0</v>
      </c>
    </row>
    <row r="28" spans="1:2" s="1581" customFormat="1">
      <c r="A28" s="1579" t="s">
        <v>1236</v>
      </c>
      <c r="B28" s="1580">
        <f>'预评函-2'!D12</f>
        <v>0</v>
      </c>
    </row>
    <row r="29" spans="1:2" s="1581" customFormat="1">
      <c r="A29" s="1579" t="s">
        <v>1287</v>
      </c>
      <c r="B29" s="1580" t="str">
        <f>'预评函-2'!B13</f>
        <v>3.房地产抵押价值</v>
      </c>
    </row>
    <row r="30" spans="1:2" s="1581" customFormat="1">
      <c r="A30" s="1579" t="s">
        <v>1288</v>
      </c>
      <c r="B30" s="1580">
        <f ca="1">'预评函-2'!D13</f>
        <v>27909</v>
      </c>
    </row>
    <row r="31" spans="1:2" s="1581" customFormat="1">
      <c r="A31" s="1579" t="s">
        <v>1270</v>
      </c>
      <c r="B31" s="1580">
        <f ca="1">'预评函-2'!D15</f>
        <v>4185</v>
      </c>
    </row>
    <row r="32" spans="1:2" s="1581" customFormat="1">
      <c r="A32" s="1579" t="s">
        <v>1237</v>
      </c>
      <c r="B32" s="1580" t="str">
        <f ca="1">'预评函-2'!D14</f>
        <v>贰亿柒仟玖佰零玖万元整</v>
      </c>
    </row>
    <row r="33" spans="1:2" s="1581" customFormat="1">
      <c r="A33" s="1579" t="s">
        <v>1272</v>
      </c>
      <c r="B33" s="1580" t="str">
        <f>'预评函-2'!B16</f>
        <v>——</v>
      </c>
    </row>
    <row r="34" spans="1:2" s="1581" customFormat="1">
      <c r="A34" s="1579" t="s">
        <v>1290</v>
      </c>
      <c r="B34" s="1580" t="str">
        <f>'预评函-2'!D16</f>
        <v>——</v>
      </c>
    </row>
    <row r="35" spans="1:2" s="1581" customFormat="1">
      <c r="A35" s="1579" t="s">
        <v>1271</v>
      </c>
      <c r="B35" s="1580" t="str">
        <f>'预评函-2'!D18</f>
        <v>——</v>
      </c>
    </row>
    <row r="36" spans="1:2" s="1581" customFormat="1">
      <c r="A36" s="1579" t="s">
        <v>1238</v>
      </c>
      <c r="B36" s="1580" t="e">
        <f>'预评函-2'!D17</f>
        <v>#VALUE!</v>
      </c>
    </row>
    <row r="37" spans="1:2" s="1581" customFormat="1">
      <c r="A37" s="1579" t="s">
        <v>1273</v>
      </c>
      <c r="B37" s="1580" t="str">
        <f>'预评函-2'!B19</f>
        <v>——</v>
      </c>
    </row>
    <row r="38" spans="1:2" s="1581" customFormat="1">
      <c r="A38" s="1579" t="s">
        <v>1291</v>
      </c>
      <c r="B38" s="1580" t="str">
        <f>'预评函-2'!D19</f>
        <v>——</v>
      </c>
    </row>
    <row r="39" spans="1:2" s="1581" customFormat="1">
      <c r="A39" s="1579" t="s">
        <v>1239</v>
      </c>
      <c r="B39" s="1580" t="str">
        <f>'预评函-2'!D21</f>
        <v>——</v>
      </c>
    </row>
    <row r="40" spans="1:2" s="1581" customFormat="1">
      <c r="A40" s="1579" t="s">
        <v>1240</v>
      </c>
      <c r="B40" s="1580" t="e">
        <f>'预评函-2'!D20</f>
        <v>#VALUE!</v>
      </c>
    </row>
    <row r="41" spans="1:2" s="1581" customFormat="1">
      <c r="A41" s="1579" t="s">
        <v>1286</v>
      </c>
      <c r="B41" s="1580" t="str">
        <f>'预评函-3'!A4</f>
        <v>贵州省贵阳市花溪区贵筑社区尖山村、马洞村出让国有建设用地使用权</v>
      </c>
    </row>
    <row r="42" spans="1:2" s="1581" customFormat="1">
      <c r="A42" s="1579" t="s">
        <v>1284</v>
      </c>
      <c r="B42" s="1580" t="str">
        <f>'预评函-3'!B2</f>
        <v>建筑面积</v>
      </c>
    </row>
    <row r="43" spans="1:2" s="1581" customFormat="1">
      <c r="A43" s="1579" t="s">
        <v>1285</v>
      </c>
      <c r="B43" s="1580">
        <f>'预评函-3'!B4</f>
        <v>66687.25</v>
      </c>
    </row>
    <row r="44" spans="1:2" s="1581" customFormat="1">
      <c r="A44" s="1579" t="s">
        <v>1269</v>
      </c>
      <c r="B44" s="1580" t="str">
        <f>'预评函-3'!C2</f>
        <v>(分摊)土地面积</v>
      </c>
    </row>
    <row r="45" spans="1:2" s="1581" customFormat="1">
      <c r="A45" s="1579" t="s">
        <v>1241</v>
      </c>
      <c r="B45" s="1580">
        <f>'预评函-3'!C4</f>
        <v>19053.5</v>
      </c>
    </row>
    <row r="46" spans="1:2" s="1581" customFormat="1">
      <c r="A46" s="1579" t="s">
        <v>1267</v>
      </c>
      <c r="B46" s="1580" t="str">
        <f>'预评函-3'!D2</f>
        <v>出让国有建设用地使用权价值</v>
      </c>
    </row>
    <row r="47" spans="1:2" s="1581" customFormat="1">
      <c r="A47" s="1579" t="s">
        <v>1242</v>
      </c>
      <c r="B47" s="1580">
        <f ca="1">'预评函-3'!D4</f>
        <v>27909</v>
      </c>
    </row>
    <row r="48" spans="1:2" s="1581" customFormat="1">
      <c r="A48" s="1579" t="s">
        <v>1243</v>
      </c>
      <c r="B48" s="1580">
        <f ca="1">'预评函-3'!E4</f>
        <v>4185</v>
      </c>
    </row>
    <row r="49" spans="1:2" s="1581" customFormat="1">
      <c r="A49" s="1579" t="s">
        <v>1244</v>
      </c>
      <c r="B49" s="1580" t="str">
        <f ca="1">'预评函-3'!D5</f>
        <v>贰亿柒仟玖佰零玖万元整</v>
      </c>
    </row>
    <row r="50" spans="1:2" s="1581" customFormat="1">
      <c r="A50" s="1579" t="s">
        <v>1268</v>
      </c>
      <c r="B50" s="1580" t="str">
        <f>'预评函-3'!F2</f>
        <v>在建建筑物价值</v>
      </c>
    </row>
    <row r="51" spans="1:2" s="1581" customFormat="1">
      <c r="A51" s="1579" t="s">
        <v>1245</v>
      </c>
      <c r="B51" s="1580">
        <f ca="1">'预评函-3'!F4</f>
        <v>0</v>
      </c>
    </row>
    <row r="52" spans="1:2" s="1581" customFormat="1">
      <c r="A52" s="1579" t="s">
        <v>1246</v>
      </c>
      <c r="B52" s="1580">
        <f ca="1">'预评函-3'!G4</f>
        <v>0</v>
      </c>
    </row>
    <row r="53" spans="1:2" s="1581" customFormat="1">
      <c r="A53" s="1579" t="s">
        <v>1274</v>
      </c>
      <c r="B53" s="1580" t="str">
        <f ca="1">'预评函-3'!F5</f>
        <v>零元整</v>
      </c>
    </row>
    <row r="54" spans="1:2" s="1581" customFormat="1">
      <c r="A54" s="1579" t="s">
        <v>1292</v>
      </c>
      <c r="B54" s="1580" t="str">
        <f>'预评函-3'!A8</f>
        <v>房地产抵押价值</v>
      </c>
    </row>
    <row r="55" spans="1:2" s="1581" customFormat="1">
      <c r="A55" s="1579" t="s">
        <v>1275</v>
      </c>
      <c r="B55" s="1580" t="str">
        <f>'预评函-3'!A10</f>
        <v/>
      </c>
    </row>
    <row r="56" spans="1:2" s="1581" customFormat="1">
      <c r="A56" s="1579" t="s">
        <v>1276</v>
      </c>
      <c r="B56" s="1580" t="str">
        <f>'预评函-3'!A12</f>
        <v/>
      </c>
    </row>
    <row r="57" spans="1:2" s="1575" customFormat="1" ht="15" thickBot="1">
      <c r="A57" s="1582" t="s">
        <v>1293</v>
      </c>
      <c r="B57" s="1583" t="str">
        <f>'预评函-3'!A6</f>
        <v>估价师知悉的法定优先受偿款</v>
      </c>
    </row>
    <row r="58" spans="1:2" s="1578" customFormat="1" ht="15" thickTop="1">
      <c r="A58" s="1576" t="s">
        <v>1247</v>
      </c>
      <c r="B58" s="1577" t="str">
        <f>'预评函-4'!A12</f>
        <v>2.本《评估意见函》仅供金融机构进行内部审核使用，不做其他目的之用。</v>
      </c>
    </row>
    <row r="59" spans="1:2" s="1581" customFormat="1">
      <c r="A59" s="1579" t="s">
        <v>1248</v>
      </c>
      <c r="B59" s="1580" t="str">
        <f>'预评函-4'!A13</f>
        <v>3.抵押双方在办理抵押登记手续时，应使用本公司出具的正式《房地产评估报告》，特提醒报告使用者注意。</v>
      </c>
    </row>
    <row r="60" spans="1:2" s="1581" customFormat="1">
      <c r="A60" s="1579" t="s">
        <v>1249</v>
      </c>
      <c r="B60" s="1580" t="str">
        <f>'预评函-4'!A14</f>
        <v>4.本次评估估价师所知悉的法定优先受偿款情况说明如下：</v>
      </c>
    </row>
    <row r="61" spans="1:2" s="1581" customFormat="1">
      <c r="A61" s="1579" t="s">
        <v>1250</v>
      </c>
      <c r="B61" s="1580" t="str">
        <f>'预评函-4'!A15</f>
        <v>（1）根据估价对象《不动产权证书》复印件、，截至价值时点，估价对象已设定抵押。上述权属证件中未登记该抵押权的具体情况（债权数额、期限等）。根据不动产权利人出具的，估价对象已抵押给，权利范围为，权利价值为。</v>
      </c>
    </row>
    <row r="62" spans="1:2" s="1581" customFormat="1">
      <c r="A62" s="1579" t="s">
        <v>1251</v>
      </c>
      <c r="B62" s="1580" t="str">
        <f>'预评函-4'!A16</f>
        <v>（2）根据《工程款支付情况说明》，截至价值时点，估价对象不存在应付未付工程款项。（只要没有施工方盖章的，均“设定”进行表述）</v>
      </c>
    </row>
    <row r="63" spans="1:2" s="1581" customFormat="1">
      <c r="A63" s="1579" t="s">
        <v>1252</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1264</v>
      </c>
      <c r="B64" s="1580" t="str">
        <f>'预评函-4'!A18</f>
        <v>故，本次评估不存在估价师知悉的法定优先受偿款</v>
      </c>
    </row>
    <row r="65" spans="1:2" s="1581" customFormat="1">
      <c r="A65" s="1579" t="s">
        <v>1253</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1254</v>
      </c>
      <c r="B66" s="15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1" customFormat="1">
      <c r="A67" s="1579" t="s">
        <v>1265</v>
      </c>
      <c r="B67" s="15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1" customFormat="1">
      <c r="A68" s="1579" t="s">
        <v>1266</v>
      </c>
      <c r="B68" s="1580" t="str">
        <f>'预评函-4'!A22</f>
        <v>8.其他需特殊说明事项：无（注意调整序号）</v>
      </c>
    </row>
    <row r="69" spans="1:2" s="1575" customFormat="1" ht="15" thickBot="1">
      <c r="A69" s="1582" t="s">
        <v>1255</v>
      </c>
      <c r="B69" s="1584">
        <f>'预评函-4'!C31</f>
        <v>42551</v>
      </c>
    </row>
    <row r="70" spans="1:2" ht="15" thickTop="1">
      <c r="A70" s="1585" t="s">
        <v>1256</v>
      </c>
      <c r="B70" s="1586" t="str">
        <f>'预评函-4'!A4</f>
        <v>王鹏</v>
      </c>
    </row>
    <row r="71" spans="1:2">
      <c r="A71" s="1579" t="s">
        <v>1257</v>
      </c>
      <c r="B71" s="1580">
        <f ca="1">'预评函-4'!B4</f>
        <v>1120050019</v>
      </c>
    </row>
    <row r="72" spans="1:2">
      <c r="A72" s="1579" t="s">
        <v>1258</v>
      </c>
      <c r="B72" s="1588" t="str">
        <f>'预评函-4'!A5</f>
        <v>崔锴</v>
      </c>
    </row>
    <row r="73" spans="1:2" s="1575" customFormat="1" ht="15" thickBot="1">
      <c r="A73" s="1582" t="s">
        <v>1259</v>
      </c>
      <c r="B73" s="1583">
        <f ca="1">'预评函-4'!B5</f>
        <v>1120100036</v>
      </c>
    </row>
    <row r="74" spans="1:2" ht="15" thickTop="1">
      <c r="A74" s="1572" t="s">
        <v>1295</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zoomScale="25" zoomScaleNormal="25" workbookViewId="0">
      <selection activeCell="F27" sqref="F27"/>
    </sheetView>
  </sheetViews>
  <sheetFormatPr defaultColWidth="8.875" defaultRowHeight="27"/>
  <cols>
    <col min="1" max="1" width="15.5" style="3034" customWidth="1"/>
    <col min="2" max="2" width="82.75" style="2953" customWidth="1"/>
    <col min="3" max="3" width="90.875" style="2953" customWidth="1"/>
    <col min="4" max="10" width="41.625" style="2953" customWidth="1"/>
    <col min="11" max="12" width="46.25" style="2953" customWidth="1"/>
    <col min="13" max="13" width="67" style="2953" customWidth="1"/>
    <col min="14" max="14" width="28" style="3014" customWidth="1"/>
    <col min="15" max="16384" width="8.875" style="2953"/>
  </cols>
  <sheetData>
    <row r="1" spans="1:14" s="3015" customFormat="1" ht="90.95" customHeight="1">
      <c r="A1" s="3094" t="s">
        <v>4664</v>
      </c>
      <c r="B1" s="3094"/>
      <c r="C1" s="3095"/>
      <c r="D1" s="3094"/>
      <c r="E1" s="3094"/>
      <c r="F1" s="3094"/>
      <c r="G1" s="3094"/>
      <c r="H1" s="3094"/>
      <c r="I1" s="3094"/>
      <c r="J1" s="3094"/>
      <c r="K1" s="3094"/>
      <c r="L1" s="3094"/>
      <c r="M1" s="3094"/>
      <c r="N1" s="3014"/>
    </row>
    <row r="2" spans="1:14" ht="147.94999999999999" customHeight="1">
      <c r="A2" s="3016" t="s">
        <v>3250</v>
      </c>
      <c r="B2" s="3017" t="s">
        <v>4665</v>
      </c>
      <c r="C2" s="3017" t="s">
        <v>3105</v>
      </c>
      <c r="D2" s="3017" t="s">
        <v>4666</v>
      </c>
      <c r="E2" s="3017" t="s">
        <v>4667</v>
      </c>
      <c r="F2" s="3017" t="s">
        <v>4668</v>
      </c>
      <c r="G2" s="3017" t="s">
        <v>4669</v>
      </c>
      <c r="H2" s="3017" t="s">
        <v>4670</v>
      </c>
      <c r="I2" s="3017" t="s">
        <v>3076</v>
      </c>
      <c r="J2" s="3017" t="s">
        <v>4671</v>
      </c>
      <c r="K2" s="3017" t="s">
        <v>4672</v>
      </c>
      <c r="L2" s="3017" t="s">
        <v>4673</v>
      </c>
      <c r="M2" s="3017" t="s">
        <v>4674</v>
      </c>
    </row>
    <row r="3" spans="1:14" ht="117" customHeight="1">
      <c r="A3" s="3018">
        <v>10</v>
      </c>
      <c r="B3" s="3016" t="s">
        <v>4675</v>
      </c>
      <c r="C3" s="3019" t="s">
        <v>4676</v>
      </c>
      <c r="D3" s="3020">
        <v>54648.67</v>
      </c>
      <c r="E3" s="3021">
        <v>30051.72</v>
      </c>
      <c r="F3" s="3021">
        <v>13806.32</v>
      </c>
      <c r="G3" s="3021">
        <v>10790.63</v>
      </c>
      <c r="H3" s="3022">
        <v>0</v>
      </c>
      <c r="I3" s="3023">
        <v>1</v>
      </c>
      <c r="J3" s="3020">
        <v>32189.25</v>
      </c>
      <c r="K3" s="3021">
        <f>J3*100%</f>
        <v>32189.25</v>
      </c>
      <c r="L3" s="3023" t="s">
        <v>4677</v>
      </c>
      <c r="M3" s="3023" t="s">
        <v>4678</v>
      </c>
    </row>
    <row r="4" spans="1:14" ht="108.95" customHeight="1">
      <c r="A4" s="3035">
        <v>11</v>
      </c>
      <c r="B4" s="3036" t="s">
        <v>4679</v>
      </c>
      <c r="C4" s="3037" t="s">
        <v>4680</v>
      </c>
      <c r="D4" s="3038">
        <v>25856.65</v>
      </c>
      <c r="E4" s="3039">
        <v>19053.5</v>
      </c>
      <c r="F4" s="3040">
        <v>6803.15</v>
      </c>
      <c r="G4" s="3041">
        <v>0</v>
      </c>
      <c r="H4" s="3040">
        <v>0</v>
      </c>
      <c r="I4" s="3037">
        <v>3.5</v>
      </c>
      <c r="J4" s="3038">
        <f t="shared" ref="J4:J5" si="0">E4*I4</f>
        <v>66687.25</v>
      </c>
      <c r="K4" s="3041">
        <f>J4*100%</f>
        <v>66687.25</v>
      </c>
      <c r="L4" s="3035" t="s">
        <v>4677</v>
      </c>
      <c r="M4" s="3035" t="s">
        <v>4678</v>
      </c>
    </row>
    <row r="5" spans="1:14" ht="105" customHeight="1">
      <c r="A5" s="3018">
        <v>12</v>
      </c>
      <c r="B5" s="3016" t="s">
        <v>4681</v>
      </c>
      <c r="C5" s="3019" t="s">
        <v>4682</v>
      </c>
      <c r="D5" s="3020">
        <v>41566.9</v>
      </c>
      <c r="E5" s="3022">
        <v>29494.68</v>
      </c>
      <c r="F5" s="3022">
        <v>12072.22</v>
      </c>
      <c r="G5" s="3022">
        <v>0</v>
      </c>
      <c r="H5" s="3022">
        <v>0</v>
      </c>
      <c r="I5" s="3023">
        <v>3.4569999999999999</v>
      </c>
      <c r="J5" s="3020">
        <f t="shared" si="0"/>
        <v>101963.10876</v>
      </c>
      <c r="K5" s="3021">
        <f>J5*100%</f>
        <v>101963.10876</v>
      </c>
      <c r="L5" s="3023" t="s">
        <v>4677</v>
      </c>
      <c r="M5" s="3023" t="s">
        <v>4678</v>
      </c>
    </row>
    <row r="6" spans="1:14" s="3014" customFormat="1" ht="102.95" customHeight="1">
      <c r="A6" s="3018">
        <v>43</v>
      </c>
      <c r="B6" s="3018" t="s">
        <v>37</v>
      </c>
      <c r="C6" s="3024"/>
      <c r="D6" s="3023">
        <f>SUM(D3:D5)</f>
        <v>122072.22</v>
      </c>
      <c r="E6" s="3020">
        <f>SUM(E3:E5)</f>
        <v>78599.899999999994</v>
      </c>
      <c r="F6" s="3023">
        <f>SUM(F3:F5)</f>
        <v>32681.690000000002</v>
      </c>
      <c r="G6" s="3020">
        <f>SUM(G3:G5)</f>
        <v>10790.63</v>
      </c>
      <c r="H6" s="3023">
        <f>SUM(H3:H5)</f>
        <v>0</v>
      </c>
      <c r="I6" s="3023"/>
      <c r="J6" s="3020">
        <f>SUM(J3:J5)</f>
        <v>200839.60876</v>
      </c>
      <c r="K6" s="3020">
        <f>SUM(K3:K5)</f>
        <v>200839.60876</v>
      </c>
      <c r="L6" s="3020">
        <f>SUM(L3:L5)</f>
        <v>0</v>
      </c>
      <c r="M6" s="3025"/>
    </row>
    <row r="7" spans="1:14" s="3014" customFormat="1" ht="65.099999999999994" customHeight="1">
      <c r="A7" s="3026"/>
      <c r="B7" s="3027"/>
      <c r="C7" s="2953"/>
      <c r="D7" s="2953"/>
      <c r="E7" s="2953"/>
      <c r="F7" s="2953"/>
      <c r="G7" s="2953"/>
      <c r="H7" s="2953"/>
      <c r="I7" s="2953"/>
      <c r="J7" s="2953"/>
      <c r="K7" s="2953"/>
      <c r="L7" s="2953"/>
      <c r="M7" s="2953"/>
    </row>
    <row r="8" spans="1:14" s="3014" customFormat="1" ht="65.099999999999994" customHeight="1">
      <c r="A8" s="3026"/>
      <c r="B8" s="3028"/>
      <c r="C8" s="3029"/>
      <c r="D8" s="3030"/>
      <c r="E8" s="2953"/>
      <c r="F8" s="2953"/>
      <c r="G8" s="2953"/>
      <c r="H8" s="2953"/>
      <c r="I8" s="2953"/>
      <c r="J8" s="2953"/>
      <c r="K8" s="2953"/>
      <c r="L8" s="2953"/>
      <c r="M8" s="2953"/>
    </row>
    <row r="9" spans="1:14" s="3014" customFormat="1" ht="65.099999999999994" customHeight="1">
      <c r="A9" s="3026"/>
      <c r="B9" s="3027"/>
      <c r="C9" s="2953"/>
      <c r="D9" s="3030"/>
      <c r="E9" s="2953"/>
      <c r="F9" s="2953"/>
      <c r="G9" s="2953"/>
      <c r="H9" s="2953"/>
      <c r="I9" s="2953"/>
      <c r="J9" s="2953"/>
      <c r="K9" s="2953"/>
      <c r="L9" s="2953"/>
      <c r="M9" s="2953"/>
    </row>
    <row r="10" spans="1:14" s="3014" customFormat="1" ht="65.099999999999994" customHeight="1">
      <c r="A10" s="3026"/>
      <c r="B10" s="3027"/>
      <c r="C10" s="2953"/>
      <c r="D10" s="3030"/>
      <c r="E10" s="2953"/>
      <c r="F10" s="3031"/>
      <c r="G10" s="2953"/>
      <c r="H10" s="2953"/>
      <c r="I10" s="2953"/>
      <c r="J10" s="2953"/>
      <c r="K10" s="2953"/>
      <c r="L10" s="2953"/>
      <c r="M10" s="2953"/>
    </row>
    <row r="11" spans="1:14" s="3014" customFormat="1" ht="65.099999999999994" customHeight="1">
      <c r="A11" s="3026"/>
      <c r="B11" s="3027"/>
      <c r="C11" s="2953"/>
      <c r="D11" s="2953"/>
      <c r="E11" s="2953"/>
      <c r="F11" s="2953"/>
      <c r="G11" s="2953"/>
      <c r="H11" s="2953"/>
      <c r="I11" s="2953"/>
      <c r="J11" s="2953"/>
      <c r="K11" s="2953"/>
      <c r="L11" s="2953"/>
      <c r="M11" s="2953"/>
    </row>
    <row r="12" spans="1:14" s="3014" customFormat="1" ht="65.099999999999994" customHeight="1">
      <c r="A12" s="3026"/>
      <c r="B12" s="3027"/>
      <c r="C12" s="2953"/>
      <c r="D12" s="2953"/>
      <c r="E12" s="2953"/>
      <c r="F12" s="2953"/>
      <c r="G12" s="2953"/>
      <c r="H12" s="2953"/>
      <c r="I12" s="2953"/>
      <c r="J12" s="2953"/>
      <c r="K12" s="2953"/>
      <c r="L12" s="2953"/>
      <c r="M12" s="2953"/>
    </row>
    <row r="13" spans="1:14" ht="65.099999999999994" customHeight="1">
      <c r="A13" s="3026"/>
      <c r="B13" s="3027"/>
    </row>
    <row r="14" spans="1:14" ht="65.099999999999994" customHeight="1">
      <c r="A14" s="3026"/>
      <c r="B14" s="3027"/>
    </row>
    <row r="15" spans="1:14" ht="65.099999999999994" customHeight="1">
      <c r="A15" s="3026"/>
      <c r="B15" s="3027"/>
    </row>
    <row r="16" spans="1:14" ht="65.099999999999994" customHeight="1">
      <c r="A16" s="3026"/>
      <c r="B16" s="3027"/>
    </row>
    <row r="17" spans="1:3" ht="65.099999999999994" customHeight="1">
      <c r="A17" s="3026"/>
      <c r="B17" s="3027"/>
    </row>
    <row r="18" spans="1:3" ht="65.099999999999994" customHeight="1">
      <c r="A18" s="3026"/>
      <c r="B18" s="3027"/>
    </row>
    <row r="19" spans="1:3" ht="65.099999999999994" customHeight="1">
      <c r="A19" s="3026"/>
      <c r="B19" s="3027"/>
    </row>
    <row r="20" spans="1:3" ht="65.099999999999994" customHeight="1">
      <c r="A20" s="3026"/>
      <c r="B20" s="3027"/>
    </row>
    <row r="21" spans="1:3" ht="65.099999999999994" customHeight="1">
      <c r="A21" s="3093"/>
      <c r="B21" s="3027"/>
      <c r="C21" s="3027"/>
    </row>
    <row r="22" spans="1:3" ht="65.099999999999994" customHeight="1">
      <c r="A22" s="3093"/>
      <c r="B22" s="3027"/>
      <c r="C22" s="3027"/>
    </row>
    <row r="23" spans="1:3" ht="65.099999999999994" customHeight="1">
      <c r="A23" s="3093"/>
      <c r="B23" s="3096"/>
      <c r="C23" s="3096"/>
    </row>
    <row r="24" spans="1:3" ht="65.099999999999994" customHeight="1">
      <c r="A24" s="3093"/>
      <c r="B24" s="3096"/>
      <c r="C24" s="3096"/>
    </row>
    <row r="25" spans="1:3" ht="65.099999999999994" customHeight="1">
      <c r="A25" s="3032"/>
      <c r="B25" s="3033"/>
      <c r="C25" s="3096"/>
    </row>
    <row r="26" spans="1:3" ht="65.099999999999994" customHeight="1">
      <c r="A26" s="3093"/>
      <c r="B26" s="3027"/>
      <c r="C26" s="3027"/>
    </row>
    <row r="27" spans="1:3" ht="65.099999999999994" customHeight="1">
      <c r="A27" s="3093"/>
      <c r="B27" s="3027"/>
      <c r="C27" s="3027"/>
    </row>
    <row r="28" spans="1:3" ht="65.099999999999994" customHeight="1">
      <c r="A28" s="3093"/>
      <c r="B28" s="3027"/>
      <c r="C28" s="3027"/>
    </row>
    <row r="29" spans="1:3" ht="65.099999999999994" customHeight="1">
      <c r="A29" s="3093"/>
      <c r="B29" s="3027"/>
      <c r="C29" s="3027"/>
    </row>
    <row r="30" spans="1:3" ht="65.099999999999994" customHeight="1">
      <c r="A30" s="3093"/>
      <c r="B30" s="3027"/>
      <c r="C30" s="3027"/>
    </row>
    <row r="31" spans="1:3" ht="65.099999999999994" customHeight="1">
      <c r="A31" s="3026"/>
      <c r="B31" s="3027"/>
    </row>
    <row r="32" spans="1:3" ht="65.099999999999994" customHeight="1">
      <c r="A32" s="3093"/>
      <c r="B32" s="3027"/>
    </row>
    <row r="33" spans="1:2" ht="65.099999999999994" customHeight="1">
      <c r="A33" s="3093"/>
      <c r="B33" s="3027"/>
    </row>
    <row r="34" spans="1:2" ht="65.099999999999994" customHeight="1">
      <c r="A34" s="3093"/>
      <c r="B34" s="3027"/>
    </row>
    <row r="35" spans="1:2" ht="65.099999999999994" customHeight="1">
      <c r="A35" s="3093"/>
      <c r="B35" s="3027"/>
    </row>
    <row r="36" spans="1:2" ht="65.099999999999994" customHeight="1">
      <c r="A36" s="3026"/>
      <c r="B36" s="3027"/>
    </row>
    <row r="37" spans="1:2" ht="65.099999999999994" customHeight="1">
      <c r="A37" s="3026"/>
      <c r="B37" s="3027"/>
    </row>
    <row r="38" spans="1:2" ht="65.099999999999994" customHeight="1">
      <c r="A38" s="3026"/>
      <c r="B38" s="3027"/>
    </row>
    <row r="39" spans="1:2" ht="65.099999999999994" customHeight="1">
      <c r="A39" s="3026"/>
      <c r="B39" s="3027"/>
    </row>
    <row r="40" spans="1:2" ht="65.099999999999994" customHeight="1">
      <c r="A40" s="3026"/>
      <c r="B40" s="3027"/>
    </row>
    <row r="41" spans="1:2" ht="65.099999999999994" customHeight="1">
      <c r="A41" s="3026"/>
      <c r="B41" s="3027"/>
    </row>
    <row r="42" spans="1:2" ht="65.099999999999994" customHeight="1">
      <c r="A42" s="3026"/>
      <c r="B42" s="3027"/>
    </row>
    <row r="43" spans="1:2" ht="65.099999999999994" customHeight="1">
      <c r="A43" s="3026"/>
      <c r="B43" s="3027"/>
    </row>
  </sheetData>
  <mergeCells count="9">
    <mergeCell ref="A26:A28"/>
    <mergeCell ref="A29:A30"/>
    <mergeCell ref="A32:A33"/>
    <mergeCell ref="A34:A35"/>
    <mergeCell ref="A1:M1"/>
    <mergeCell ref="A21:A22"/>
    <mergeCell ref="A23:A24"/>
    <mergeCell ref="B23:B24"/>
    <mergeCell ref="C23:C25"/>
  </mergeCells>
  <phoneticPr fontId="143" type="noConversion"/>
  <pageMargins left="0.78680555555555598" right="0.78680555555555598" top="0.196527777777778" bottom="0.39305555555555599" header="0.59027777777777801" footer="0.59027777777777801"/>
  <pageSetup paperSize="8" scale="15"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6" sqref="G36"/>
    </sheetView>
  </sheetViews>
  <sheetFormatPr defaultColWidth="9" defaultRowHeight="13.5"/>
  <cols>
    <col min="1" max="1" width="13.5" style="2010" customWidth="1"/>
    <col min="2" max="2" width="23.25" style="1961" customWidth="1"/>
    <col min="3" max="3" width="13" style="2005" customWidth="1"/>
    <col min="4" max="4" width="5.75" style="2002" customWidth="1"/>
    <col min="5" max="5" width="7.125" style="2002" customWidth="1"/>
    <col min="6" max="6" width="10.625" style="2002" customWidth="1"/>
    <col min="7" max="7" width="7.5" style="2002" customWidth="1"/>
    <col min="8" max="8" width="9" style="2005" customWidth="1"/>
    <col min="9" max="9" width="11.625" style="2005" customWidth="1"/>
    <col min="10" max="10" width="9" style="2005" customWidth="1"/>
    <col min="11" max="19" width="9" style="2002" customWidth="1"/>
    <col min="20" max="23" width="9" style="2005" customWidth="1"/>
    <col min="24" max="24" width="21.125" style="1961" customWidth="1"/>
    <col min="25" max="16384" width="9" style="1961"/>
  </cols>
  <sheetData>
    <row r="1" spans="1:23" s="1999" customFormat="1" ht="27">
      <c r="A1" s="1993" t="s">
        <v>71</v>
      </c>
      <c r="B1" s="1994" t="s">
        <v>1685</v>
      </c>
      <c r="C1" s="1995" t="s">
        <v>759</v>
      </c>
      <c r="D1" s="1996" t="s">
        <v>1686</v>
      </c>
      <c r="E1" s="1996" t="s">
        <v>1687</v>
      </c>
      <c r="F1" s="1996" t="s">
        <v>1688</v>
      </c>
      <c r="G1" s="1996" t="s">
        <v>1689</v>
      </c>
      <c r="H1" s="1996" t="s">
        <v>1690</v>
      </c>
      <c r="I1" s="1996" t="s">
        <v>1691</v>
      </c>
      <c r="J1" s="1996" t="s">
        <v>1692</v>
      </c>
      <c r="K1" s="1996" t="s">
        <v>1693</v>
      </c>
      <c r="L1" s="1996" t="s">
        <v>1694</v>
      </c>
      <c r="M1" s="1996" t="s">
        <v>1695</v>
      </c>
      <c r="N1" s="1996" t="s">
        <v>1696</v>
      </c>
      <c r="O1" s="1996" t="s">
        <v>1697</v>
      </c>
      <c r="P1" s="1997" t="s">
        <v>753</v>
      </c>
      <c r="Q1" s="1997" t="s">
        <v>1141</v>
      </c>
      <c r="R1" s="1996" t="s">
        <v>1135</v>
      </c>
      <c r="S1" s="1996" t="s">
        <v>1698</v>
      </c>
      <c r="T1" s="1998" t="s">
        <v>1699</v>
      </c>
      <c r="U1" s="1996" t="s">
        <v>1700</v>
      </c>
      <c r="V1" s="1996" t="s">
        <v>1701</v>
      </c>
      <c r="W1" s="1996" t="s">
        <v>755</v>
      </c>
    </row>
    <row r="2" spans="1:23">
      <c r="A2" s="2000" t="s">
        <v>22</v>
      </c>
      <c r="B2" s="2000" t="s">
        <v>1702</v>
      </c>
      <c r="C2" s="2001" t="s">
        <v>760</v>
      </c>
      <c r="D2" s="2002" t="s">
        <v>1703</v>
      </c>
      <c r="E2" s="2002" t="s">
        <v>1704</v>
      </c>
      <c r="F2" s="2002" t="s">
        <v>1705</v>
      </c>
      <c r="G2" s="2002">
        <v>40</v>
      </c>
      <c r="H2" s="2002" t="s">
        <v>1705</v>
      </c>
      <c r="I2" s="2002" t="s">
        <v>1706</v>
      </c>
      <c r="J2" s="2002" t="s">
        <v>1707</v>
      </c>
      <c r="K2" s="2002" t="s">
        <v>1708</v>
      </c>
      <c r="L2" s="2002" t="s">
        <v>1708</v>
      </c>
      <c r="M2" s="2002" t="s">
        <v>1708</v>
      </c>
      <c r="N2" s="2002" t="s">
        <v>1708</v>
      </c>
      <c r="O2" s="2002" t="s">
        <v>1708</v>
      </c>
      <c r="P2" s="2002" t="s">
        <v>1708</v>
      </c>
      <c r="Q2" s="2002" t="s">
        <v>1708</v>
      </c>
      <c r="R2" s="2002" t="s">
        <v>1137</v>
      </c>
      <c r="S2" s="2002" t="s">
        <v>1708</v>
      </c>
      <c r="T2" s="2002" t="s">
        <v>1709</v>
      </c>
      <c r="U2" s="2002" t="s">
        <v>1708</v>
      </c>
      <c r="V2" s="2002" t="s">
        <v>1710</v>
      </c>
      <c r="W2" s="2002" t="s">
        <v>1708</v>
      </c>
    </row>
    <row r="3" spans="1:23">
      <c r="A3" s="2000" t="s">
        <v>1711</v>
      </c>
      <c r="B3" s="2003" t="s">
        <v>1142</v>
      </c>
      <c r="C3" s="2004" t="s">
        <v>761</v>
      </c>
      <c r="D3" s="2002" t="s">
        <v>1712</v>
      </c>
      <c r="E3" s="2002" t="s">
        <v>16</v>
      </c>
      <c r="F3" s="2002" t="s">
        <v>1713</v>
      </c>
      <c r="G3" s="2002">
        <v>50</v>
      </c>
      <c r="H3" s="2002" t="s">
        <v>1713</v>
      </c>
      <c r="I3" s="2002" t="s">
        <v>1714</v>
      </c>
      <c r="J3" s="2002" t="s">
        <v>1715</v>
      </c>
      <c r="K3" s="2002" t="s">
        <v>1716</v>
      </c>
      <c r="L3" s="2002" t="s">
        <v>1716</v>
      </c>
      <c r="M3" s="2002" t="s">
        <v>1716</v>
      </c>
      <c r="N3" s="2002" t="s">
        <v>1716</v>
      </c>
      <c r="O3" s="2002" t="s">
        <v>1716</v>
      </c>
      <c r="P3" s="2002" t="s">
        <v>1716</v>
      </c>
      <c r="Q3" s="2002" t="s">
        <v>1716</v>
      </c>
      <c r="R3" s="2002" t="s">
        <v>1136</v>
      </c>
      <c r="S3" s="2002" t="s">
        <v>1716</v>
      </c>
      <c r="T3" s="2002" t="s">
        <v>1717</v>
      </c>
      <c r="U3" s="2002" t="s">
        <v>1716</v>
      </c>
      <c r="V3" s="2002" t="s">
        <v>1718</v>
      </c>
      <c r="W3" s="2002" t="s">
        <v>1716</v>
      </c>
    </row>
    <row r="4" spans="1:23">
      <c r="A4" s="2000" t="s">
        <v>1719</v>
      </c>
      <c r="B4" s="2000" t="s">
        <v>1720</v>
      </c>
      <c r="C4" s="2001" t="s">
        <v>762</v>
      </c>
      <c r="D4" s="2002" t="s">
        <v>865</v>
      </c>
      <c r="E4" s="2002" t="s">
        <v>1721</v>
      </c>
      <c r="F4" s="2002" t="s">
        <v>1722</v>
      </c>
      <c r="G4" s="2002">
        <v>70</v>
      </c>
      <c r="H4" s="2002" t="s">
        <v>1722</v>
      </c>
      <c r="I4" s="2002" t="s">
        <v>1723</v>
      </c>
      <c r="K4" s="2002" t="s">
        <v>1724</v>
      </c>
      <c r="L4" s="2002" t="s">
        <v>1724</v>
      </c>
      <c r="M4" s="2002" t="s">
        <v>1724</v>
      </c>
      <c r="N4" s="2002" t="s">
        <v>1724</v>
      </c>
      <c r="O4" s="2002" t="s">
        <v>1724</v>
      </c>
      <c r="P4" s="2002" t="s">
        <v>1724</v>
      </c>
      <c r="Q4" s="2002" t="s">
        <v>1724</v>
      </c>
      <c r="R4" s="2002" t="s">
        <v>1138</v>
      </c>
      <c r="S4" s="2002" t="s">
        <v>1724</v>
      </c>
      <c r="T4" s="2002" t="s">
        <v>1725</v>
      </c>
      <c r="U4" s="2002" t="s">
        <v>1724</v>
      </c>
      <c r="W4" s="2002" t="s">
        <v>1724</v>
      </c>
    </row>
    <row r="5" spans="1:23">
      <c r="A5" s="2000" t="s">
        <v>1726</v>
      </c>
      <c r="B5" s="2000" t="s">
        <v>1727</v>
      </c>
      <c r="C5" s="2001" t="s">
        <v>763</v>
      </c>
      <c r="F5" s="2002" t="s">
        <v>1728</v>
      </c>
      <c r="H5" s="2002" t="s">
        <v>1729</v>
      </c>
      <c r="I5" s="2002" t="s">
        <v>1730</v>
      </c>
      <c r="K5" s="2002" t="s">
        <v>1731</v>
      </c>
      <c r="L5" s="2002" t="s">
        <v>1731</v>
      </c>
      <c r="M5" s="2002" t="s">
        <v>1731</v>
      </c>
      <c r="N5" s="2002" t="s">
        <v>1731</v>
      </c>
      <c r="O5" s="2002" t="s">
        <v>1731</v>
      </c>
      <c r="P5" s="2002" t="s">
        <v>1731</v>
      </c>
      <c r="Q5" s="2002" t="s">
        <v>1731</v>
      </c>
      <c r="R5" s="2002" t="s">
        <v>1139</v>
      </c>
      <c r="S5" s="2002" t="s">
        <v>1731</v>
      </c>
      <c r="T5" s="2002" t="s">
        <v>1732</v>
      </c>
      <c r="U5" s="2002" t="s">
        <v>1731</v>
      </c>
      <c r="W5" s="2002" t="s">
        <v>1731</v>
      </c>
    </row>
    <row r="6" spans="1:23">
      <c r="A6" s="2000" t="s">
        <v>1733</v>
      </c>
      <c r="B6" s="2003" t="s">
        <v>1143</v>
      </c>
      <c r="C6" s="2006" t="s">
        <v>30</v>
      </c>
      <c r="F6" s="2002" t="s">
        <v>1729</v>
      </c>
      <c r="H6" s="2002" t="s">
        <v>1734</v>
      </c>
      <c r="I6" s="2002" t="s">
        <v>1735</v>
      </c>
      <c r="K6" s="2002" t="s">
        <v>1736</v>
      </c>
      <c r="L6" s="2002" t="s">
        <v>1736</v>
      </c>
      <c r="M6" s="2002" t="s">
        <v>1736</v>
      </c>
      <c r="N6" s="2002" t="s">
        <v>1736</v>
      </c>
      <c r="O6" s="2002" t="s">
        <v>1736</v>
      </c>
      <c r="P6" s="2002" t="s">
        <v>1736</v>
      </c>
      <c r="Q6" s="2002" t="s">
        <v>1736</v>
      </c>
      <c r="R6" s="2002" t="s">
        <v>1140</v>
      </c>
      <c r="S6" s="2002" t="s">
        <v>1736</v>
      </c>
      <c r="T6" s="2002"/>
      <c r="U6" s="2002" t="s">
        <v>1736</v>
      </c>
      <c r="W6" s="2002" t="s">
        <v>1736</v>
      </c>
    </row>
    <row r="7" spans="1:23">
      <c r="A7" s="2000" t="s">
        <v>1737</v>
      </c>
      <c r="B7" s="2003" t="s">
        <v>1144</v>
      </c>
      <c r="C7" s="2001" t="s">
        <v>31</v>
      </c>
      <c r="F7" s="2002" t="s">
        <v>1738</v>
      </c>
      <c r="H7" s="2002" t="s">
        <v>1739</v>
      </c>
      <c r="I7" s="2002" t="s">
        <v>1740</v>
      </c>
    </row>
    <row r="8" spans="1:23">
      <c r="A8" s="2000" t="s">
        <v>1741</v>
      </c>
      <c r="B8" s="2000" t="s">
        <v>1742</v>
      </c>
      <c r="C8" s="2001" t="s">
        <v>764</v>
      </c>
      <c r="F8" s="2002" t="s">
        <v>1743</v>
      </c>
      <c r="H8" s="2002"/>
      <c r="I8" s="2002" t="s">
        <v>1744</v>
      </c>
    </row>
    <row r="9" spans="1:23">
      <c r="A9" s="2000" t="s">
        <v>1745</v>
      </c>
      <c r="B9" s="2000" t="s">
        <v>1746</v>
      </c>
      <c r="C9" s="2001" t="s">
        <v>765</v>
      </c>
      <c r="F9" s="2002" t="s">
        <v>1747</v>
      </c>
      <c r="H9" s="2002"/>
    </row>
    <row r="10" spans="1:23">
      <c r="A10" s="2000" t="s">
        <v>1748</v>
      </c>
      <c r="B10" s="2000" t="s">
        <v>1749</v>
      </c>
      <c r="C10" s="2001" t="s">
        <v>766</v>
      </c>
      <c r="F10" s="2002" t="s">
        <v>16</v>
      </c>
    </row>
    <row r="11" spans="1:23">
      <c r="A11" s="2000" t="s">
        <v>1750</v>
      </c>
      <c r="B11" s="2000" t="s">
        <v>1751</v>
      </c>
      <c r="C11" s="2001" t="s">
        <v>767</v>
      </c>
    </row>
    <row r="12" spans="1:23">
      <c r="A12" s="2000" t="s">
        <v>1752</v>
      </c>
      <c r="B12" s="2000" t="s">
        <v>1753</v>
      </c>
      <c r="C12" s="2001" t="s">
        <v>768</v>
      </c>
    </row>
    <row r="13" spans="1:23">
      <c r="A13" s="2000" t="s">
        <v>1754</v>
      </c>
      <c r="B13" s="2000" t="s">
        <v>1755</v>
      </c>
      <c r="C13" s="2001" t="s">
        <v>769</v>
      </c>
    </row>
    <row r="14" spans="1:23">
      <c r="A14" s="2000" t="s">
        <v>1756</v>
      </c>
      <c r="B14" s="2000" t="s">
        <v>1757</v>
      </c>
      <c r="C14" s="2002" t="s">
        <v>16</v>
      </c>
    </row>
    <row r="15" spans="1:23">
      <c r="A15" s="2000" t="s">
        <v>1758</v>
      </c>
      <c r="B15" s="2000" t="s">
        <v>1759</v>
      </c>
      <c r="C15" s="2001"/>
    </row>
    <row r="16" spans="1:23">
      <c r="A16" s="2000" t="s">
        <v>1760</v>
      </c>
      <c r="B16" s="2000" t="s">
        <v>756</v>
      </c>
      <c r="C16" s="2001"/>
    </row>
    <row r="17" spans="1:3">
      <c r="A17" s="2000" t="s">
        <v>1761</v>
      </c>
      <c r="B17" s="2000" t="s">
        <v>757</v>
      </c>
      <c r="C17" s="2001"/>
    </row>
    <row r="18" spans="1:3">
      <c r="A18" s="2000" t="s">
        <v>1762</v>
      </c>
      <c r="B18" s="2000" t="s">
        <v>757</v>
      </c>
      <c r="C18" s="2001"/>
    </row>
    <row r="19" spans="1:3">
      <c r="A19" s="2000" t="s">
        <v>1763</v>
      </c>
      <c r="B19" s="2000" t="s">
        <v>757</v>
      </c>
      <c r="C19" s="2001"/>
    </row>
    <row r="20" spans="1:3">
      <c r="A20" s="2000" t="s">
        <v>1764</v>
      </c>
      <c r="B20" s="2000" t="s">
        <v>757</v>
      </c>
      <c r="C20" s="2001"/>
    </row>
    <row r="21" spans="1:3">
      <c r="A21" s="2000" t="s">
        <v>1765</v>
      </c>
      <c r="B21" s="2000" t="s">
        <v>757</v>
      </c>
      <c r="C21" s="2001"/>
    </row>
    <row r="22" spans="1:3">
      <c r="A22" s="2000" t="s">
        <v>1766</v>
      </c>
      <c r="B22" s="2000" t="s">
        <v>757</v>
      </c>
      <c r="C22" s="2001"/>
    </row>
    <row r="23" spans="1:3">
      <c r="A23" s="2000" t="s">
        <v>1767</v>
      </c>
      <c r="B23" s="2000" t="s">
        <v>757</v>
      </c>
      <c r="C23" s="2001"/>
    </row>
    <row r="24" spans="1:3">
      <c r="A24" s="2000" t="s">
        <v>1768</v>
      </c>
      <c r="B24" s="2000" t="s">
        <v>757</v>
      </c>
      <c r="C24" s="2001"/>
    </row>
    <row r="25" spans="1:3">
      <c r="A25" s="2000" t="s">
        <v>1769</v>
      </c>
      <c r="B25" s="2000" t="s">
        <v>757</v>
      </c>
      <c r="C25" s="2001"/>
    </row>
    <row r="26" spans="1:3">
      <c r="A26" s="2000" t="s">
        <v>1770</v>
      </c>
      <c r="B26" s="2000" t="s">
        <v>757</v>
      </c>
      <c r="C26" s="2001"/>
    </row>
    <row r="27" spans="1:3">
      <c r="A27" s="2000" t="s">
        <v>757</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854</v>
      </c>
      <c r="B51" s="2008"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恒大童梦天地旅游发展有限公司拟使用贵州省贵阳市花溪区贵筑社区尖山村、马洞村出让国有建设用地使用权作为抵押担保物，向中信信托办理贷款手续。中信信托特委托北京康正宏基房地产评估有限公司对上述抵押物进行评估。本次评估为确定房地产抵押贷款额度提供参考依据而评估房地产抵押价值。</v>
      </c>
      <c r="D51" s="2008" t="s">
        <v>1280</v>
      </c>
    </row>
    <row r="52" spans="1:4">
      <c r="A52" s="2007" t="s">
        <v>855</v>
      </c>
      <c r="B52" s="2007" t="s">
        <v>856</v>
      </c>
      <c r="C52" s="2005" t="s">
        <v>857</v>
      </c>
      <c r="D52" s="2005" t="s">
        <v>858</v>
      </c>
    </row>
    <row r="53" spans="1:4">
      <c r="A53" s="3097" t="s">
        <v>859</v>
      </c>
      <c r="B53" s="2008" t="s">
        <v>860</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19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97"/>
      <c r="B54" s="2008" t="s">
        <v>861</v>
      </c>
      <c r="C54" s="2005" t="s">
        <v>1277</v>
      </c>
    </row>
    <row r="55" spans="1:4">
      <c r="A55" s="3097"/>
      <c r="B55" s="2008" t="s">
        <v>862</v>
      </c>
      <c r="C55" s="2005" t="s">
        <v>1278</v>
      </c>
    </row>
    <row r="56" spans="1:4">
      <c r="A56" s="3097"/>
      <c r="B56" s="2008" t="s">
        <v>863</v>
      </c>
      <c r="C56" s="2005" t="s">
        <v>1282</v>
      </c>
    </row>
    <row r="57" spans="1:4">
      <c r="A57" s="3097"/>
      <c r="B57" s="2008" t="s">
        <v>864</v>
      </c>
      <c r="C57" s="2005" t="s">
        <v>1279</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18" customWidth="1"/>
    <col min="2" max="2" width="10" style="2018" customWidth="1"/>
    <col min="3" max="3" width="11.5" style="2018" customWidth="1"/>
    <col min="4" max="4" width="12.125" style="2018" customWidth="1"/>
    <col min="5" max="6" width="10" style="2018" customWidth="1"/>
    <col min="7" max="7" width="10.75" style="2018" customWidth="1"/>
    <col min="8" max="8" width="10" style="2018" customWidth="1"/>
    <col min="9" max="9" width="11.125" style="2140" customWidth="1"/>
    <col min="10" max="10" width="10" style="2018" customWidth="1"/>
    <col min="11" max="11" width="10" style="2141" customWidth="1"/>
    <col min="12" max="13" width="10" style="2142" customWidth="1"/>
    <col min="14" max="14" width="10" style="2018" customWidth="1"/>
    <col min="15" max="15" width="10" style="2140" customWidth="1"/>
    <col min="16" max="17" width="10" style="2018"/>
    <col min="18" max="18" width="10" style="2018" customWidth="1"/>
    <col min="19" max="16384" width="10" style="2018"/>
  </cols>
  <sheetData>
    <row r="1" spans="1:19" ht="38.25" customHeight="1" thickBot="1">
      <c r="A1" s="2011" t="s">
        <v>1771</v>
      </c>
      <c r="B1" s="3106" t="str">
        <f>IF(B10="北京市","北京市",C10)&amp;F10&amp;IF(结果表!G1="在建","出让国有建设用地使用权及在建建筑物",IF(结果表!G1="土地","出让国有建设用地使用权",))&amp;B9&amp;"预评估"</f>
        <v>贵州省贵阳市花溪区贵筑社区尖山村、马洞村出让国有建设用地使用权房地产抵押价值预评估</v>
      </c>
      <c r="C1" s="3107"/>
      <c r="D1" s="3107"/>
      <c r="E1" s="3107"/>
      <c r="F1" s="3107"/>
      <c r="G1" s="3107"/>
      <c r="H1" s="3107"/>
      <c r="I1" s="3108"/>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贵州省贵阳市花溪区贵筑社区尖山村、马洞村出让国有建设用地使用权抵押价值</v>
      </c>
    </row>
    <row r="2" spans="1:19" ht="18" customHeight="1">
      <c r="A2" s="2012" t="s">
        <v>1772</v>
      </c>
      <c r="B2" s="2931" t="s">
        <v>4683</v>
      </c>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贵州省贵阳市花溪区贵筑社区尖山村、马洞村出让国有建设用地使用权</v>
      </c>
    </row>
    <row r="3" spans="1:19" ht="18" customHeight="1">
      <c r="A3" s="2021" t="s">
        <v>1773</v>
      </c>
      <c r="B3" s="2022">
        <v>43970</v>
      </c>
      <c r="C3" s="2023" t="s">
        <v>1774</v>
      </c>
      <c r="D3" s="3392">
        <v>43970</v>
      </c>
      <c r="E3" s="2012"/>
      <c r="F3" s="2012"/>
      <c r="G3" s="2012"/>
      <c r="H3" s="2012"/>
      <c r="I3" s="2012"/>
      <c r="J3" s="2012"/>
      <c r="K3" s="2013"/>
      <c r="L3" s="2014"/>
      <c r="M3" s="2014"/>
      <c r="N3" s="2015"/>
      <c r="O3" s="2016"/>
      <c r="P3" s="2015"/>
      <c r="Q3" s="2015"/>
      <c r="R3" s="2015"/>
      <c r="S3" s="2017"/>
    </row>
    <row r="4" spans="1:19" ht="18" customHeight="1" thickBot="1">
      <c r="A4" s="2024" t="s">
        <v>1775</v>
      </c>
      <c r="B4" s="2025" t="s">
        <v>3038</v>
      </c>
      <c r="C4" s="1027">
        <f ca="1">SUMIF(注册房地产估价师,B4,估价师及机构信息!B3:B24)</f>
        <v>1120050019</v>
      </c>
      <c r="D4" s="2025" t="s">
        <v>3039</v>
      </c>
      <c r="E4" s="1028">
        <f ca="1">SUMIF(注册房地产估价师,D4,估价师及机构信息!B3:B24)</f>
        <v>1120100036</v>
      </c>
      <c r="F4" s="2025" t="s">
        <v>70</v>
      </c>
      <c r="G4" s="2026">
        <f>SUMIF(注册房地产估价师,F4,估价师及机构信息!B3:B24)</f>
        <v>0</v>
      </c>
      <c r="H4" s="2025" t="s">
        <v>70</v>
      </c>
      <c r="I4" s="2027">
        <f>SUMIF(注册房地产估价师,H4,估价师及机构信息!B3:B24)</f>
        <v>0</v>
      </c>
      <c r="J4" s="2028"/>
      <c r="K4" s="2029" t="str">
        <f ca="1">CONCATENATE(B4,"（注册号：",C4,")、",D4,"（注册号：",E4,")")</f>
        <v>王鹏（注册号：1120050019)、崔锴（注册号：1120100036)</v>
      </c>
      <c r="L4" s="2014"/>
      <c r="M4" s="2014"/>
      <c r="N4" s="2015"/>
      <c r="O4" s="2016"/>
      <c r="P4" s="2015"/>
      <c r="Q4" s="2015"/>
      <c r="R4" s="2015"/>
      <c r="S4" s="2017"/>
    </row>
    <row r="5" spans="1:19" ht="18" customHeight="1" thickTop="1">
      <c r="A5" s="2030" t="s">
        <v>1776</v>
      </c>
      <c r="B5" s="2932" t="s">
        <v>4536</v>
      </c>
      <c r="C5" s="2031"/>
      <c r="D5" s="2032"/>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3" t="s">
        <v>1777</v>
      </c>
      <c r="B6" s="3012" t="s">
        <v>4537</v>
      </c>
      <c r="C6" s="2034"/>
      <c r="D6" s="2035"/>
      <c r="E6" s="2020"/>
      <c r="F6" s="2028"/>
      <c r="G6" s="2028"/>
      <c r="H6" s="2028"/>
      <c r="I6" s="2028"/>
      <c r="J6" s="2028"/>
      <c r="K6" s="2036" t="str">
        <f>IF(COUNTIF(B6,"*上海银行*"),"上海银行","")</f>
        <v/>
      </c>
      <c r="L6" s="2014"/>
      <c r="M6" s="2014"/>
      <c r="N6" s="2015"/>
      <c r="O6" s="2016"/>
      <c r="P6" s="2015"/>
      <c r="Q6" s="2015"/>
      <c r="R6" s="2015"/>
    </row>
    <row r="7" spans="1:19" ht="18" customHeight="1">
      <c r="A7" s="2033" t="s">
        <v>1778</v>
      </c>
      <c r="B7" s="2933" t="str">
        <f>B5</f>
        <v>贵阳恒大童梦天地旅游发展有限公司</v>
      </c>
      <c r="C7" s="2034"/>
      <c r="D7" s="2035"/>
      <c r="E7" s="2020"/>
      <c r="F7" s="2028"/>
      <c r="G7" s="2028"/>
      <c r="H7" s="2028"/>
      <c r="I7" s="2028"/>
      <c r="J7" s="2028"/>
      <c r="K7" s="2037"/>
      <c r="L7" s="2014"/>
      <c r="M7" s="2014"/>
      <c r="N7" s="2015"/>
      <c r="O7" s="2016"/>
      <c r="P7" s="2015"/>
      <c r="Q7" s="2015"/>
      <c r="R7" s="2015"/>
    </row>
    <row r="8" spans="1:19" ht="18" customHeight="1">
      <c r="A8" s="2033" t="s">
        <v>1779</v>
      </c>
      <c r="B8" s="2038" t="s">
        <v>3040</v>
      </c>
      <c r="C8" s="2039"/>
      <c r="D8" s="3109" t="s">
        <v>1780</v>
      </c>
      <c r="E8" s="2040" t="s">
        <v>3041</v>
      </c>
      <c r="F8" s="2041"/>
      <c r="G8" s="2012"/>
      <c r="H8" s="2012"/>
      <c r="I8" s="2012"/>
      <c r="J8" s="2028"/>
      <c r="K8" s="2029"/>
      <c r="L8" s="2014"/>
      <c r="M8" s="2014"/>
      <c r="N8" s="2015"/>
      <c r="O8" s="2016"/>
      <c r="P8" s="2015"/>
      <c r="Q8" s="2015"/>
      <c r="R8" s="2015"/>
    </row>
    <row r="9" spans="1:19" ht="18" customHeight="1" thickBot="1">
      <c r="A9" s="2026" t="s">
        <v>1781</v>
      </c>
      <c r="B9" s="2042" t="s">
        <v>3041</v>
      </c>
      <c r="C9" s="2043"/>
      <c r="D9" s="3110"/>
      <c r="E9" s="2042" t="s">
        <v>70</v>
      </c>
      <c r="F9" s="2044"/>
      <c r="G9" s="2045"/>
      <c r="H9" s="2045"/>
      <c r="I9" s="2045"/>
      <c r="J9" s="2028"/>
      <c r="K9" s="2037"/>
      <c r="L9" s="2014"/>
      <c r="M9" s="2014"/>
      <c r="N9" s="2015"/>
      <c r="O9" s="2016"/>
      <c r="P9" s="2015"/>
      <c r="Q9" s="2015"/>
      <c r="R9" s="2015"/>
    </row>
    <row r="10" spans="1:19" ht="18" customHeight="1" thickTop="1">
      <c r="A10" s="2046" t="s">
        <v>1782</v>
      </c>
      <c r="B10" s="2047" t="s">
        <v>3042</v>
      </c>
      <c r="C10" s="2934" t="s">
        <v>3043</v>
      </c>
      <c r="D10" s="2032"/>
      <c r="E10" s="2048" t="s">
        <v>1783</v>
      </c>
      <c r="F10" s="2935" t="s">
        <v>4467</v>
      </c>
      <c r="G10" s="2049"/>
      <c r="H10" s="2050"/>
      <c r="I10" s="2032"/>
      <c r="J10" s="2028"/>
      <c r="K10" s="2037"/>
      <c r="L10" s="2014"/>
      <c r="M10" s="2014"/>
      <c r="N10" s="2015"/>
      <c r="O10" s="2016"/>
      <c r="P10" s="2015"/>
      <c r="Q10" s="2015"/>
      <c r="R10" s="2015"/>
    </row>
    <row r="11" spans="1:19" ht="18" customHeight="1">
      <c r="A11" s="2051" t="s">
        <v>1784</v>
      </c>
      <c r="B11" s="2052" t="s">
        <v>3044</v>
      </c>
      <c r="C11" s="2985" t="str">
        <f>B7</f>
        <v>贵阳恒大童梦天地旅游发展有限公司</v>
      </c>
      <c r="D11" s="2053"/>
      <c r="E11" s="2028"/>
      <c r="F11" s="2028"/>
      <c r="G11" s="2028"/>
      <c r="H11" s="2028"/>
      <c r="I11" s="2028"/>
      <c r="J11" s="2028"/>
      <c r="K11" s="2037"/>
      <c r="L11" s="2014"/>
      <c r="M11" s="2014"/>
      <c r="N11" s="2015"/>
      <c r="O11" s="2016"/>
      <c r="P11" s="2015"/>
      <c r="Q11" s="2015"/>
      <c r="R11" s="2015"/>
    </row>
    <row r="12" spans="1:19" ht="18" customHeight="1">
      <c r="A12" s="2054" t="s">
        <v>1785</v>
      </c>
      <c r="B12" s="2052" t="s">
        <v>3045</v>
      </c>
      <c r="C12" s="2055" t="s">
        <v>1786</v>
      </c>
      <c r="D12" s="2056" t="s">
        <v>1787</v>
      </c>
      <c r="E12" s="2056" t="s">
        <v>1788</v>
      </c>
      <c r="F12" s="2056" t="s">
        <v>1789</v>
      </c>
      <c r="G12" s="2056" t="s">
        <v>1790</v>
      </c>
      <c r="H12" s="2056" t="s">
        <v>1791</v>
      </c>
      <c r="I12" s="2056" t="s">
        <v>1792</v>
      </c>
      <c r="J12" s="2028"/>
      <c r="K12" s="2037"/>
      <c r="L12" s="2014"/>
      <c r="M12" s="2014"/>
      <c r="N12" s="2015"/>
      <c r="O12" s="2016"/>
      <c r="P12" s="2015"/>
      <c r="Q12" s="2015"/>
      <c r="R12" s="2015"/>
    </row>
    <row r="13" spans="1:19" ht="18" customHeight="1">
      <c r="A13" s="2057"/>
      <c r="B13" s="2058"/>
      <c r="C13" s="2059" t="s">
        <v>1793</v>
      </c>
      <c r="D13" s="2060"/>
      <c r="E13" s="2060">
        <v>57553</v>
      </c>
      <c r="F13" s="2060"/>
      <c r="G13" s="2060"/>
      <c r="H13" s="2060"/>
      <c r="I13" s="1036"/>
      <c r="J13" s="2028"/>
      <c r="K13" s="2037"/>
      <c r="L13" s="2014"/>
      <c r="M13" s="2014"/>
      <c r="N13" s="2015"/>
      <c r="O13" s="2016"/>
      <c r="P13" s="2015"/>
      <c r="Q13" s="2015"/>
      <c r="R13" s="2015"/>
    </row>
    <row r="14" spans="1:19" ht="18" customHeight="1">
      <c r="A14" s="2057"/>
      <c r="B14" s="2058"/>
      <c r="C14" s="2059" t="s">
        <v>1794</v>
      </c>
      <c r="D14" s="1039"/>
      <c r="E14" s="1039">
        <v>40</v>
      </c>
      <c r="F14" s="1039"/>
      <c r="G14" s="1039"/>
      <c r="H14" s="1039"/>
      <c r="I14" s="1039"/>
      <c r="J14" s="2028"/>
      <c r="K14" s="2061"/>
      <c r="L14" s="2014"/>
      <c r="M14" s="2014"/>
      <c r="N14" s="2015"/>
      <c r="O14" s="2016"/>
      <c r="P14" s="2015"/>
      <c r="Q14" s="2015"/>
      <c r="R14" s="2015"/>
    </row>
    <row r="15" spans="1:19" ht="18" customHeight="1">
      <c r="A15" s="2046"/>
      <c r="B15" s="2062"/>
      <c r="C15" s="2059" t="s">
        <v>1795</v>
      </c>
      <c r="D15" s="1038" t="str">
        <f>IF(B12="出让",IF(D13="","",ROUNDDOWN(MIN((D13-$D$3)/365,D14),2)),D14)</f>
        <v/>
      </c>
      <c r="E15" s="1038">
        <f>IF(B12="出让",IF(E13="","",ROUNDDOWN(MIN((E13-$D$3)/365,E14),2)),E14)</f>
        <v>37.21</v>
      </c>
      <c r="F15" s="1038" t="str">
        <f>IF(B12="出让",IF(F13="","",ROUNDDOWN(MIN((F13-$D$3)/365,F14),2)),F14)</f>
        <v/>
      </c>
      <c r="G15" s="1038" t="str">
        <f>IF(B12="出让",IF(G13="","",ROUNDDOWN(MIN((G13-$D$3)/365,G14),2)),G14)</f>
        <v/>
      </c>
      <c r="H15" s="1038" t="str">
        <f>IF(B12="出让",IF(H13="","",ROUNDDOWN(MIN((H13-$D$3)/365,H14),2)),H14)</f>
        <v/>
      </c>
      <c r="I15" s="1038" t="str">
        <f>IF(B12="出让",IF(I13="","",ROUNDDOWN(MIN((I13-$D$3)/365,I14),2)),I14)</f>
        <v/>
      </c>
      <c r="J15" s="2028"/>
      <c r="K15" s="2063"/>
      <c r="L15" s="2064"/>
      <c r="M15" s="2064"/>
      <c r="N15" s="2065"/>
      <c r="O15" s="2064"/>
      <c r="P15" s="2065"/>
      <c r="Q15" s="2015"/>
      <c r="R15" s="2015"/>
    </row>
    <row r="16" spans="1:19" ht="30.75" customHeight="1">
      <c r="A16" s="2048" t="s">
        <v>1796</v>
      </c>
      <c r="B16" s="3116" t="s">
        <v>3047</v>
      </c>
      <c r="C16" s="3117"/>
      <c r="D16" s="3118"/>
      <c r="E16" s="2066" t="s">
        <v>1797</v>
      </c>
      <c r="F16" s="3119"/>
      <c r="G16" s="3120"/>
      <c r="H16" s="3120"/>
      <c r="I16" s="3121"/>
      <c r="J16" s="2015"/>
      <c r="K16" s="2063"/>
      <c r="L16" s="2064"/>
      <c r="M16" s="2064"/>
      <c r="N16" s="2065"/>
      <c r="O16" s="2064"/>
      <c r="P16" s="2065"/>
      <c r="Q16" s="2015"/>
      <c r="R16" s="2015"/>
    </row>
    <row r="17" spans="1:22" ht="18" customHeight="1">
      <c r="A17" s="2067" t="s">
        <v>1798</v>
      </c>
      <c r="B17" s="2021" t="s">
        <v>1799</v>
      </c>
      <c r="C17" s="1043">
        <f>'数据-汇总表'!E3</f>
        <v>66687.25</v>
      </c>
      <c r="D17" s="2068" t="s">
        <v>1800</v>
      </c>
      <c r="E17" s="3122" t="s">
        <v>4460</v>
      </c>
      <c r="F17" s="3123"/>
      <c r="G17" s="3123"/>
      <c r="H17" s="3123"/>
      <c r="I17" s="3124"/>
      <c r="J17" s="2015"/>
      <c r="K17" s="2069"/>
      <c r="L17" s="2064"/>
      <c r="M17" s="2064"/>
      <c r="N17" s="2065"/>
      <c r="O17" s="2064"/>
      <c r="P17" s="2065"/>
      <c r="Q17" s="2015"/>
      <c r="R17" s="2015"/>
      <c r="S17" s="2015"/>
      <c r="T17" s="2015"/>
      <c r="U17" s="2015"/>
      <c r="V17" s="2015"/>
    </row>
    <row r="18" spans="1:22" ht="36" customHeight="1" thickBot="1">
      <c r="A18" s="2070" t="s">
        <v>70</v>
      </c>
      <c r="B18" s="2024" t="s">
        <v>1801</v>
      </c>
      <c r="C18" s="1433">
        <f>'数据-汇总表'!D3</f>
        <v>19053.5</v>
      </c>
      <c r="D18" s="2071" t="s">
        <v>1800</v>
      </c>
      <c r="E18" s="3125" t="s">
        <v>3049</v>
      </c>
      <c r="F18" s="3126"/>
      <c r="G18" s="3126"/>
      <c r="H18" s="3126"/>
      <c r="I18" s="3127"/>
      <c r="J18" s="2015"/>
      <c r="K18" s="2069"/>
      <c r="L18" s="2064"/>
      <c r="M18" s="2064"/>
      <c r="N18" s="2065"/>
      <c r="O18" s="2064"/>
      <c r="P18" s="2065"/>
      <c r="Q18" s="2015"/>
      <c r="R18" s="2015"/>
      <c r="S18" s="2015"/>
      <c r="T18" s="2015"/>
      <c r="U18" s="2015"/>
      <c r="V18" s="2015"/>
    </row>
    <row r="19" spans="1:22" ht="37.5" customHeight="1" thickTop="1" thickBot="1">
      <c r="A19" s="371" t="s">
        <v>1802</v>
      </c>
      <c r="B19" s="350" t="s">
        <v>1803</v>
      </c>
      <c r="C19" s="2072" t="s">
        <v>3050</v>
      </c>
      <c r="D19" s="2073" t="s">
        <v>1804</v>
      </c>
      <c r="E19" s="2074" t="s">
        <v>3051</v>
      </c>
      <c r="F19" s="2075" t="str">
        <f>IF(AND(C19="是",E19="否"),"是否提供他项权证或相关说明","")</f>
        <v>是否提供他项权证或相关说明</v>
      </c>
      <c r="G19" s="2076" t="s">
        <v>3050</v>
      </c>
      <c r="H19" s="2028"/>
      <c r="I19" s="2028"/>
      <c r="J19" s="2028"/>
      <c r="K19" s="2037"/>
      <c r="L19" s="2014"/>
      <c r="M19" s="2014"/>
      <c r="N19" s="2065"/>
      <c r="O19" s="2064"/>
      <c r="P19" s="2065"/>
      <c r="Q19" s="2015"/>
      <c r="R19" s="2015"/>
      <c r="S19" s="2015"/>
      <c r="T19" s="2015"/>
      <c r="U19" s="2015"/>
      <c r="V19" s="2015"/>
    </row>
    <row r="20" spans="1:22" ht="18" customHeight="1">
      <c r="A20" s="2077" t="s">
        <v>1805</v>
      </c>
      <c r="B20" s="3112" t="s">
        <v>1806</v>
      </c>
      <c r="C20" s="3113"/>
      <c r="D20" s="3114" t="s">
        <v>1807</v>
      </c>
      <c r="E20" s="3115"/>
      <c r="F20" s="2078" t="s">
        <v>1808</v>
      </c>
      <c r="G20" s="2028"/>
      <c r="H20" s="2028"/>
      <c r="I20" s="2028"/>
      <c r="J20" s="2028"/>
      <c r="K20" s="3111" t="s">
        <v>1809</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4"/>
      <c r="N20" s="2065"/>
      <c r="O20" s="2064"/>
      <c r="P20" s="2065"/>
      <c r="Q20" s="2015"/>
      <c r="R20" s="2015"/>
      <c r="S20" s="2015"/>
      <c r="T20" s="2015"/>
      <c r="U20" s="2015"/>
      <c r="V20" s="2015"/>
    </row>
    <row r="21" spans="1:22" ht="24.75" customHeight="1">
      <c r="A21" s="2077"/>
      <c r="B21" s="2079" t="s">
        <v>3048</v>
      </c>
      <c r="C21" s="2080" t="s">
        <v>3052</v>
      </c>
      <c r="D21" s="2081"/>
      <c r="E21" s="2082"/>
      <c r="F21" s="2083"/>
      <c r="G21" s="2028"/>
      <c r="H21" s="2028"/>
      <c r="I21" s="2028"/>
      <c r="J21" s="2028"/>
      <c r="K21" s="311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上述权属证件中未登记该抵押权的具体情况（债权数额、期限等）。根据不动产权利人出具的，估价对象已抵押给，权利范围为，权利价值为。</v>
      </c>
      <c r="M21" s="2014"/>
      <c r="N21" s="2065"/>
      <c r="O21" s="2064"/>
      <c r="P21" s="2065"/>
      <c r="Q21" s="2015"/>
      <c r="R21" s="2015"/>
      <c r="S21" s="2015"/>
      <c r="T21" s="2015"/>
      <c r="U21" s="2015"/>
      <c r="V21" s="2015"/>
    </row>
    <row r="22" spans="1:22" ht="24.75" customHeight="1" thickBot="1">
      <c r="A22" s="2077"/>
      <c r="B22" s="2084"/>
      <c r="C22" s="2080"/>
      <c r="D22" s="2012"/>
      <c r="E22" s="2012"/>
      <c r="F22" s="2085"/>
      <c r="G22" s="2028"/>
      <c r="H22" s="2028"/>
      <c r="I22" s="2028"/>
      <c r="J22" s="2028"/>
      <c r="K22" s="311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65"/>
      <c r="O22" s="2064"/>
      <c r="P22" s="2065"/>
      <c r="Q22" s="2015"/>
      <c r="R22" s="2015"/>
      <c r="S22" s="2015"/>
      <c r="T22" s="2015"/>
      <c r="U22" s="2015"/>
      <c r="V22" s="2015"/>
    </row>
    <row r="23" spans="1:22" ht="18" customHeight="1">
      <c r="A23" s="2086" t="s">
        <v>1810</v>
      </c>
      <c r="B23" s="181" t="s">
        <v>1811</v>
      </c>
      <c r="C23" s="2087"/>
      <c r="D23" s="2088" t="s">
        <v>1811</v>
      </c>
      <c r="E23" s="2089"/>
      <c r="F23" s="2085"/>
      <c r="G23" s="2028"/>
      <c r="H23" s="2028"/>
      <c r="I23" s="2028"/>
      <c r="J23" s="2028"/>
      <c r="K23" s="2090"/>
      <c r="L23" s="745"/>
      <c r="M23" s="2014"/>
      <c r="N23" s="2065"/>
      <c r="O23" s="2064"/>
      <c r="P23" s="2065"/>
      <c r="Q23" s="2015"/>
      <c r="R23" s="2015"/>
      <c r="S23" s="2015"/>
      <c r="T23" s="2015"/>
      <c r="U23" s="2015"/>
      <c r="V23" s="2015"/>
    </row>
    <row r="24" spans="1:22" ht="18" customHeight="1">
      <c r="A24" s="2091"/>
      <c r="B24" s="181" t="s">
        <v>1812</v>
      </c>
      <c r="C24" s="2092"/>
      <c r="D24" s="2086" t="s">
        <v>1812</v>
      </c>
      <c r="E24" s="2093"/>
      <c r="F24" s="2085"/>
      <c r="G24" s="2028"/>
      <c r="H24" s="2028"/>
      <c r="I24" s="2028"/>
      <c r="J24" s="2028"/>
      <c r="K24" s="2090"/>
      <c r="L24" s="745"/>
      <c r="M24" s="2014"/>
      <c r="N24" s="2065"/>
      <c r="O24" s="2064"/>
      <c r="P24" s="2065"/>
      <c r="Q24" s="2015"/>
      <c r="R24" s="2015"/>
      <c r="S24" s="2015"/>
      <c r="T24" s="2015"/>
      <c r="U24" s="2015"/>
      <c r="V24" s="2015"/>
    </row>
    <row r="25" spans="1:22" ht="18" customHeight="1">
      <c r="A25" s="2091"/>
      <c r="B25" s="181" t="s">
        <v>1813</v>
      </c>
      <c r="C25" s="2092"/>
      <c r="D25" s="2086" t="s">
        <v>1813</v>
      </c>
      <c r="E25" s="2093"/>
      <c r="F25" s="2085"/>
      <c r="G25" s="2028"/>
      <c r="H25" s="2028"/>
      <c r="I25" s="2028"/>
      <c r="J25" s="2028"/>
      <c r="K25" s="2037"/>
      <c r="L25" s="2014"/>
      <c r="M25" s="2014"/>
      <c r="N25" s="2065"/>
      <c r="O25" s="2064"/>
      <c r="P25" s="2065"/>
      <c r="Q25" s="2015"/>
      <c r="R25" s="2015"/>
      <c r="S25" s="2015"/>
      <c r="T25" s="2015"/>
      <c r="U25" s="2015"/>
      <c r="V25" s="2015"/>
    </row>
    <row r="26" spans="1:22" ht="18" customHeight="1" thickBot="1">
      <c r="A26" s="2094"/>
      <c r="B26" s="2095" t="s">
        <v>1814</v>
      </c>
      <c r="C26" s="2096"/>
      <c r="D26" s="2097" t="s">
        <v>1815</v>
      </c>
      <c r="E26" s="2098"/>
      <c r="F26" s="2099"/>
      <c r="G26" s="2045"/>
      <c r="H26" s="2045"/>
      <c r="I26" s="2045"/>
      <c r="J26" s="2028"/>
      <c r="K26" s="2037"/>
      <c r="L26" s="2014"/>
      <c r="M26" s="2014"/>
      <c r="N26" s="2065"/>
      <c r="O26" s="2064"/>
      <c r="P26" s="2065"/>
      <c r="Q26" s="2015"/>
      <c r="R26" s="2015"/>
      <c r="S26" s="2015"/>
      <c r="T26" s="2015"/>
      <c r="U26" s="2015"/>
      <c r="V26" s="2015"/>
    </row>
    <row r="27" spans="1:22" ht="18" customHeight="1" thickTop="1">
      <c r="A27" s="3099" t="s">
        <v>1816</v>
      </c>
      <c r="B27" s="2046" t="s">
        <v>1817</v>
      </c>
      <c r="C27" s="2100" t="s">
        <v>4538</v>
      </c>
      <c r="D27" s="2101"/>
      <c r="E27" s="2028"/>
      <c r="F27" s="2028"/>
      <c r="G27" s="2028"/>
      <c r="H27" s="2028"/>
      <c r="I27" s="2028"/>
      <c r="J27" s="2015"/>
      <c r="K27" s="2063"/>
      <c r="L27" s="2064"/>
      <c r="M27" s="2064"/>
      <c r="N27" s="2065"/>
      <c r="O27" s="2064"/>
      <c r="P27" s="2065"/>
      <c r="Q27" s="2015"/>
      <c r="R27" s="2015"/>
      <c r="S27" s="2015"/>
      <c r="T27" s="2015"/>
      <c r="U27" s="2015"/>
      <c r="V27" s="2015"/>
    </row>
    <row r="28" spans="1:22" ht="18" customHeight="1">
      <c r="A28" s="3099"/>
      <c r="B28" s="2021" t="s">
        <v>1818</v>
      </c>
      <c r="C28" s="2102" t="s">
        <v>3053</v>
      </c>
      <c r="D28" s="2103"/>
      <c r="E28" s="2028"/>
      <c r="F28" s="2028"/>
      <c r="G28" s="2028"/>
      <c r="H28" s="2028"/>
      <c r="I28" s="2028"/>
      <c r="J28" s="2015"/>
      <c r="K28" s="2104"/>
      <c r="L28" s="2014"/>
      <c r="M28" s="2014"/>
      <c r="N28" s="2015"/>
      <c r="O28" s="2016"/>
      <c r="P28" s="2015"/>
      <c r="Q28" s="2015"/>
      <c r="R28" s="2015"/>
      <c r="S28" s="2015"/>
      <c r="T28" s="2015"/>
      <c r="U28" s="2015"/>
      <c r="V28" s="2015"/>
    </row>
    <row r="29" spans="1:22" ht="18" customHeight="1">
      <c r="A29" s="3099"/>
      <c r="B29" s="2021" t="s">
        <v>1819</v>
      </c>
      <c r="C29" s="2105" t="s">
        <v>3051</v>
      </c>
      <c r="D29" s="2106"/>
      <c r="E29" s="2028"/>
      <c r="F29" s="2028"/>
      <c r="G29" s="2028"/>
      <c r="H29" s="2028"/>
      <c r="I29" s="2028"/>
      <c r="J29" s="2015"/>
      <c r="K29" s="2104"/>
      <c r="L29" s="2014"/>
      <c r="M29" s="2014"/>
      <c r="N29" s="2015"/>
      <c r="O29" s="2016"/>
      <c r="P29" s="2015"/>
      <c r="Q29" s="2015"/>
      <c r="R29" s="2015"/>
      <c r="S29" s="2015"/>
      <c r="T29" s="2015"/>
      <c r="U29" s="2015"/>
      <c r="V29" s="2015"/>
    </row>
    <row r="30" spans="1:22" ht="18" customHeight="1">
      <c r="A30" s="3100"/>
      <c r="B30" s="2021" t="s">
        <v>1820</v>
      </c>
      <c r="C30" s="3101"/>
      <c r="D30" s="3102"/>
      <c r="E30" s="2028"/>
      <c r="F30" s="2028"/>
      <c r="G30" s="2028"/>
      <c r="H30" s="2028"/>
      <c r="I30" s="2028"/>
      <c r="J30" s="2015"/>
      <c r="K30" s="2104"/>
      <c r="L30" s="2014"/>
      <c r="M30" s="2014"/>
      <c r="N30" s="2015"/>
      <c r="O30" s="2016"/>
      <c r="P30" s="2015"/>
      <c r="Q30" s="2015"/>
      <c r="R30" s="2015"/>
      <c r="S30" s="2015"/>
      <c r="T30" s="2015"/>
      <c r="U30" s="2015"/>
      <c r="V30" s="2015"/>
    </row>
    <row r="31" spans="1:22" ht="18" customHeight="1">
      <c r="A31" s="3103" t="s">
        <v>1821</v>
      </c>
      <c r="B31" s="2107" t="s">
        <v>4464</v>
      </c>
      <c r="C31" s="2108" t="str">
        <f>IF(B31="现房","成新及维护状况正常否",IF(B31="在建","工程状态是否正常",IF(B31="土地","是否闲置","-")))</f>
        <v>是否闲置</v>
      </c>
      <c r="D31" s="2109"/>
      <c r="E31" s="2110"/>
      <c r="F31" s="2028"/>
      <c r="G31" s="2028"/>
      <c r="H31" s="2028"/>
      <c r="I31" s="2028"/>
      <c r="J31" s="2028"/>
      <c r="K31" s="2036"/>
      <c r="L31" s="2014"/>
      <c r="M31" s="2014"/>
      <c r="N31" s="2015"/>
      <c r="O31" s="2016"/>
      <c r="P31" s="2015"/>
      <c r="Q31" s="2015"/>
      <c r="R31" s="2015"/>
      <c r="S31" s="2015"/>
      <c r="T31" s="2015"/>
      <c r="U31" s="2015"/>
      <c r="V31" s="2015"/>
    </row>
    <row r="32" spans="1:22" ht="18" customHeight="1">
      <c r="A32" s="3104"/>
      <c r="B32" s="2107"/>
      <c r="C32" s="2108" t="str">
        <f>IF(B32="现房","成新及维护状况是否正常",IF(B32="在建","工程状态是否正常",IF(B32="土地","是否闲置","-")))</f>
        <v>-</v>
      </c>
      <c r="D32" s="2109"/>
      <c r="E32" s="2110"/>
      <c r="F32" s="2028"/>
      <c r="G32" s="2028"/>
      <c r="H32" s="2028"/>
      <c r="I32" s="2028"/>
      <c r="J32" s="2028"/>
      <c r="K32" s="2037"/>
      <c r="L32" s="2014"/>
      <c r="M32" s="2014"/>
      <c r="N32" s="2015"/>
      <c r="O32" s="2016"/>
      <c r="P32" s="2015"/>
      <c r="Q32" s="2015"/>
      <c r="R32" s="2015"/>
      <c r="S32" s="2015"/>
      <c r="T32" s="2015"/>
      <c r="U32" s="2015"/>
      <c r="V32" s="2015"/>
    </row>
    <row r="33" spans="1:22" ht="18" customHeight="1">
      <c r="A33" s="3104"/>
      <c r="B33" s="2111"/>
      <c r="C33" s="2051" t="str">
        <f>IF(B33="现房","成新及维护状况是否正常",IF(B33="在建","工程状态是否正常",IF(B33="土地","是否闲置","-")))</f>
        <v>-</v>
      </c>
      <c r="D33" s="2112"/>
      <c r="E33" s="2113"/>
      <c r="F33" s="2028"/>
      <c r="G33" s="2028"/>
      <c r="H33" s="2028"/>
      <c r="I33" s="2028"/>
      <c r="J33" s="2028"/>
      <c r="K33" s="2037"/>
      <c r="L33" s="2014"/>
      <c r="M33" s="2014"/>
      <c r="N33" s="2015"/>
      <c r="O33" s="2016"/>
      <c r="P33" s="2015"/>
      <c r="Q33" s="2015"/>
      <c r="R33" s="2015"/>
      <c r="S33" s="2015"/>
      <c r="T33" s="2015"/>
      <c r="U33" s="2015"/>
      <c r="V33" s="2015"/>
    </row>
    <row r="34" spans="1:22" ht="18" customHeight="1">
      <c r="A34" s="2021" t="s">
        <v>1822</v>
      </c>
      <c r="B34" s="2114" t="s">
        <v>3054</v>
      </c>
      <c r="C34" s="2114" t="s">
        <v>3055</v>
      </c>
      <c r="D34" s="2114" t="s">
        <v>3056</v>
      </c>
      <c r="E34" s="2114" t="s">
        <v>3057</v>
      </c>
      <c r="F34" s="2114" t="s">
        <v>3058</v>
      </c>
      <c r="G34" s="2114" t="s">
        <v>3059</v>
      </c>
      <c r="H34" s="2114" t="s">
        <v>70</v>
      </c>
      <c r="I34" s="2028"/>
      <c r="J34" s="2028"/>
      <c r="K34" s="1782">
        <f>COUNTIF(B34:H34,"——")</f>
        <v>1</v>
      </c>
      <c r="L34" s="2055" t="s">
        <v>1823</v>
      </c>
      <c r="M34" s="2055" t="s">
        <v>1824</v>
      </c>
      <c r="N34" s="2055" t="s">
        <v>1825</v>
      </c>
      <c r="O34" s="2055" t="s">
        <v>1826</v>
      </c>
      <c r="P34" s="2055" t="s">
        <v>1827</v>
      </c>
      <c r="Q34" s="2055" t="s">
        <v>1828</v>
      </c>
      <c r="R34" s="2055" t="s">
        <v>1829</v>
      </c>
      <c r="S34" s="3098" t="s">
        <v>1830</v>
      </c>
      <c r="T34" s="2115" t="str">
        <f>NUMBERSTRING(7-K34,1)&amp;"通"</f>
        <v>六通</v>
      </c>
      <c r="U34" s="2015"/>
      <c r="V34" s="2015"/>
    </row>
    <row r="35" spans="1:22" ht="18" customHeight="1">
      <c r="A35" s="2116"/>
      <c r="B35" s="3105" t="s">
        <v>1831</v>
      </c>
      <c r="C35" s="3105"/>
      <c r="D35" s="3105"/>
      <c r="E35" s="3105"/>
      <c r="F35" s="2117" t="str">
        <f>C10</f>
        <v>贵州省</v>
      </c>
      <c r="G35" s="2028"/>
      <c r="H35" s="2028"/>
      <c r="I35" s="2028"/>
      <c r="J35" s="2028"/>
      <c r="K35" s="2055"/>
      <c r="L35" s="205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98"/>
      <c r="T35" s="47" t="str">
        <f>IF(T34="一通",L35,IF(T34="二通",M35,IF(T34="三通",N35,IF(T34="四通",O35,IF(T34="五通",P35,IF(T34="六通",Q35,R35))))))</f>
        <v>通路、通电、通讯、通上水、通下水、燃气</v>
      </c>
      <c r="U35" s="2015"/>
      <c r="V35" s="2015"/>
    </row>
    <row r="36" spans="1:22" ht="18" customHeight="1">
      <c r="A36" s="2118"/>
      <c r="B36" s="2117" t="s">
        <v>1832</v>
      </c>
      <c r="C36" s="2117" t="s">
        <v>1833</v>
      </c>
      <c r="D36" s="2117" t="s">
        <v>1834</v>
      </c>
      <c r="E36" s="2117" t="s">
        <v>1835</v>
      </c>
      <c r="F36" s="2119"/>
      <c r="G36" s="2028"/>
      <c r="H36" s="2028"/>
      <c r="I36" s="2028"/>
      <c r="J36" s="2028"/>
      <c r="K36" s="2037"/>
      <c r="L36" s="2014"/>
      <c r="M36" s="2014"/>
      <c r="N36" s="2015"/>
      <c r="O36" s="2016"/>
      <c r="P36" s="2015"/>
      <c r="Q36" s="2015"/>
      <c r="R36" s="2015"/>
      <c r="S36" s="2015"/>
      <c r="T36" s="2015"/>
      <c r="U36" s="2015"/>
      <c r="V36" s="2015"/>
    </row>
    <row r="37" spans="1:22" ht="18" customHeight="1">
      <c r="A37" s="2120" t="s">
        <v>1836</v>
      </c>
      <c r="B37" s="2121"/>
      <c r="C37" s="2121"/>
      <c r="D37" s="2121"/>
      <c r="E37" s="2121"/>
      <c r="F37" s="2119"/>
      <c r="G37" s="2028"/>
      <c r="H37" s="2028"/>
      <c r="I37" s="2028"/>
      <c r="J37" s="2028"/>
      <c r="K37" s="2037"/>
      <c r="L37" s="2014"/>
      <c r="M37" s="2014"/>
      <c r="N37" s="2015"/>
      <c r="O37" s="2016"/>
      <c r="P37" s="2015"/>
      <c r="Q37" s="2015"/>
      <c r="R37" s="2015"/>
      <c r="S37" s="2015"/>
      <c r="T37" s="2015"/>
      <c r="U37" s="2015"/>
      <c r="V37" s="2015"/>
    </row>
    <row r="38" spans="1:22" ht="18" customHeight="1" thickBot="1">
      <c r="A38" s="2122" t="s">
        <v>1837</v>
      </c>
      <c r="B38" s="2123"/>
      <c r="C38" s="2123"/>
      <c r="D38" s="2123"/>
      <c r="E38" s="2123"/>
      <c r="F38" s="2124"/>
      <c r="G38" s="2045"/>
      <c r="H38" s="2045"/>
      <c r="I38" s="2045"/>
      <c r="J38" s="2028"/>
      <c r="K38" s="2037"/>
      <c r="L38" s="2014"/>
      <c r="M38" s="2014"/>
      <c r="N38" s="2015"/>
      <c r="O38" s="2016"/>
      <c r="P38" s="2015"/>
      <c r="Q38" s="2015"/>
      <c r="R38" s="2015"/>
      <c r="S38" s="2015"/>
      <c r="T38" s="2015"/>
      <c r="U38" s="2015"/>
      <c r="V38" s="2015"/>
    </row>
    <row r="39" spans="1:22" s="2129" customFormat="1" ht="18" customHeight="1" thickTop="1" thickBot="1">
      <c r="A39" s="2125" t="s">
        <v>1838</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5"/>
      <c r="B40" s="2015"/>
      <c r="C40" s="2015"/>
      <c r="D40" s="2015"/>
      <c r="E40" s="2015"/>
      <c r="F40" s="2015"/>
      <c r="G40" s="2015"/>
      <c r="H40" s="2015"/>
      <c r="I40" s="2130"/>
      <c r="J40" s="2065"/>
      <c r="K40" s="663"/>
      <c r="L40" s="2064"/>
      <c r="M40" s="2064"/>
      <c r="N40" s="2065"/>
      <c r="O40" s="2064"/>
      <c r="P40" s="2015"/>
      <c r="Q40" s="2015"/>
      <c r="R40" s="2015"/>
      <c r="S40" s="2015"/>
      <c r="T40" s="2015"/>
      <c r="U40" s="2015"/>
      <c r="V40" s="2015"/>
    </row>
    <row r="41" spans="1:22" ht="18" customHeight="1">
      <c r="A41" s="8" t="s">
        <v>1839</v>
      </c>
      <c r="B41" s="2131"/>
      <c r="C41" s="2132"/>
      <c r="D41" s="2015"/>
      <c r="E41" s="2015"/>
      <c r="F41" s="2015"/>
      <c r="G41" s="2015"/>
      <c r="H41" s="2015"/>
      <c r="I41" s="2016"/>
      <c r="J41" s="2015"/>
      <c r="K41" s="2104"/>
      <c r="L41" s="2014"/>
      <c r="M41" s="2014"/>
      <c r="N41" s="2015"/>
      <c r="O41" s="2016"/>
      <c r="P41" s="2015"/>
      <c r="Q41" s="2015"/>
      <c r="R41" s="2015"/>
      <c r="S41" s="2015"/>
      <c r="T41" s="2015"/>
      <c r="U41" s="2015"/>
      <c r="V41" s="2015"/>
    </row>
    <row r="42" spans="1:22" ht="18" customHeight="1">
      <c r="A42" s="2055" t="s">
        <v>1840</v>
      </c>
      <c r="B42" s="1782" t="s">
        <v>1841</v>
      </c>
      <c r="C42" s="1782" t="s">
        <v>1842</v>
      </c>
      <c r="D42" s="1782" t="s">
        <v>1843</v>
      </c>
      <c r="E42" s="1782" t="s">
        <v>1844</v>
      </c>
      <c r="F42" s="1782" t="s">
        <v>1845</v>
      </c>
      <c r="G42" s="1782" t="s">
        <v>1846</v>
      </c>
      <c r="H42" s="1782" t="s">
        <v>1847</v>
      </c>
      <c r="I42" s="1782" t="s">
        <v>1848</v>
      </c>
      <c r="J42" s="2133" t="s">
        <v>1849</v>
      </c>
      <c r="K42" s="2056" t="s">
        <v>1850</v>
      </c>
      <c r="L42" s="2056" t="s">
        <v>1851</v>
      </c>
      <c r="M42" s="2056" t="s">
        <v>1852</v>
      </c>
      <c r="N42" s="1782" t="s">
        <v>1853</v>
      </c>
      <c r="O42" s="1782" t="s">
        <v>1854</v>
      </c>
      <c r="P42" s="1782" t="s">
        <v>1855</v>
      </c>
      <c r="Q42" s="2055" t="s">
        <v>1856</v>
      </c>
      <c r="R42" s="2055" t="s">
        <v>1857</v>
      </c>
      <c r="S42" s="2015"/>
      <c r="T42" s="2015"/>
      <c r="U42" s="2015"/>
      <c r="V42" s="2015"/>
    </row>
    <row r="43" spans="1:22" s="2138" customFormat="1" ht="18" customHeight="1">
      <c r="A43" s="2134"/>
      <c r="B43" s="1261"/>
      <c r="C43" s="1261"/>
      <c r="D43" s="1261"/>
      <c r="E43" s="1261"/>
      <c r="F43" s="1261"/>
      <c r="G43" s="1261"/>
      <c r="H43" s="9"/>
      <c r="I43" s="9"/>
      <c r="J43" s="2135"/>
      <c r="K43" s="2136"/>
      <c r="L43" s="2136"/>
      <c r="M43" s="9"/>
      <c r="N43" s="1261"/>
      <c r="O43" s="9"/>
      <c r="P43" s="1261"/>
      <c r="Q43" s="1261"/>
      <c r="R43" s="1261"/>
      <c r="S43" s="2137"/>
      <c r="T43" s="2137"/>
      <c r="U43" s="2137"/>
      <c r="V43" s="2137"/>
    </row>
    <row r="44" spans="1:22" s="2138" customFormat="1" ht="18" customHeight="1">
      <c r="A44" s="2134"/>
      <c r="B44" s="2134"/>
      <c r="C44" s="1261"/>
      <c r="D44" s="1261"/>
      <c r="E44" s="1261"/>
      <c r="F44" s="1261"/>
      <c r="G44" s="1261"/>
      <c r="H44" s="9"/>
      <c r="I44" s="9"/>
      <c r="J44" s="2135"/>
      <c r="K44" s="2136"/>
      <c r="L44" s="2136"/>
      <c r="M44" s="9"/>
      <c r="N44" s="1261"/>
      <c r="O44" s="9"/>
      <c r="P44" s="1261"/>
      <c r="Q44" s="1261"/>
      <c r="R44" s="1261"/>
      <c r="S44" s="2137"/>
      <c r="T44" s="2137"/>
      <c r="U44" s="2137"/>
      <c r="V44" s="2137"/>
    </row>
    <row r="45" spans="1:22" s="2138" customFormat="1" ht="18" customHeight="1">
      <c r="A45" s="2134"/>
      <c r="B45" s="2134"/>
      <c r="C45" s="1261"/>
      <c r="D45" s="1261"/>
      <c r="E45" s="1261"/>
      <c r="F45" s="1261"/>
      <c r="G45" s="1261"/>
      <c r="H45" s="9"/>
      <c r="I45" s="9"/>
      <c r="J45" s="2135"/>
      <c r="K45" s="2136"/>
      <c r="L45" s="2136"/>
      <c r="M45" s="9"/>
      <c r="N45" s="1261"/>
      <c r="O45" s="9"/>
      <c r="P45" s="1261"/>
      <c r="Q45" s="1261"/>
      <c r="R45" s="1261"/>
      <c r="S45" s="2137"/>
      <c r="T45" s="2137"/>
      <c r="U45" s="2137"/>
      <c r="V45" s="2137"/>
    </row>
    <row r="46" spans="1:22" s="2138" customFormat="1" ht="18" customHeight="1">
      <c r="A46" s="2134"/>
      <c r="B46" s="2134"/>
      <c r="C46" s="1261"/>
      <c r="D46" s="1261"/>
      <c r="E46" s="1261"/>
      <c r="F46" s="1261"/>
      <c r="G46" s="1261"/>
      <c r="H46" s="9"/>
      <c r="I46" s="9"/>
      <c r="J46" s="2135"/>
      <c r="K46" s="2136"/>
      <c r="L46" s="2136"/>
      <c r="M46" s="9"/>
      <c r="N46" s="1261"/>
      <c r="O46" s="9"/>
      <c r="P46" s="1261"/>
      <c r="Q46" s="1261"/>
      <c r="R46" s="1261"/>
      <c r="S46" s="2137"/>
      <c r="T46" s="2137"/>
      <c r="U46" s="2137"/>
      <c r="V46" s="2137"/>
    </row>
    <row r="47" spans="1:22" s="2138" customFormat="1" ht="18" customHeight="1">
      <c r="A47" s="2134"/>
      <c r="B47" s="2134"/>
      <c r="C47" s="1261"/>
      <c r="D47" s="1261"/>
      <c r="E47" s="1261"/>
      <c r="F47" s="1261"/>
      <c r="G47" s="1261"/>
      <c r="H47" s="9"/>
      <c r="I47" s="9"/>
      <c r="J47" s="2135"/>
      <c r="K47" s="2136"/>
      <c r="L47" s="2136"/>
      <c r="M47" s="9"/>
      <c r="N47" s="1261"/>
      <c r="O47" s="9"/>
      <c r="P47" s="1261"/>
      <c r="Q47" s="1261"/>
      <c r="R47" s="1261"/>
      <c r="S47" s="2137"/>
      <c r="T47" s="2137"/>
      <c r="U47" s="2137"/>
      <c r="V47" s="2137"/>
    </row>
    <row r="48" spans="1:22" s="2138" customFormat="1" ht="18" customHeight="1">
      <c r="A48" s="2134"/>
      <c r="B48" s="2134"/>
      <c r="C48" s="1261"/>
      <c r="D48" s="1261"/>
      <c r="E48" s="1261"/>
      <c r="F48" s="1261"/>
      <c r="G48" s="1261"/>
      <c r="H48" s="9"/>
      <c r="I48" s="9"/>
      <c r="J48" s="2135"/>
      <c r="K48" s="2136"/>
      <c r="L48" s="2136"/>
      <c r="M48" s="9"/>
      <c r="N48" s="1261"/>
      <c r="O48" s="9"/>
      <c r="P48" s="1261"/>
      <c r="Q48" s="1261"/>
      <c r="R48" s="1261"/>
      <c r="S48" s="2137"/>
      <c r="T48" s="2137"/>
      <c r="U48" s="2137"/>
      <c r="V48" s="2137"/>
    </row>
    <row r="49" spans="1:22" s="2138" customFormat="1" ht="18" customHeight="1">
      <c r="A49" s="2134"/>
      <c r="B49" s="2134"/>
      <c r="C49" s="1261"/>
      <c r="D49" s="1261"/>
      <c r="E49" s="1261"/>
      <c r="F49" s="1261"/>
      <c r="G49" s="1261"/>
      <c r="H49" s="9"/>
      <c r="I49" s="9"/>
      <c r="J49" s="2135"/>
      <c r="K49" s="2136"/>
      <c r="L49" s="2136"/>
      <c r="M49" s="9"/>
      <c r="N49" s="1261"/>
      <c r="O49" s="9"/>
      <c r="P49" s="1261"/>
      <c r="Q49" s="1261"/>
      <c r="R49" s="1261"/>
      <c r="S49" s="2137"/>
      <c r="T49" s="2137"/>
      <c r="U49" s="2137"/>
      <c r="V49" s="2137"/>
    </row>
    <row r="50" spans="1:22" s="2138" customFormat="1" ht="18" customHeight="1">
      <c r="A50" s="2134"/>
      <c r="B50" s="2134"/>
      <c r="C50" s="1261"/>
      <c r="D50" s="1261"/>
      <c r="E50" s="1261"/>
      <c r="F50" s="1261"/>
      <c r="G50" s="1261"/>
      <c r="H50" s="9"/>
      <c r="I50" s="9"/>
      <c r="J50" s="2135"/>
      <c r="K50" s="2136"/>
      <c r="L50" s="2136"/>
      <c r="M50" s="9"/>
      <c r="N50" s="1261"/>
      <c r="O50" s="9"/>
      <c r="P50" s="1261"/>
      <c r="Q50" s="1261"/>
      <c r="R50" s="1261"/>
      <c r="S50" s="2137"/>
      <c r="T50" s="2137"/>
      <c r="U50" s="2137"/>
      <c r="V50" s="2137"/>
    </row>
    <row r="51" spans="1:22" s="2138" customFormat="1" ht="18" customHeight="1">
      <c r="A51" s="2134"/>
      <c r="B51" s="2134"/>
      <c r="C51" s="1261"/>
      <c r="D51" s="1261"/>
      <c r="E51" s="1261"/>
      <c r="F51" s="1261"/>
      <c r="G51" s="1261"/>
      <c r="H51" s="9"/>
      <c r="I51" s="9"/>
      <c r="J51" s="2135"/>
      <c r="K51" s="2136"/>
      <c r="L51" s="2136"/>
      <c r="M51" s="9"/>
      <c r="N51" s="1261"/>
      <c r="O51" s="9"/>
      <c r="P51" s="1261"/>
      <c r="Q51" s="1261"/>
      <c r="R51" s="1261"/>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40" customWidth="1"/>
    <col min="2" max="2" width="11" style="2140" customWidth="1"/>
    <col min="3" max="3" width="10.375" style="2140" customWidth="1"/>
    <col min="4" max="4" width="9.125" style="2140" customWidth="1"/>
    <col min="5" max="6" width="10" style="2203" customWidth="1"/>
    <col min="7" max="8" width="10" style="2140" customWidth="1"/>
    <col min="9" max="9" width="10.625" style="2140" customWidth="1"/>
    <col min="10" max="10" width="9.5" style="2140" customWidth="1"/>
    <col min="11" max="11" width="11" style="2140" customWidth="1"/>
    <col min="12" max="14" width="9.5" style="2140" customWidth="1"/>
    <col min="15" max="15" width="9.875" style="2140" customWidth="1"/>
    <col min="16" max="16" width="9.75" style="2140" customWidth="1"/>
    <col min="17" max="17" width="9.375" style="2140" customWidth="1"/>
    <col min="18" max="18" width="9.25" style="2140" customWidth="1"/>
    <col min="19" max="19" width="10.875" style="2140" customWidth="1"/>
    <col min="20" max="21" width="10.75" style="2140" customWidth="1"/>
    <col min="22" max="22" width="10.875" style="2140" customWidth="1"/>
    <col min="23" max="27" width="10.75" style="2140" customWidth="1"/>
    <col min="28" max="28" width="10.875" style="2140" customWidth="1"/>
    <col min="29" max="29" width="11" style="2140" bestFit="1" customWidth="1"/>
    <col min="30" max="30" width="10" style="2140" bestFit="1" customWidth="1"/>
    <col min="31" max="31" width="9.75" style="2140" customWidth="1"/>
    <col min="32" max="46" width="9.5" style="2140" customWidth="1"/>
    <col min="47" max="47" width="18.125" style="2140" customWidth="1"/>
    <col min="48" max="50" width="9.75" style="2140" customWidth="1"/>
    <col min="51" max="55" width="10.5" style="2140" bestFit="1" customWidth="1"/>
    <col min="56" max="56" width="9.5" style="2140" bestFit="1" customWidth="1"/>
    <col min="57" max="63" width="9.125" style="2140" bestFit="1" customWidth="1"/>
    <col min="64" max="64" width="9.5" style="2140" bestFit="1" customWidth="1"/>
    <col min="65" max="65" width="9.125" style="2140" bestFit="1" customWidth="1"/>
    <col min="66" max="66" width="9.5" style="2140" bestFit="1" customWidth="1"/>
    <col min="67" max="69" width="9.125" style="2140" bestFit="1" customWidth="1"/>
    <col min="70" max="70" width="9.5" style="2140" bestFit="1" customWidth="1"/>
    <col min="71" max="71" width="9" style="2140" customWidth="1"/>
    <col min="72" max="72" width="9.125" style="2140" bestFit="1" customWidth="1"/>
    <col min="73" max="16384" width="8.875" style="2140"/>
  </cols>
  <sheetData>
    <row r="1" spans="1:72" ht="20.25">
      <c r="A1" s="2143" t="s">
        <v>1858</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4" t="s">
        <v>1859</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48" customFormat="1" ht="24">
      <c r="A2" s="11" t="s">
        <v>1860</v>
      </c>
      <c r="B2" s="11" t="s">
        <v>1861</v>
      </c>
      <c r="C2" s="11" t="s">
        <v>1862</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8" t="s">
        <v>1863</v>
      </c>
      <c r="AZ2" s="1259" t="s">
        <v>1864</v>
      </c>
      <c r="BA2" s="11" t="s">
        <v>1865</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2.75">
      <c r="A3" s="2982">
        <f>'20200214地块划分明细表'!E4</f>
        <v>19053.5</v>
      </c>
      <c r="B3" s="13">
        <f>IF(C3="否",G5-AT5,G5)</f>
        <v>66687.25</v>
      </c>
      <c r="C3" s="2149" t="s">
        <v>1866</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60"/>
      <c r="AZ3" s="1261"/>
      <c r="BA3" s="1262"/>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ht="13.5"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2.75">
      <c r="A5" s="14" t="s">
        <v>1867</v>
      </c>
      <c r="B5" s="1790"/>
      <c r="C5" s="1790"/>
      <c r="D5" s="1793"/>
      <c r="E5" s="15" t="s">
        <v>1</v>
      </c>
      <c r="F5" s="15">
        <f>SUM(F13:F587)</f>
        <v>0</v>
      </c>
      <c r="G5" s="15">
        <f>SUM(G13:G587)</f>
        <v>66687.25</v>
      </c>
      <c r="H5" s="15">
        <f t="shared" ref="H5:AT5" si="0">SUM(H13:H656)</f>
        <v>66687.25</v>
      </c>
      <c r="I5" s="15">
        <f t="shared" si="0"/>
        <v>66687.25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89"/>
      <c r="AV5" s="14" t="s">
        <v>1867</v>
      </c>
      <c r="AW5" s="1790"/>
      <c r="AX5" s="1790"/>
      <c r="AY5" s="16" t="s">
        <v>3</v>
      </c>
      <c r="AZ5" s="17">
        <f t="shared" ref="AZ5:BT5" si="1">SUM(AZ13:AZ656)</f>
        <v>66687.25</v>
      </c>
      <c r="BA5" s="17">
        <f t="shared" si="1"/>
        <v>66687.25</v>
      </c>
      <c r="BB5" s="17">
        <f t="shared" si="1"/>
        <v>66687.25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58" customFormat="1" ht="12.75">
      <c r="A6" s="14" t="s">
        <v>1868</v>
      </c>
      <c r="B6" s="2155"/>
      <c r="C6" s="2155"/>
      <c r="D6" s="2156"/>
      <c r="E6" s="15">
        <f>H6+AC6+AT6</f>
        <v>19053.5</v>
      </c>
      <c r="F6" s="15" t="s">
        <v>1</v>
      </c>
      <c r="G6" s="15" t="s">
        <v>2</v>
      </c>
      <c r="H6" s="19">
        <f>SUMIF(I$12:AB$12,"总值",I6:AB6)</f>
        <v>19053.5</v>
      </c>
      <c r="I6" s="15">
        <f t="shared" ref="I6:AB6" si="2">ROUND($A$3*I5/$B$3,2)</f>
        <v>19053.5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57"/>
      <c r="AV6" s="14" t="s">
        <v>1868</v>
      </c>
      <c r="AW6" s="2155"/>
      <c r="AX6" s="2155"/>
      <c r="AY6" s="20">
        <f>IF(AY3&gt;0,AY3,ROUND($A$3*AZ5/$B$3,2))</f>
        <v>19053.5</v>
      </c>
      <c r="AZ6" s="15" t="s">
        <v>3</v>
      </c>
      <c r="BA6" s="15">
        <f>ROUND($AY$6*BA5/$AZ$5,2)</f>
        <v>19053.5</v>
      </c>
      <c r="BB6" s="15">
        <f>ROUND($AY$6*BB5/$AZ$5,2)</f>
        <v>19053.5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48" customFormat="1" ht="24.75">
      <c r="A7" s="2090" t="s">
        <v>1869</v>
      </c>
      <c r="B7" s="2090" t="s">
        <v>1870</v>
      </c>
      <c r="C7" s="2090" t="s">
        <v>1871</v>
      </c>
      <c r="D7" s="2090" t="s">
        <v>1872</v>
      </c>
      <c r="E7" s="2090" t="s">
        <v>1873</v>
      </c>
      <c r="F7" s="2090" t="s">
        <v>1874</v>
      </c>
      <c r="G7" s="2159" t="s">
        <v>1875</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3"/>
      <c r="AU7" s="2160" t="s">
        <v>1876</v>
      </c>
      <c r="AV7" s="22" t="s">
        <v>1877</v>
      </c>
      <c r="AW7" s="2147" t="s">
        <v>1878</v>
      </c>
      <c r="AX7" s="22" t="s">
        <v>1871</v>
      </c>
      <c r="AY7" s="1790" t="s">
        <v>1879</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1880</v>
      </c>
      <c r="H8" s="2165" t="s">
        <v>1881</v>
      </c>
      <c r="I8" s="2166"/>
      <c r="J8" s="1805"/>
      <c r="K8" s="1805"/>
      <c r="L8" s="1805"/>
      <c r="M8" s="1805"/>
      <c r="N8" s="1805"/>
      <c r="O8" s="1805"/>
      <c r="P8" s="1805"/>
      <c r="Q8" s="1805"/>
      <c r="R8" s="1805"/>
      <c r="S8" s="1805"/>
      <c r="T8" s="1805"/>
      <c r="U8" s="1805"/>
      <c r="V8" s="2167"/>
      <c r="W8" s="1805"/>
      <c r="X8" s="1805"/>
      <c r="Y8" s="1805"/>
      <c r="Z8" s="1805"/>
      <c r="AA8" s="2167"/>
      <c r="AB8" s="2168"/>
      <c r="AC8" s="971" t="s">
        <v>1882</v>
      </c>
      <c r="AD8" s="2169"/>
      <c r="AE8" s="2161"/>
      <c r="AF8" s="1805"/>
      <c r="AG8" s="1805"/>
      <c r="AH8" s="1805"/>
      <c r="AI8" s="1805"/>
      <c r="AJ8" s="1805"/>
      <c r="AK8" s="1805"/>
      <c r="AL8" s="1805"/>
      <c r="AM8" s="1805"/>
      <c r="AN8" s="1805"/>
      <c r="AO8" s="1805"/>
      <c r="AP8" s="1805"/>
      <c r="AQ8" s="1805"/>
      <c r="AR8" s="1805"/>
      <c r="AS8" s="1805"/>
      <c r="AT8" s="1281" t="s">
        <v>1883</v>
      </c>
      <c r="AU8" s="2163" t="s">
        <v>1884</v>
      </c>
      <c r="AV8" s="1281"/>
      <c r="AW8" s="2146"/>
      <c r="AX8" s="1281"/>
      <c r="AY8" s="2147" t="s">
        <v>1885</v>
      </c>
      <c r="AZ8" s="1804" t="s">
        <v>1886</v>
      </c>
      <c r="BA8" s="1805"/>
      <c r="BB8" s="1805"/>
      <c r="BC8" s="1805"/>
      <c r="BD8" s="1805"/>
      <c r="BE8" s="1805"/>
      <c r="BF8" s="1805"/>
      <c r="BG8" s="1805"/>
      <c r="BH8" s="1805"/>
      <c r="BI8" s="1805"/>
      <c r="BJ8" s="1805"/>
      <c r="BK8" s="1805"/>
      <c r="BL8" s="1805"/>
      <c r="BM8" s="1805"/>
      <c r="BN8" s="1805"/>
      <c r="BO8" s="1805"/>
      <c r="BP8" s="1805"/>
      <c r="BQ8" s="1805"/>
      <c r="BR8" s="1805"/>
      <c r="BS8" s="1805"/>
      <c r="BT8" s="25"/>
    </row>
    <row r="9" spans="1:72" s="2170" customFormat="1" ht="12.75">
      <c r="A9" s="2163"/>
      <c r="B9" s="2163"/>
      <c r="C9" s="2163"/>
      <c r="D9" s="2163"/>
      <c r="E9" s="2163"/>
      <c r="F9" s="2163"/>
      <c r="G9" s="1281"/>
      <c r="H9" s="2171" t="s">
        <v>1887</v>
      </c>
      <c r="I9" s="2172" t="s">
        <v>4446</v>
      </c>
      <c r="J9" s="971"/>
      <c r="K9" s="2172"/>
      <c r="L9" s="971"/>
      <c r="M9" s="2172"/>
      <c r="N9" s="971"/>
      <c r="O9" s="2172"/>
      <c r="P9" s="971"/>
      <c r="Q9" s="2172"/>
      <c r="R9" s="971"/>
      <c r="S9" s="2172"/>
      <c r="T9" s="971"/>
      <c r="U9" s="2172"/>
      <c r="V9" s="971"/>
      <c r="W9" s="2172"/>
      <c r="X9" s="2173"/>
      <c r="Y9" s="2172"/>
      <c r="Z9" s="971"/>
      <c r="AA9" s="2172"/>
      <c r="AB9" s="971"/>
      <c r="AC9" s="2164" t="s">
        <v>1887</v>
      </c>
      <c r="AD9" s="14" t="s">
        <v>1888</v>
      </c>
      <c r="AE9" s="1287"/>
      <c r="AF9" s="14" t="s">
        <v>1889</v>
      </c>
      <c r="AG9" s="1287"/>
      <c r="AH9" s="14" t="s">
        <v>1888</v>
      </c>
      <c r="AI9" s="1287"/>
      <c r="AJ9" s="14" t="s">
        <v>1889</v>
      </c>
      <c r="AK9" s="1287"/>
      <c r="AL9" s="14" t="s">
        <v>1888</v>
      </c>
      <c r="AM9" s="1287"/>
      <c r="AN9" s="14" t="s">
        <v>1889</v>
      </c>
      <c r="AO9" s="1287"/>
      <c r="AP9" s="14" t="s">
        <v>1888</v>
      </c>
      <c r="AQ9" s="1287"/>
      <c r="AR9" s="14" t="s">
        <v>1889</v>
      </c>
      <c r="AS9" s="2174"/>
      <c r="AT9" s="2163"/>
      <c r="AU9" s="2163" t="s">
        <v>1890</v>
      </c>
      <c r="AV9" s="1281"/>
      <c r="AW9" s="2146"/>
      <c r="AX9" s="1281"/>
      <c r="AY9" s="27"/>
      <c r="AZ9" s="27" t="s">
        <v>1880</v>
      </c>
      <c r="BA9" s="2175" t="s">
        <v>1891</v>
      </c>
      <c r="BB9" s="2176"/>
      <c r="BC9" s="1327"/>
      <c r="BD9" s="1327"/>
      <c r="BE9" s="1327"/>
      <c r="BF9" s="1327"/>
      <c r="BG9" s="1327"/>
      <c r="BH9" s="1327"/>
      <c r="BI9" s="1327"/>
      <c r="BJ9" s="1327"/>
      <c r="BK9" s="2177"/>
      <c r="BL9" s="14" t="s">
        <v>1892</v>
      </c>
      <c r="BM9" s="1805"/>
      <c r="BN9" s="2166"/>
      <c r="BO9" s="1805"/>
      <c r="BP9" s="1805"/>
      <c r="BQ9" s="1805"/>
      <c r="BR9" s="1805"/>
      <c r="BS9" s="1805"/>
      <c r="BT9" s="25"/>
    </row>
    <row r="10" spans="1:72" s="2170" customFormat="1" ht="12.75">
      <c r="A10" s="2163"/>
      <c r="B10" s="2163"/>
      <c r="C10" s="2163"/>
      <c r="D10" s="2163"/>
      <c r="E10" s="2163"/>
      <c r="F10" s="2163"/>
      <c r="G10" s="1281"/>
      <c r="H10" s="27"/>
      <c r="I10" s="2172" t="s">
        <v>1373</v>
      </c>
      <c r="J10" s="971"/>
      <c r="K10" s="2178"/>
      <c r="L10" s="971"/>
      <c r="M10" s="2178"/>
      <c r="N10" s="971"/>
      <c r="O10" s="2178"/>
      <c r="P10" s="971"/>
      <c r="Q10" s="2178"/>
      <c r="R10" s="971"/>
      <c r="S10" s="2178"/>
      <c r="T10" s="971"/>
      <c r="U10" s="2178"/>
      <c r="V10" s="971"/>
      <c r="W10" s="2178"/>
      <c r="X10" s="971"/>
      <c r="Y10" s="2178"/>
      <c r="Z10" s="971"/>
      <c r="AA10" s="2178"/>
      <c r="AB10" s="971"/>
      <c r="AC10" s="1281"/>
      <c r="AD10" s="14" t="s">
        <v>1893</v>
      </c>
      <c r="AE10" s="2179"/>
      <c r="AF10" s="14" t="s">
        <v>1893</v>
      </c>
      <c r="AG10" s="2179"/>
      <c r="AH10" s="14" t="s">
        <v>1894</v>
      </c>
      <c r="AI10" s="2179"/>
      <c r="AJ10" s="14" t="s">
        <v>1894</v>
      </c>
      <c r="AK10" s="2179"/>
      <c r="AL10" s="14" t="s">
        <v>1895</v>
      </c>
      <c r="AM10" s="1287"/>
      <c r="AN10" s="14" t="s">
        <v>1895</v>
      </c>
      <c r="AO10" s="1287"/>
      <c r="AP10" s="14" t="s">
        <v>1896</v>
      </c>
      <c r="AQ10" s="1287"/>
      <c r="AR10" s="14" t="s">
        <v>1896</v>
      </c>
      <c r="AS10" s="1287"/>
      <c r="AT10" s="2163"/>
      <c r="AU10" s="2163"/>
      <c r="AV10" s="1281"/>
      <c r="AW10" s="2146"/>
      <c r="AX10" s="1281"/>
      <c r="AY10" s="27"/>
      <c r="AZ10" s="27"/>
      <c r="BA10" s="2180" t="s">
        <v>1887</v>
      </c>
      <c r="BB10" s="2181" t="str">
        <f>I9</f>
        <v>地上</v>
      </c>
      <c r="BC10" s="28">
        <f>K9</f>
        <v>0</v>
      </c>
      <c r="BD10" s="28">
        <f>M9</f>
        <v>0</v>
      </c>
      <c r="BE10" s="28">
        <f>O9</f>
        <v>0</v>
      </c>
      <c r="BF10" s="28">
        <f>Q9</f>
        <v>0</v>
      </c>
      <c r="BG10" s="28">
        <f>S9</f>
        <v>0</v>
      </c>
      <c r="BH10" s="28">
        <f>U9</f>
        <v>0</v>
      </c>
      <c r="BI10" s="28">
        <f>W9</f>
        <v>0</v>
      </c>
      <c r="BJ10" s="28">
        <f>Y9</f>
        <v>0</v>
      </c>
      <c r="BK10" s="28">
        <f>AA9</f>
        <v>0</v>
      </c>
      <c r="BL10" s="24" t="s">
        <v>1887</v>
      </c>
      <c r="BM10" s="1804" t="str">
        <f>AD9</f>
        <v>地上</v>
      </c>
      <c r="BN10" s="28" t="str">
        <f>AF9</f>
        <v>地下</v>
      </c>
      <c r="BO10" s="1804" t="str">
        <f>AH9</f>
        <v>地上</v>
      </c>
      <c r="BP10" s="28" t="str">
        <f>AJ9</f>
        <v>地下</v>
      </c>
      <c r="BQ10" s="1804" t="str">
        <f>AL9</f>
        <v>地上</v>
      </c>
      <c r="BR10" s="28" t="str">
        <f>AN9</f>
        <v>地下</v>
      </c>
      <c r="BS10" s="1804" t="str">
        <f>AP9</f>
        <v>地上</v>
      </c>
      <c r="BT10" s="2182" t="str">
        <f>AR9</f>
        <v>地下</v>
      </c>
    </row>
    <row r="11" spans="1:72" s="2170" customFormat="1" ht="12.75">
      <c r="A11" s="2163"/>
      <c r="B11" s="2163"/>
      <c r="C11" s="2163"/>
      <c r="D11" s="2163"/>
      <c r="E11" s="2163"/>
      <c r="F11" s="2163"/>
      <c r="G11" s="1281"/>
      <c r="H11" s="2180"/>
      <c r="I11" s="2183" t="s">
        <v>4539</v>
      </c>
      <c r="J11" s="2184"/>
      <c r="K11" s="2183"/>
      <c r="L11" s="2184"/>
      <c r="M11" s="2183"/>
      <c r="N11" s="2184"/>
      <c r="O11" s="2183"/>
      <c r="P11" s="2184"/>
      <c r="Q11" s="2183"/>
      <c r="R11" s="2184"/>
      <c r="S11" s="2183"/>
      <c r="T11" s="2184"/>
      <c r="U11" s="2183"/>
      <c r="V11" s="2184"/>
      <c r="W11" s="2183"/>
      <c r="X11" s="2184"/>
      <c r="Y11" s="2183"/>
      <c r="Z11" s="2184"/>
      <c r="AA11" s="2183"/>
      <c r="AB11" s="2184"/>
      <c r="AC11" s="1281"/>
      <c r="AD11" s="2185" t="s">
        <v>1897</v>
      </c>
      <c r="AE11" s="1806"/>
      <c r="AF11" s="2185" t="s">
        <v>1897</v>
      </c>
      <c r="AG11" s="1806"/>
      <c r="AH11" s="2185" t="s">
        <v>1898</v>
      </c>
      <c r="AI11" s="2186"/>
      <c r="AJ11" s="2185" t="s">
        <v>1898</v>
      </c>
      <c r="AK11" s="1806"/>
      <c r="AL11" s="1804"/>
      <c r="AM11" s="1806"/>
      <c r="AN11" s="1804"/>
      <c r="AO11" s="1806"/>
      <c r="AP11" s="1804"/>
      <c r="AQ11" s="1806"/>
      <c r="AR11" s="1804"/>
      <c r="AS11" s="1806"/>
      <c r="AT11" s="2146"/>
      <c r="AU11" s="2163"/>
      <c r="AV11" s="1281"/>
      <c r="AW11" s="2146"/>
      <c r="AX11" s="1281"/>
      <c r="AY11" s="27"/>
      <c r="AZ11" s="27"/>
      <c r="BA11" s="27"/>
      <c r="BB11" s="2168" t="str">
        <f>I10</f>
        <v>商业</v>
      </c>
      <c r="BC11" s="2168">
        <f>K10</f>
        <v>0</v>
      </c>
      <c r="BD11" s="2168">
        <f>M10</f>
        <v>0</v>
      </c>
      <c r="BE11" s="2168">
        <f>O10</f>
        <v>0</v>
      </c>
      <c r="BF11" s="2168">
        <f>Q10</f>
        <v>0</v>
      </c>
      <c r="BG11" s="2168">
        <f>S10</f>
        <v>0</v>
      </c>
      <c r="BH11" s="2168">
        <f>U10</f>
        <v>0</v>
      </c>
      <c r="BI11" s="2168">
        <f>W10</f>
        <v>0</v>
      </c>
      <c r="BJ11" s="2168">
        <f>Y10</f>
        <v>0</v>
      </c>
      <c r="BK11" s="2168">
        <f>AA10</f>
        <v>0</v>
      </c>
      <c r="BL11" s="1281"/>
      <c r="BM11" s="1804" t="str">
        <f>AD10</f>
        <v>公共配套设施</v>
      </c>
      <c r="BN11" s="1804" t="str">
        <f>AF10</f>
        <v>公共配套设施</v>
      </c>
      <c r="BO11" s="23" t="str">
        <f>AH10</f>
        <v>物业管理用房</v>
      </c>
      <c r="BP11" s="23" t="str">
        <f>AJ10</f>
        <v>物业管理用房</v>
      </c>
      <c r="BQ11" s="23" t="str">
        <f>AL10</f>
        <v>设备及其他</v>
      </c>
      <c r="BR11" s="23" t="str">
        <f>AN10</f>
        <v>设备及其他</v>
      </c>
      <c r="BS11" s="24" t="str">
        <f>AP10</f>
        <v>未注明</v>
      </c>
      <c r="BT11" s="2187" t="str">
        <f>AR10</f>
        <v>未注明</v>
      </c>
    </row>
    <row r="12" spans="1:72" s="2148" customFormat="1" ht="12.75">
      <c r="A12" s="2188"/>
      <c r="B12" s="2188"/>
      <c r="C12" s="2188"/>
      <c r="D12" s="2188"/>
      <c r="E12" s="2188"/>
      <c r="F12" s="2188"/>
      <c r="G12" s="29"/>
      <c r="H12" s="2189"/>
      <c r="I12" s="1793"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9" t="s">
        <v>1900</v>
      </c>
      <c r="W12" s="11" t="s">
        <v>1899</v>
      </c>
      <c r="X12" s="11" t="s">
        <v>1900</v>
      </c>
      <c r="Y12" s="11" t="s">
        <v>1899</v>
      </c>
      <c r="Z12" s="11" t="s">
        <v>1900</v>
      </c>
      <c r="AA12" s="11" t="s">
        <v>1899</v>
      </c>
      <c r="AB12" s="11" t="s">
        <v>1900</v>
      </c>
      <c r="AC12" s="2190"/>
      <c r="AD12" s="1793"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29" t="s">
        <v>1899</v>
      </c>
      <c r="AS12" s="2188" t="s">
        <v>1900</v>
      </c>
      <c r="AT12" s="2191"/>
      <c r="AU12" s="2188"/>
      <c r="AV12" s="30"/>
      <c r="AW12" s="2147"/>
      <c r="AX12" s="30"/>
      <c r="AY12" s="2192"/>
      <c r="AZ12" s="27"/>
      <c r="BA12" s="2180"/>
      <c r="BB12" s="23" t="str">
        <f>I11</f>
        <v>独栋</v>
      </c>
      <c r="BC12" s="2193">
        <f>K11</f>
        <v>0</v>
      </c>
      <c r="BD12" s="2193">
        <f>M11</f>
        <v>0</v>
      </c>
      <c r="BE12" s="2168">
        <f>O11</f>
        <v>0</v>
      </c>
      <c r="BF12" s="2168">
        <f>Q11</f>
        <v>0</v>
      </c>
      <c r="BG12" s="2168">
        <f>S11</f>
        <v>0</v>
      </c>
      <c r="BH12" s="2168">
        <f>U11</f>
        <v>0</v>
      </c>
      <c r="BI12" s="2168">
        <f>W11</f>
        <v>0</v>
      </c>
      <c r="BJ12" s="2168">
        <f>Y11</f>
        <v>0</v>
      </c>
      <c r="BK12" s="2168">
        <f>AA11</f>
        <v>0</v>
      </c>
      <c r="BL12" s="1281"/>
      <c r="BM12" s="1804" t="str">
        <f>AD11</f>
        <v>（住宅）</v>
      </c>
      <c r="BN12" s="1804" t="str">
        <f>AF11</f>
        <v>（住宅）</v>
      </c>
      <c r="BO12" s="23" t="str">
        <f>AH11</f>
        <v>（住宅、计出让金）</v>
      </c>
      <c r="BP12" s="23" t="str">
        <f>AJ11</f>
        <v>（住宅、计出让金）</v>
      </c>
      <c r="BQ12" s="23">
        <f>AL11</f>
        <v>0</v>
      </c>
      <c r="BR12" s="23">
        <f>AN11</f>
        <v>0</v>
      </c>
      <c r="BS12" s="24">
        <f>AP11</f>
        <v>0</v>
      </c>
      <c r="BT12" s="2187">
        <f>AR11</f>
        <v>0</v>
      </c>
    </row>
    <row r="13" spans="1:72" s="2148" customFormat="1">
      <c r="A13" s="9"/>
      <c r="B13" s="33"/>
      <c r="C13" s="1261"/>
      <c r="D13" s="2194" t="s">
        <v>3050</v>
      </c>
      <c r="E13" s="15">
        <f>IF($C$3="是",ROUND($A$3*G13/$B$3,2),ROUND($A$3*(G13-AT13)/$B$3,2))</f>
        <v>19053.5</v>
      </c>
      <c r="F13" s="31"/>
      <c r="G13" s="32">
        <f>H13+AC13+AT13</f>
        <v>66687.25</v>
      </c>
      <c r="H13" s="19">
        <f>SUMIF(I$12:AB$12,"总值",I13:AB13)</f>
        <v>66687.25</v>
      </c>
      <c r="I13" s="2984">
        <f>ROUND('20200214地块划分明细表'!K4,2)</f>
        <v>66687.25</v>
      </c>
      <c r="J13" s="2984"/>
      <c r="K13" s="2195"/>
      <c r="L13" s="2195"/>
      <c r="M13" s="2195"/>
      <c r="N13" s="2195"/>
      <c r="O13" s="2195"/>
      <c r="P13" s="2195"/>
      <c r="Q13" s="2195"/>
      <c r="R13" s="2195"/>
      <c r="S13" s="2195"/>
      <c r="T13" s="2195"/>
      <c r="U13" s="2195"/>
      <c r="V13" s="2195"/>
      <c r="W13" s="2195"/>
      <c r="X13" s="2195"/>
      <c r="Y13" s="2195"/>
      <c r="Z13" s="2195"/>
      <c r="AA13" s="2195"/>
      <c r="AB13" s="2195"/>
      <c r="AC13" s="15">
        <f>SUMIF(AD$12:AS$12,"总值",AD13:AS13)</f>
        <v>0</v>
      </c>
      <c r="AD13" s="2196"/>
      <c r="AE13" s="2196"/>
      <c r="AF13" s="2196"/>
      <c r="AG13" s="2196"/>
      <c r="AH13" s="2196"/>
      <c r="AI13" s="2196"/>
      <c r="AJ13" s="2196"/>
      <c r="AK13" s="2196"/>
      <c r="AL13" s="2196"/>
      <c r="AM13" s="2196"/>
      <c r="AN13" s="2196"/>
      <c r="AO13" s="2196"/>
      <c r="AP13" s="2196"/>
      <c r="AQ13" s="2196"/>
      <c r="AR13" s="2196"/>
      <c r="AS13" s="2196"/>
      <c r="AT13" s="2197"/>
      <c r="AU13" s="2198"/>
      <c r="AV13" s="11">
        <f t="shared" ref="AV13:AX17" si="6">A13</f>
        <v>0</v>
      </c>
      <c r="AW13" s="11">
        <f t="shared" si="6"/>
        <v>0</v>
      </c>
      <c r="AX13" s="11">
        <f t="shared" si="6"/>
        <v>0</v>
      </c>
      <c r="AY13" s="1793">
        <f>ROUND($AY$6*AZ13/$AZ$5,2)</f>
        <v>19053.5</v>
      </c>
      <c r="AZ13" s="15">
        <f>BA13+BL13</f>
        <v>66687.25</v>
      </c>
      <c r="BA13" s="15">
        <f>SUM(BB13:BK13)</f>
        <v>66687.25</v>
      </c>
      <c r="BB13" s="15">
        <f>IF($D13="是",I13-J13,0)</f>
        <v>66687.25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48" customFormat="1">
      <c r="A14" s="9"/>
      <c r="B14" s="33"/>
      <c r="C14" s="2134"/>
      <c r="D14" s="2194"/>
      <c r="E14" s="15">
        <f>IF($C$3="是",ROUND($A$3*G14/$B$3,2),ROUND($A$3*(G14-AT14)/$B$3,2))</f>
        <v>0</v>
      </c>
      <c r="F14" s="31"/>
      <c r="G14" s="32">
        <f>H14+AC14+AT14</f>
        <v>0</v>
      </c>
      <c r="H14" s="19">
        <f>SUMIF(I$12:AB$12,"总值",I14:AB14)</f>
        <v>0</v>
      </c>
      <c r="I14" s="2195"/>
      <c r="J14" s="2195"/>
      <c r="K14" s="2195"/>
      <c r="L14" s="2195"/>
      <c r="M14" s="2195"/>
      <c r="N14" s="2195"/>
      <c r="O14" s="2195"/>
      <c r="P14" s="2195"/>
      <c r="Q14" s="2195"/>
      <c r="R14" s="2195"/>
      <c r="S14" s="2195"/>
      <c r="T14" s="2195"/>
      <c r="U14" s="2195"/>
      <c r="V14" s="2195"/>
      <c r="W14" s="2195"/>
      <c r="X14" s="2195"/>
      <c r="Y14" s="2195"/>
      <c r="Z14" s="2195"/>
      <c r="AA14" s="2195"/>
      <c r="AB14" s="2195"/>
      <c r="AC14" s="15">
        <f>SUMIF(AD$12:AS$12,"总值",AD14:AS14)</f>
        <v>0</v>
      </c>
      <c r="AD14" s="2196"/>
      <c r="AE14" s="2196"/>
      <c r="AF14" s="2196"/>
      <c r="AG14" s="2196"/>
      <c r="AH14" s="2196"/>
      <c r="AI14" s="2196"/>
      <c r="AJ14" s="2196"/>
      <c r="AK14" s="2196"/>
      <c r="AL14" s="2196"/>
      <c r="AM14" s="2196"/>
      <c r="AN14" s="2196"/>
      <c r="AO14" s="2196"/>
      <c r="AP14" s="2196"/>
      <c r="AQ14" s="2196"/>
      <c r="AR14" s="2196"/>
      <c r="AS14" s="2196"/>
      <c r="AT14" s="2197"/>
      <c r="AU14" s="2198"/>
      <c r="AV14" s="11">
        <f t="shared" si="6"/>
        <v>0</v>
      </c>
      <c r="AW14" s="11">
        <f t="shared" si="6"/>
        <v>0</v>
      </c>
      <c r="AX14" s="11">
        <f t="shared" si="6"/>
        <v>0</v>
      </c>
      <c r="AY14" s="179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48" customFormat="1">
      <c r="A15" s="9"/>
      <c r="B15" s="33"/>
      <c r="C15" s="2134"/>
      <c r="D15" s="2194"/>
      <c r="E15" s="15">
        <f>IF($C$3="是",ROUND($A$3*G15/$B$3,2),ROUND($A$3*(G15-AT15)/$B$3,2))</f>
        <v>0</v>
      </c>
      <c r="F15" s="31"/>
      <c r="G15" s="32">
        <f>H15+AC15+AT15</f>
        <v>0</v>
      </c>
      <c r="H15" s="19">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5">
        <f>SUMIF(AD$12:AS$12,"总值",AD15:AS15)</f>
        <v>0</v>
      </c>
      <c r="AD15" s="2196"/>
      <c r="AE15" s="2196"/>
      <c r="AF15" s="2196"/>
      <c r="AG15" s="2196"/>
      <c r="AH15" s="2196"/>
      <c r="AI15" s="2196"/>
      <c r="AJ15" s="2196"/>
      <c r="AK15" s="2196"/>
      <c r="AL15" s="2196"/>
      <c r="AM15" s="2196"/>
      <c r="AN15" s="2196"/>
      <c r="AO15" s="2196"/>
      <c r="AP15" s="2196"/>
      <c r="AQ15" s="2196"/>
      <c r="AR15" s="2196"/>
      <c r="AS15" s="2196"/>
      <c r="AT15" s="2197"/>
      <c r="AU15" s="2198"/>
      <c r="AV15" s="11">
        <f t="shared" si="6"/>
        <v>0</v>
      </c>
      <c r="AW15" s="11">
        <f t="shared" si="6"/>
        <v>0</v>
      </c>
      <c r="AX15" s="11">
        <f t="shared" si="6"/>
        <v>0</v>
      </c>
      <c r="AY15" s="179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48" customFormat="1">
      <c r="A16" s="9"/>
      <c r="B16" s="33"/>
      <c r="C16" s="2134"/>
      <c r="D16" s="2194"/>
      <c r="E16" s="15">
        <f>IF($C$3="是",ROUND($A$3*G16/$B$3,2),ROUND($A$3*(G16-AT16)/$B$3,2))</f>
        <v>0</v>
      </c>
      <c r="F16" s="31"/>
      <c r="G16" s="32">
        <f>H16+AC16+AT16</f>
        <v>0</v>
      </c>
      <c r="H16" s="19">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5">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9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48" customFormat="1">
      <c r="A17" s="9"/>
      <c r="B17" s="33"/>
      <c r="C17" s="2134"/>
      <c r="D17" s="2194"/>
      <c r="E17" s="15">
        <f>IF($C$3="是",ROUND($A$3*G17/$B$3,2),ROUND($A$3*(G17-AT17)/$B$3,2))</f>
        <v>0</v>
      </c>
      <c r="F17" s="31"/>
      <c r="G17" s="32">
        <f>H17+AC17+AT17</f>
        <v>0</v>
      </c>
      <c r="H17" s="19">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5">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9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19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0"/>
      <c r="AV18" s="1782">
        <f t="shared" ref="AV18:AV112" si="11">A18</f>
        <v>0</v>
      </c>
      <c r="AW18" s="1782">
        <f t="shared" ref="AW18:AW112" si="12">B18</f>
        <v>0</v>
      </c>
      <c r="AX18" s="178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19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0"/>
      <c r="AV19" s="1782">
        <f t="shared" si="11"/>
        <v>0</v>
      </c>
      <c r="AW19" s="1782">
        <f t="shared" si="12"/>
        <v>0</v>
      </c>
      <c r="AX19" s="178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19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0"/>
      <c r="AV20" s="1782">
        <f t="shared" si="11"/>
        <v>0</v>
      </c>
      <c r="AW20" s="1782">
        <f t="shared" si="12"/>
        <v>0</v>
      </c>
      <c r="AX20" s="178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19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0"/>
      <c r="AV21" s="1782">
        <f t="shared" si="11"/>
        <v>0</v>
      </c>
      <c r="AW21" s="1782">
        <f t="shared" si="12"/>
        <v>0</v>
      </c>
      <c r="AX21" s="178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19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0"/>
      <c r="AV22" s="1782">
        <f t="shared" si="11"/>
        <v>0</v>
      </c>
      <c r="AW22" s="1782">
        <f t="shared" si="12"/>
        <v>0</v>
      </c>
      <c r="AX22" s="178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19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0"/>
      <c r="AV23" s="1782">
        <f t="shared" si="11"/>
        <v>0</v>
      </c>
      <c r="AW23" s="1782">
        <f t="shared" si="12"/>
        <v>0</v>
      </c>
      <c r="AX23" s="178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19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0"/>
      <c r="AV24" s="1782">
        <f t="shared" si="11"/>
        <v>0</v>
      </c>
      <c r="AW24" s="1782">
        <f t="shared" si="12"/>
        <v>0</v>
      </c>
      <c r="AX24" s="178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19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0"/>
      <c r="AV25" s="1782">
        <f t="shared" si="11"/>
        <v>0</v>
      </c>
      <c r="AW25" s="1782">
        <f t="shared" si="12"/>
        <v>0</v>
      </c>
      <c r="AX25" s="178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19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0"/>
      <c r="AV26" s="1782">
        <f t="shared" si="11"/>
        <v>0</v>
      </c>
      <c r="AW26" s="1782">
        <f t="shared" si="12"/>
        <v>0</v>
      </c>
      <c r="AX26" s="178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19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0"/>
      <c r="AV27" s="1782">
        <f t="shared" si="11"/>
        <v>0</v>
      </c>
      <c r="AW27" s="1782">
        <f t="shared" si="12"/>
        <v>0</v>
      </c>
      <c r="AX27" s="178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9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0"/>
      <c r="AV28" s="1782">
        <f t="shared" si="11"/>
        <v>0</v>
      </c>
      <c r="AW28" s="1782">
        <f t="shared" si="12"/>
        <v>0</v>
      </c>
      <c r="AX28" s="178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9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0"/>
      <c r="AV29" s="1782">
        <f t="shared" si="11"/>
        <v>0</v>
      </c>
      <c r="AW29" s="1782">
        <f t="shared" si="12"/>
        <v>0</v>
      </c>
      <c r="AX29" s="178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9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0"/>
      <c r="AV30" s="1782">
        <f t="shared" si="11"/>
        <v>0</v>
      </c>
      <c r="AW30" s="1782">
        <f t="shared" si="12"/>
        <v>0</v>
      </c>
      <c r="AX30" s="178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9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0"/>
      <c r="AV31" s="1782">
        <f t="shared" si="11"/>
        <v>0</v>
      </c>
      <c r="AW31" s="1782">
        <f t="shared" si="12"/>
        <v>0</v>
      </c>
      <c r="AX31" s="178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9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0"/>
      <c r="AV32" s="1782">
        <f t="shared" si="11"/>
        <v>0</v>
      </c>
      <c r="AW32" s="1782">
        <f t="shared" si="12"/>
        <v>0</v>
      </c>
      <c r="AX32" s="178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9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0"/>
      <c r="AV33" s="1782">
        <f t="shared" si="11"/>
        <v>0</v>
      </c>
      <c r="AW33" s="1782">
        <f t="shared" si="12"/>
        <v>0</v>
      </c>
      <c r="AX33" s="178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9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0"/>
      <c r="AV34" s="1782">
        <f t="shared" si="11"/>
        <v>0</v>
      </c>
      <c r="AW34" s="1782">
        <f t="shared" si="12"/>
        <v>0</v>
      </c>
      <c r="AX34" s="178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9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0"/>
      <c r="AV35" s="1782">
        <f t="shared" si="11"/>
        <v>0</v>
      </c>
      <c r="AW35" s="1782">
        <f t="shared" si="12"/>
        <v>0</v>
      </c>
      <c r="AX35" s="178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9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0"/>
      <c r="AV36" s="1782">
        <f t="shared" si="11"/>
        <v>0</v>
      </c>
      <c r="AW36" s="1782">
        <f t="shared" si="12"/>
        <v>0</v>
      </c>
      <c r="AX36" s="178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9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0"/>
      <c r="AV37" s="1782">
        <f t="shared" si="11"/>
        <v>0</v>
      </c>
      <c r="AW37" s="1782">
        <f t="shared" si="12"/>
        <v>0</v>
      </c>
      <c r="AX37" s="178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9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0"/>
      <c r="AV38" s="1782">
        <f t="shared" si="11"/>
        <v>0</v>
      </c>
      <c r="AW38" s="1782">
        <f t="shared" si="12"/>
        <v>0</v>
      </c>
      <c r="AX38" s="178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9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0"/>
      <c r="AV39" s="1782">
        <f t="shared" si="11"/>
        <v>0</v>
      </c>
      <c r="AW39" s="1782">
        <f t="shared" si="12"/>
        <v>0</v>
      </c>
      <c r="AX39" s="178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9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0"/>
      <c r="AV40" s="1782">
        <f t="shared" si="11"/>
        <v>0</v>
      </c>
      <c r="AW40" s="1782">
        <f t="shared" si="12"/>
        <v>0</v>
      </c>
      <c r="AX40" s="178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9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0"/>
      <c r="AV41" s="1782">
        <f t="shared" si="11"/>
        <v>0</v>
      </c>
      <c r="AW41" s="1782">
        <f t="shared" si="12"/>
        <v>0</v>
      </c>
      <c r="AX41" s="178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9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0"/>
      <c r="AV42" s="1782">
        <f t="shared" si="11"/>
        <v>0</v>
      </c>
      <c r="AW42" s="1782">
        <f t="shared" si="12"/>
        <v>0</v>
      </c>
      <c r="AX42" s="178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9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0"/>
      <c r="AV43" s="1782">
        <f t="shared" si="11"/>
        <v>0</v>
      </c>
      <c r="AW43" s="1782">
        <f t="shared" si="12"/>
        <v>0</v>
      </c>
      <c r="AX43" s="178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9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0"/>
      <c r="AV44" s="1782">
        <f t="shared" si="11"/>
        <v>0</v>
      </c>
      <c r="AW44" s="1782">
        <f t="shared" si="12"/>
        <v>0</v>
      </c>
      <c r="AX44" s="178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9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0"/>
      <c r="AV45" s="1782">
        <f t="shared" si="11"/>
        <v>0</v>
      </c>
      <c r="AW45" s="1782">
        <f t="shared" si="12"/>
        <v>0</v>
      </c>
      <c r="AX45" s="178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9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0"/>
      <c r="AV46" s="1782">
        <f t="shared" si="11"/>
        <v>0</v>
      </c>
      <c r="AW46" s="1782">
        <f t="shared" si="12"/>
        <v>0</v>
      </c>
      <c r="AX46" s="178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9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0"/>
      <c r="AV47" s="1782">
        <f t="shared" si="11"/>
        <v>0</v>
      </c>
      <c r="AW47" s="1782">
        <f t="shared" si="12"/>
        <v>0</v>
      </c>
      <c r="AX47" s="178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9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0"/>
      <c r="AV48" s="1782">
        <f t="shared" si="11"/>
        <v>0</v>
      </c>
      <c r="AW48" s="1782">
        <f t="shared" si="12"/>
        <v>0</v>
      </c>
      <c r="AX48" s="178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9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0"/>
      <c r="AV49" s="1782">
        <f t="shared" si="11"/>
        <v>0</v>
      </c>
      <c r="AW49" s="1782">
        <f t="shared" si="12"/>
        <v>0</v>
      </c>
      <c r="AX49" s="178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9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0"/>
      <c r="AV50" s="1782">
        <f t="shared" si="11"/>
        <v>0</v>
      </c>
      <c r="AW50" s="1782">
        <f t="shared" si="12"/>
        <v>0</v>
      </c>
      <c r="AX50" s="178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9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0"/>
      <c r="AV51" s="1782">
        <f t="shared" si="11"/>
        <v>0</v>
      </c>
      <c r="AW51" s="1782">
        <f t="shared" si="12"/>
        <v>0</v>
      </c>
      <c r="AX51" s="178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9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0"/>
      <c r="AV52" s="1782">
        <f t="shared" si="11"/>
        <v>0</v>
      </c>
      <c r="AW52" s="1782">
        <f t="shared" si="12"/>
        <v>0</v>
      </c>
      <c r="AX52" s="178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9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0"/>
      <c r="AV53" s="1782">
        <f t="shared" si="11"/>
        <v>0</v>
      </c>
      <c r="AW53" s="1782">
        <f t="shared" si="12"/>
        <v>0</v>
      </c>
      <c r="AX53" s="178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9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0"/>
      <c r="AV54" s="1782">
        <f t="shared" si="11"/>
        <v>0</v>
      </c>
      <c r="AW54" s="1782">
        <f t="shared" si="12"/>
        <v>0</v>
      </c>
      <c r="AX54" s="178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9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0"/>
      <c r="AV55" s="1782">
        <f t="shared" si="11"/>
        <v>0</v>
      </c>
      <c r="AW55" s="1782">
        <f t="shared" si="12"/>
        <v>0</v>
      </c>
      <c r="AX55" s="178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9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0"/>
      <c r="AV56" s="1782">
        <f t="shared" si="11"/>
        <v>0</v>
      </c>
      <c r="AW56" s="1782">
        <f t="shared" si="12"/>
        <v>0</v>
      </c>
      <c r="AX56" s="178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9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0"/>
      <c r="AV57" s="1782">
        <f t="shared" si="11"/>
        <v>0</v>
      </c>
      <c r="AW57" s="1782">
        <f t="shared" si="12"/>
        <v>0</v>
      </c>
      <c r="AX57" s="178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9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0"/>
      <c r="AV58" s="1782">
        <f t="shared" si="11"/>
        <v>0</v>
      </c>
      <c r="AW58" s="1782">
        <f t="shared" si="12"/>
        <v>0</v>
      </c>
      <c r="AX58" s="178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9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0"/>
      <c r="AV59" s="1782">
        <f t="shared" si="11"/>
        <v>0</v>
      </c>
      <c r="AW59" s="1782">
        <f t="shared" si="12"/>
        <v>0</v>
      </c>
      <c r="AX59" s="178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9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0"/>
      <c r="AV60" s="1782">
        <f t="shared" si="11"/>
        <v>0</v>
      </c>
      <c r="AW60" s="1782">
        <f t="shared" si="12"/>
        <v>0</v>
      </c>
      <c r="AX60" s="178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9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0"/>
      <c r="AV61" s="1782">
        <f t="shared" si="11"/>
        <v>0</v>
      </c>
      <c r="AW61" s="1782">
        <f t="shared" si="12"/>
        <v>0</v>
      </c>
      <c r="AX61" s="178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9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0"/>
      <c r="AV62" s="1782">
        <f t="shared" si="11"/>
        <v>0</v>
      </c>
      <c r="AW62" s="1782">
        <f t="shared" si="12"/>
        <v>0</v>
      </c>
      <c r="AX62" s="178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9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0"/>
      <c r="AV63" s="1782">
        <f t="shared" si="11"/>
        <v>0</v>
      </c>
      <c r="AW63" s="1782">
        <f t="shared" si="12"/>
        <v>0</v>
      </c>
      <c r="AX63" s="178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9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0"/>
      <c r="AV64" s="1782">
        <f t="shared" si="11"/>
        <v>0</v>
      </c>
      <c r="AW64" s="1782">
        <f t="shared" si="12"/>
        <v>0</v>
      </c>
      <c r="AX64" s="178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9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0"/>
      <c r="AV65" s="1782">
        <f t="shared" si="11"/>
        <v>0</v>
      </c>
      <c r="AW65" s="1782">
        <f t="shared" si="12"/>
        <v>0</v>
      </c>
      <c r="AX65" s="178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9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0"/>
      <c r="AV66" s="1782">
        <f t="shared" si="11"/>
        <v>0</v>
      </c>
      <c r="AW66" s="1782">
        <f t="shared" si="12"/>
        <v>0</v>
      </c>
      <c r="AX66" s="178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9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0"/>
      <c r="AV67" s="1782">
        <f t="shared" si="11"/>
        <v>0</v>
      </c>
      <c r="AW67" s="1782">
        <f t="shared" si="12"/>
        <v>0</v>
      </c>
      <c r="AX67" s="178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9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0"/>
      <c r="AV68" s="1782">
        <f t="shared" si="11"/>
        <v>0</v>
      </c>
      <c r="AW68" s="1782">
        <f t="shared" si="12"/>
        <v>0</v>
      </c>
      <c r="AX68" s="178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9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0"/>
      <c r="AV69" s="1782">
        <f t="shared" si="11"/>
        <v>0</v>
      </c>
      <c r="AW69" s="1782">
        <f t="shared" si="12"/>
        <v>0</v>
      </c>
      <c r="AX69" s="178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9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0"/>
      <c r="AV70" s="1782">
        <f t="shared" si="11"/>
        <v>0</v>
      </c>
      <c r="AW70" s="1782">
        <f t="shared" si="12"/>
        <v>0</v>
      </c>
      <c r="AX70" s="178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9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0"/>
      <c r="AV71" s="1782">
        <f t="shared" si="11"/>
        <v>0</v>
      </c>
      <c r="AW71" s="1782">
        <f t="shared" si="12"/>
        <v>0</v>
      </c>
      <c r="AX71" s="178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9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0"/>
      <c r="AV72" s="1782">
        <f t="shared" si="11"/>
        <v>0</v>
      </c>
      <c r="AW72" s="1782">
        <f t="shared" si="12"/>
        <v>0</v>
      </c>
      <c r="AX72" s="178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9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0"/>
      <c r="AV73" s="1782">
        <f t="shared" si="11"/>
        <v>0</v>
      </c>
      <c r="AW73" s="1782">
        <f t="shared" si="12"/>
        <v>0</v>
      </c>
      <c r="AX73" s="178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9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0"/>
      <c r="AV74" s="1782">
        <f t="shared" si="11"/>
        <v>0</v>
      </c>
      <c r="AW74" s="1782">
        <f t="shared" si="12"/>
        <v>0</v>
      </c>
      <c r="AX74" s="178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9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0"/>
      <c r="AV75" s="1782">
        <f t="shared" si="11"/>
        <v>0</v>
      </c>
      <c r="AW75" s="1782">
        <f t="shared" si="12"/>
        <v>0</v>
      </c>
      <c r="AX75" s="178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9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0"/>
      <c r="AV76" s="1782">
        <f t="shared" si="11"/>
        <v>0</v>
      </c>
      <c r="AW76" s="1782">
        <f t="shared" si="12"/>
        <v>0</v>
      </c>
      <c r="AX76" s="178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9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0"/>
      <c r="AV77" s="1782">
        <f t="shared" si="11"/>
        <v>0</v>
      </c>
      <c r="AW77" s="1782">
        <f t="shared" si="12"/>
        <v>0</v>
      </c>
      <c r="AX77" s="178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9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0"/>
      <c r="AV78" s="1782">
        <f t="shared" si="11"/>
        <v>0</v>
      </c>
      <c r="AW78" s="1782">
        <f t="shared" si="12"/>
        <v>0</v>
      </c>
      <c r="AX78" s="178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9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0"/>
      <c r="AV79" s="1782">
        <f t="shared" si="11"/>
        <v>0</v>
      </c>
      <c r="AW79" s="1782">
        <f t="shared" si="12"/>
        <v>0</v>
      </c>
      <c r="AX79" s="178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9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0"/>
      <c r="AV80" s="1782">
        <f t="shared" si="11"/>
        <v>0</v>
      </c>
      <c r="AW80" s="1782">
        <f t="shared" si="12"/>
        <v>0</v>
      </c>
      <c r="AX80" s="178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9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0"/>
      <c r="AV81" s="1782">
        <f t="shared" si="11"/>
        <v>0</v>
      </c>
      <c r="AW81" s="1782">
        <f t="shared" si="12"/>
        <v>0</v>
      </c>
      <c r="AX81" s="178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9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0"/>
      <c r="AV82" s="1782">
        <f t="shared" si="11"/>
        <v>0</v>
      </c>
      <c r="AW82" s="1782">
        <f t="shared" si="12"/>
        <v>0</v>
      </c>
      <c r="AX82" s="178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9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0"/>
      <c r="AV83" s="1782">
        <f t="shared" si="11"/>
        <v>0</v>
      </c>
      <c r="AW83" s="1782">
        <f t="shared" si="12"/>
        <v>0</v>
      </c>
      <c r="AX83" s="178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9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0"/>
      <c r="AV84" s="1782">
        <f t="shared" si="11"/>
        <v>0</v>
      </c>
      <c r="AW84" s="1782">
        <f t="shared" si="12"/>
        <v>0</v>
      </c>
      <c r="AX84" s="178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9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0"/>
      <c r="AV85" s="1782">
        <f t="shared" si="11"/>
        <v>0</v>
      </c>
      <c r="AW85" s="1782">
        <f t="shared" si="12"/>
        <v>0</v>
      </c>
      <c r="AX85" s="178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9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0"/>
      <c r="AV86" s="1782">
        <f t="shared" si="11"/>
        <v>0</v>
      </c>
      <c r="AW86" s="1782">
        <f t="shared" si="12"/>
        <v>0</v>
      </c>
      <c r="AX86" s="178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9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0"/>
      <c r="AV87" s="1782">
        <f t="shared" si="11"/>
        <v>0</v>
      </c>
      <c r="AW87" s="1782">
        <f t="shared" si="12"/>
        <v>0</v>
      </c>
      <c r="AX87" s="178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9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0"/>
      <c r="AV88" s="1782">
        <f t="shared" si="11"/>
        <v>0</v>
      </c>
      <c r="AW88" s="1782">
        <f t="shared" si="12"/>
        <v>0</v>
      </c>
      <c r="AX88" s="178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9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0"/>
      <c r="AV89" s="1782">
        <f t="shared" si="11"/>
        <v>0</v>
      </c>
      <c r="AW89" s="1782">
        <f t="shared" si="12"/>
        <v>0</v>
      </c>
      <c r="AX89" s="178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9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0"/>
      <c r="AV90" s="1782">
        <f t="shared" si="11"/>
        <v>0</v>
      </c>
      <c r="AW90" s="1782">
        <f t="shared" si="12"/>
        <v>0</v>
      </c>
      <c r="AX90" s="178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9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0"/>
      <c r="AV91" s="1782">
        <f t="shared" si="11"/>
        <v>0</v>
      </c>
      <c r="AW91" s="1782">
        <f t="shared" si="12"/>
        <v>0</v>
      </c>
      <c r="AX91" s="178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9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0"/>
      <c r="AV92" s="1782">
        <f t="shared" si="11"/>
        <v>0</v>
      </c>
      <c r="AW92" s="1782">
        <f t="shared" si="12"/>
        <v>0</v>
      </c>
      <c r="AX92" s="178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9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0"/>
      <c r="AV93" s="1782">
        <f t="shared" si="11"/>
        <v>0</v>
      </c>
      <c r="AW93" s="1782">
        <f t="shared" si="12"/>
        <v>0</v>
      </c>
      <c r="AX93" s="178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9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0"/>
      <c r="AV94" s="1782">
        <f t="shared" si="11"/>
        <v>0</v>
      </c>
      <c r="AW94" s="1782">
        <f t="shared" si="12"/>
        <v>0</v>
      </c>
      <c r="AX94" s="178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9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0"/>
      <c r="AV95" s="1782">
        <f t="shared" si="11"/>
        <v>0</v>
      </c>
      <c r="AW95" s="1782">
        <f t="shared" si="12"/>
        <v>0</v>
      </c>
      <c r="AX95" s="178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9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0"/>
      <c r="AV96" s="1782">
        <f t="shared" si="11"/>
        <v>0</v>
      </c>
      <c r="AW96" s="1782">
        <f t="shared" si="12"/>
        <v>0</v>
      </c>
      <c r="AX96" s="178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9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0"/>
      <c r="AV97" s="1782">
        <f t="shared" si="11"/>
        <v>0</v>
      </c>
      <c r="AW97" s="1782">
        <f t="shared" si="12"/>
        <v>0</v>
      </c>
      <c r="AX97" s="178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9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0"/>
      <c r="AV98" s="1782">
        <f t="shared" si="11"/>
        <v>0</v>
      </c>
      <c r="AW98" s="1782">
        <f t="shared" si="12"/>
        <v>0</v>
      </c>
      <c r="AX98" s="178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9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0"/>
      <c r="AV99" s="1782">
        <f t="shared" si="11"/>
        <v>0</v>
      </c>
      <c r="AW99" s="1782">
        <f t="shared" si="12"/>
        <v>0</v>
      </c>
      <c r="AX99" s="178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9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0"/>
      <c r="AV100" s="1782">
        <f t="shared" si="11"/>
        <v>0</v>
      </c>
      <c r="AW100" s="1782">
        <f t="shared" si="12"/>
        <v>0</v>
      </c>
      <c r="AX100" s="178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9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0"/>
      <c r="AV101" s="1782">
        <f t="shared" si="11"/>
        <v>0</v>
      </c>
      <c r="AW101" s="1782">
        <f t="shared" si="12"/>
        <v>0</v>
      </c>
      <c r="AX101" s="178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9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0"/>
      <c r="AV102" s="1782">
        <f t="shared" si="11"/>
        <v>0</v>
      </c>
      <c r="AW102" s="1782">
        <f t="shared" si="12"/>
        <v>0</v>
      </c>
      <c r="AX102" s="178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9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0"/>
      <c r="AV103" s="1782">
        <f t="shared" si="11"/>
        <v>0</v>
      </c>
      <c r="AW103" s="1782">
        <f t="shared" si="12"/>
        <v>0</v>
      </c>
      <c r="AX103" s="178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9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0"/>
      <c r="AV104" s="1782">
        <f t="shared" si="11"/>
        <v>0</v>
      </c>
      <c r="AW104" s="1782">
        <f t="shared" si="12"/>
        <v>0</v>
      </c>
      <c r="AX104" s="178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9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0"/>
      <c r="AV105" s="1782">
        <f t="shared" si="11"/>
        <v>0</v>
      </c>
      <c r="AW105" s="1782">
        <f t="shared" si="12"/>
        <v>0</v>
      </c>
      <c r="AX105" s="178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9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0"/>
      <c r="AV106" s="1782">
        <f t="shared" si="11"/>
        <v>0</v>
      </c>
      <c r="AW106" s="1782">
        <f t="shared" si="12"/>
        <v>0</v>
      </c>
      <c r="AX106" s="178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9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0"/>
      <c r="AV107" s="1782">
        <f t="shared" si="11"/>
        <v>0</v>
      </c>
      <c r="AW107" s="1782">
        <f t="shared" si="12"/>
        <v>0</v>
      </c>
      <c r="AX107" s="178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9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0"/>
      <c r="AV108" s="1782">
        <f t="shared" si="11"/>
        <v>0</v>
      </c>
      <c r="AW108" s="1782">
        <f t="shared" si="12"/>
        <v>0</v>
      </c>
      <c r="AX108" s="178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9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0"/>
      <c r="AV109" s="1782">
        <f t="shared" si="11"/>
        <v>0</v>
      </c>
      <c r="AW109" s="1782">
        <f t="shared" si="12"/>
        <v>0</v>
      </c>
      <c r="AX109" s="178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9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35"/>
      <c r="AV110" s="1782">
        <f t="shared" si="11"/>
        <v>0</v>
      </c>
      <c r="AW110" s="1782">
        <f t="shared" si="12"/>
        <v>0</v>
      </c>
      <c r="AX110" s="178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9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35"/>
      <c r="AV111" s="1782">
        <f t="shared" si="11"/>
        <v>0</v>
      </c>
      <c r="AW111" s="1782">
        <f t="shared" si="12"/>
        <v>0</v>
      </c>
      <c r="AX111" s="178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9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35"/>
      <c r="AV112" s="1782">
        <f t="shared" si="11"/>
        <v>0</v>
      </c>
      <c r="AW112" s="1782">
        <f t="shared" si="12"/>
        <v>0</v>
      </c>
      <c r="AX112" s="178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9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0"/>
      <c r="AV113" s="1782">
        <f t="shared" ref="AV113:AV144" si="62">A113</f>
        <v>0</v>
      </c>
      <c r="AW113" s="1782">
        <f t="shared" ref="AW113:AW144" si="63">B113</f>
        <v>0</v>
      </c>
      <c r="AX113" s="178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9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0"/>
      <c r="AV114" s="1782">
        <f t="shared" si="62"/>
        <v>0</v>
      </c>
      <c r="AW114" s="1782">
        <f t="shared" si="63"/>
        <v>0</v>
      </c>
      <c r="AX114" s="178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9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0"/>
      <c r="AV115" s="1782">
        <f t="shared" si="62"/>
        <v>0</v>
      </c>
      <c r="AW115" s="1782">
        <f t="shared" si="63"/>
        <v>0</v>
      </c>
      <c r="AX115" s="178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9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0"/>
      <c r="AV116" s="1782">
        <f t="shared" si="62"/>
        <v>0</v>
      </c>
      <c r="AW116" s="1782">
        <f t="shared" si="63"/>
        <v>0</v>
      </c>
      <c r="AX116" s="178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9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0"/>
      <c r="AV117" s="1782">
        <f t="shared" si="62"/>
        <v>0</v>
      </c>
      <c r="AW117" s="1782">
        <f t="shared" si="63"/>
        <v>0</v>
      </c>
      <c r="AX117" s="178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9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0"/>
      <c r="AV118" s="1782">
        <f t="shared" si="62"/>
        <v>0</v>
      </c>
      <c r="AW118" s="1782">
        <f t="shared" si="63"/>
        <v>0</v>
      </c>
      <c r="AX118" s="178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9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0"/>
      <c r="AV119" s="1782">
        <f t="shared" si="62"/>
        <v>0</v>
      </c>
      <c r="AW119" s="1782">
        <f t="shared" si="63"/>
        <v>0</v>
      </c>
      <c r="AX119" s="178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9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0"/>
      <c r="AV120" s="1782">
        <f t="shared" si="62"/>
        <v>0</v>
      </c>
      <c r="AW120" s="1782">
        <f t="shared" si="63"/>
        <v>0</v>
      </c>
      <c r="AX120" s="178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9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0"/>
      <c r="AV121" s="1782">
        <f t="shared" si="62"/>
        <v>0</v>
      </c>
      <c r="AW121" s="1782">
        <f t="shared" si="63"/>
        <v>0</v>
      </c>
      <c r="AX121" s="178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9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0"/>
      <c r="AV122" s="1782">
        <f t="shared" si="62"/>
        <v>0</v>
      </c>
      <c r="AW122" s="1782">
        <f t="shared" si="63"/>
        <v>0</v>
      </c>
      <c r="AX122" s="178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9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0"/>
      <c r="AV123" s="1782">
        <f t="shared" si="62"/>
        <v>0</v>
      </c>
      <c r="AW123" s="1782">
        <f t="shared" si="63"/>
        <v>0</v>
      </c>
      <c r="AX123" s="178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9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0"/>
      <c r="AV124" s="1782">
        <f t="shared" si="62"/>
        <v>0</v>
      </c>
      <c r="AW124" s="1782">
        <f t="shared" si="63"/>
        <v>0</v>
      </c>
      <c r="AX124" s="178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9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0"/>
      <c r="AV125" s="1782">
        <f t="shared" si="62"/>
        <v>0</v>
      </c>
      <c r="AW125" s="1782">
        <f t="shared" si="63"/>
        <v>0</v>
      </c>
      <c r="AX125" s="178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9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0"/>
      <c r="AV126" s="1782">
        <f t="shared" si="62"/>
        <v>0</v>
      </c>
      <c r="AW126" s="1782">
        <f t="shared" si="63"/>
        <v>0</v>
      </c>
      <c r="AX126" s="178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9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0"/>
      <c r="AV127" s="1782">
        <f t="shared" si="62"/>
        <v>0</v>
      </c>
      <c r="AW127" s="1782">
        <f t="shared" si="63"/>
        <v>0</v>
      </c>
      <c r="AX127" s="178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9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0"/>
      <c r="AV128" s="1782">
        <f t="shared" si="62"/>
        <v>0</v>
      </c>
      <c r="AW128" s="1782">
        <f t="shared" si="63"/>
        <v>0</v>
      </c>
      <c r="AX128" s="178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9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0"/>
      <c r="AV129" s="1782">
        <f t="shared" si="62"/>
        <v>0</v>
      </c>
      <c r="AW129" s="1782">
        <f t="shared" si="63"/>
        <v>0</v>
      </c>
      <c r="AX129" s="178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9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0"/>
      <c r="AV130" s="1782">
        <f t="shared" si="62"/>
        <v>0</v>
      </c>
      <c r="AW130" s="1782">
        <f t="shared" si="63"/>
        <v>0</v>
      </c>
      <c r="AX130" s="178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9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0"/>
      <c r="AV131" s="1782">
        <f t="shared" si="62"/>
        <v>0</v>
      </c>
      <c r="AW131" s="1782">
        <f t="shared" si="63"/>
        <v>0</v>
      </c>
      <c r="AX131" s="178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9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0"/>
      <c r="AV132" s="1782">
        <f t="shared" si="62"/>
        <v>0</v>
      </c>
      <c r="AW132" s="1782">
        <f t="shared" si="63"/>
        <v>0</v>
      </c>
      <c r="AX132" s="178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9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0"/>
      <c r="AV133" s="1782">
        <f t="shared" si="62"/>
        <v>0</v>
      </c>
      <c r="AW133" s="1782">
        <f t="shared" si="63"/>
        <v>0</v>
      </c>
      <c r="AX133" s="178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9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0"/>
      <c r="AV134" s="1782">
        <f t="shared" si="62"/>
        <v>0</v>
      </c>
      <c r="AW134" s="1782">
        <f t="shared" si="63"/>
        <v>0</v>
      </c>
      <c r="AX134" s="178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9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0"/>
      <c r="AV135" s="1782">
        <f t="shared" si="62"/>
        <v>0</v>
      </c>
      <c r="AW135" s="1782">
        <f t="shared" si="63"/>
        <v>0</v>
      </c>
      <c r="AX135" s="178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9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0"/>
      <c r="AV136" s="1782">
        <f t="shared" si="62"/>
        <v>0</v>
      </c>
      <c r="AW136" s="1782">
        <f t="shared" si="63"/>
        <v>0</v>
      </c>
      <c r="AX136" s="178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9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0"/>
      <c r="AV137" s="1782">
        <f t="shared" si="62"/>
        <v>0</v>
      </c>
      <c r="AW137" s="1782">
        <f t="shared" si="63"/>
        <v>0</v>
      </c>
      <c r="AX137" s="178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9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0"/>
      <c r="AV138" s="1782">
        <f t="shared" si="62"/>
        <v>0</v>
      </c>
      <c r="AW138" s="1782">
        <f t="shared" si="63"/>
        <v>0</v>
      </c>
      <c r="AX138" s="178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9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0"/>
      <c r="AV139" s="1782">
        <f t="shared" si="62"/>
        <v>0</v>
      </c>
      <c r="AW139" s="1782">
        <f t="shared" si="63"/>
        <v>0</v>
      </c>
      <c r="AX139" s="178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9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0"/>
      <c r="AV140" s="1782">
        <f t="shared" si="62"/>
        <v>0</v>
      </c>
      <c r="AW140" s="1782">
        <f t="shared" si="63"/>
        <v>0</v>
      </c>
      <c r="AX140" s="178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9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0"/>
      <c r="AV141" s="1782">
        <f t="shared" si="62"/>
        <v>0</v>
      </c>
      <c r="AW141" s="1782">
        <f t="shared" si="63"/>
        <v>0</v>
      </c>
      <c r="AX141" s="178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9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0"/>
      <c r="AV142" s="1782">
        <f t="shared" si="62"/>
        <v>0</v>
      </c>
      <c r="AW142" s="1782">
        <f t="shared" si="63"/>
        <v>0</v>
      </c>
      <c r="AX142" s="178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9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0"/>
      <c r="AV143" s="1782">
        <f t="shared" si="62"/>
        <v>0</v>
      </c>
      <c r="AW143" s="1782">
        <f t="shared" si="63"/>
        <v>0</v>
      </c>
      <c r="AX143" s="178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9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0"/>
      <c r="AV144" s="1782">
        <f t="shared" si="62"/>
        <v>0</v>
      </c>
      <c r="AW144" s="1782">
        <f t="shared" si="63"/>
        <v>0</v>
      </c>
      <c r="AX144" s="178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9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0"/>
      <c r="AV145" s="1782">
        <f t="shared" ref="AV145:AV176" si="91">A145</f>
        <v>0</v>
      </c>
      <c r="AW145" s="1782">
        <f t="shared" ref="AW145:AW176" si="92">B145</f>
        <v>0</v>
      </c>
      <c r="AX145" s="178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9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0"/>
      <c r="AV146" s="1782">
        <f t="shared" si="91"/>
        <v>0</v>
      </c>
      <c r="AW146" s="1782">
        <f t="shared" si="92"/>
        <v>0</v>
      </c>
      <c r="AX146" s="178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9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0"/>
      <c r="AV147" s="1782">
        <f t="shared" si="91"/>
        <v>0</v>
      </c>
      <c r="AW147" s="1782">
        <f t="shared" si="92"/>
        <v>0</v>
      </c>
      <c r="AX147" s="178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9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0"/>
      <c r="AV148" s="1782">
        <f t="shared" si="91"/>
        <v>0</v>
      </c>
      <c r="AW148" s="1782">
        <f t="shared" si="92"/>
        <v>0</v>
      </c>
      <c r="AX148" s="178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9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0"/>
      <c r="AV149" s="1782">
        <f t="shared" si="91"/>
        <v>0</v>
      </c>
      <c r="AW149" s="1782">
        <f t="shared" si="92"/>
        <v>0</v>
      </c>
      <c r="AX149" s="178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9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0"/>
      <c r="AV150" s="1782">
        <f t="shared" si="91"/>
        <v>0</v>
      </c>
      <c r="AW150" s="1782">
        <f t="shared" si="92"/>
        <v>0</v>
      </c>
      <c r="AX150" s="178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9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0"/>
      <c r="AV151" s="1782">
        <f t="shared" si="91"/>
        <v>0</v>
      </c>
      <c r="AW151" s="1782">
        <f t="shared" si="92"/>
        <v>0</v>
      </c>
      <c r="AX151" s="178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9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0"/>
      <c r="AV152" s="1782">
        <f t="shared" si="91"/>
        <v>0</v>
      </c>
      <c r="AW152" s="1782">
        <f t="shared" si="92"/>
        <v>0</v>
      </c>
      <c r="AX152" s="178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9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0"/>
      <c r="AV153" s="1782">
        <f t="shared" si="91"/>
        <v>0</v>
      </c>
      <c r="AW153" s="1782">
        <f t="shared" si="92"/>
        <v>0</v>
      </c>
      <c r="AX153" s="178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9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0"/>
      <c r="AV154" s="1782">
        <f t="shared" si="91"/>
        <v>0</v>
      </c>
      <c r="AW154" s="1782">
        <f t="shared" si="92"/>
        <v>0</v>
      </c>
      <c r="AX154" s="178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9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0"/>
      <c r="AV155" s="1782">
        <f t="shared" si="91"/>
        <v>0</v>
      </c>
      <c r="AW155" s="1782">
        <f t="shared" si="92"/>
        <v>0</v>
      </c>
      <c r="AX155" s="178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9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0"/>
      <c r="AV156" s="1782">
        <f t="shared" si="91"/>
        <v>0</v>
      </c>
      <c r="AW156" s="1782">
        <f t="shared" si="92"/>
        <v>0</v>
      </c>
      <c r="AX156" s="178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9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0"/>
      <c r="AV157" s="1782">
        <f t="shared" si="91"/>
        <v>0</v>
      </c>
      <c r="AW157" s="1782">
        <f t="shared" si="92"/>
        <v>0</v>
      </c>
      <c r="AX157" s="178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9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0"/>
      <c r="AV158" s="1782">
        <f t="shared" si="91"/>
        <v>0</v>
      </c>
      <c r="AW158" s="1782">
        <f t="shared" si="92"/>
        <v>0</v>
      </c>
      <c r="AX158" s="178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9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0"/>
      <c r="AV159" s="1782">
        <f t="shared" si="91"/>
        <v>0</v>
      </c>
      <c r="AW159" s="1782">
        <f t="shared" si="92"/>
        <v>0</v>
      </c>
      <c r="AX159" s="178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9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0"/>
      <c r="AV160" s="1782">
        <f t="shared" si="91"/>
        <v>0</v>
      </c>
      <c r="AW160" s="1782">
        <f t="shared" si="92"/>
        <v>0</v>
      </c>
      <c r="AX160" s="178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9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0"/>
      <c r="AV161" s="1782">
        <f t="shared" si="91"/>
        <v>0</v>
      </c>
      <c r="AW161" s="1782">
        <f t="shared" si="92"/>
        <v>0</v>
      </c>
      <c r="AX161" s="178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9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0"/>
      <c r="AV162" s="1782">
        <f t="shared" si="91"/>
        <v>0</v>
      </c>
      <c r="AW162" s="1782">
        <f t="shared" si="92"/>
        <v>0</v>
      </c>
      <c r="AX162" s="178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9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0"/>
      <c r="AV163" s="1782">
        <f t="shared" si="91"/>
        <v>0</v>
      </c>
      <c r="AW163" s="1782">
        <f t="shared" si="92"/>
        <v>0</v>
      </c>
      <c r="AX163" s="178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9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0"/>
      <c r="AV164" s="1782">
        <f t="shared" si="91"/>
        <v>0</v>
      </c>
      <c r="AW164" s="1782">
        <f t="shared" si="92"/>
        <v>0</v>
      </c>
      <c r="AX164" s="178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9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0"/>
      <c r="AV165" s="1782">
        <f t="shared" si="91"/>
        <v>0</v>
      </c>
      <c r="AW165" s="1782">
        <f t="shared" si="92"/>
        <v>0</v>
      </c>
      <c r="AX165" s="178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9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0"/>
      <c r="AV166" s="1782">
        <f t="shared" si="91"/>
        <v>0</v>
      </c>
      <c r="AW166" s="1782">
        <f t="shared" si="92"/>
        <v>0</v>
      </c>
      <c r="AX166" s="178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9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0"/>
      <c r="AV167" s="1782">
        <f t="shared" si="91"/>
        <v>0</v>
      </c>
      <c r="AW167" s="1782">
        <f t="shared" si="92"/>
        <v>0</v>
      </c>
      <c r="AX167" s="178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9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0"/>
      <c r="AV168" s="1782">
        <f t="shared" si="91"/>
        <v>0</v>
      </c>
      <c r="AW168" s="1782">
        <f t="shared" si="92"/>
        <v>0</v>
      </c>
      <c r="AX168" s="178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9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0"/>
      <c r="AV169" s="1782">
        <f t="shared" si="91"/>
        <v>0</v>
      </c>
      <c r="AW169" s="1782">
        <f t="shared" si="92"/>
        <v>0</v>
      </c>
      <c r="AX169" s="178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9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0"/>
      <c r="AV170" s="1782">
        <f t="shared" si="91"/>
        <v>0</v>
      </c>
      <c r="AW170" s="1782">
        <f t="shared" si="92"/>
        <v>0</v>
      </c>
      <c r="AX170" s="178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9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0"/>
      <c r="AV171" s="1782">
        <f t="shared" si="91"/>
        <v>0</v>
      </c>
      <c r="AW171" s="1782">
        <f t="shared" si="92"/>
        <v>0</v>
      </c>
      <c r="AX171" s="178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9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0"/>
      <c r="AV172" s="1782">
        <f t="shared" si="91"/>
        <v>0</v>
      </c>
      <c r="AW172" s="1782">
        <f t="shared" si="92"/>
        <v>0</v>
      </c>
      <c r="AX172" s="178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9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0"/>
      <c r="AV173" s="1782">
        <f t="shared" si="91"/>
        <v>0</v>
      </c>
      <c r="AW173" s="1782">
        <f t="shared" si="92"/>
        <v>0</v>
      </c>
      <c r="AX173" s="178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9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0"/>
      <c r="AV174" s="1782">
        <f t="shared" si="91"/>
        <v>0</v>
      </c>
      <c r="AW174" s="1782">
        <f t="shared" si="92"/>
        <v>0</v>
      </c>
      <c r="AX174" s="178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9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0"/>
      <c r="AV175" s="1782">
        <f t="shared" si="91"/>
        <v>0</v>
      </c>
      <c r="AW175" s="1782">
        <f t="shared" si="92"/>
        <v>0</v>
      </c>
      <c r="AX175" s="178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9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0"/>
      <c r="AV176" s="1782">
        <f t="shared" si="91"/>
        <v>0</v>
      </c>
      <c r="AW176" s="1782">
        <f t="shared" si="92"/>
        <v>0</v>
      </c>
      <c r="AX176" s="178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9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0"/>
      <c r="AV177" s="1782">
        <f t="shared" ref="AV177:AV207" si="120">A177</f>
        <v>0</v>
      </c>
      <c r="AW177" s="1782">
        <f t="shared" ref="AW177:AW207" si="121">B177</f>
        <v>0</v>
      </c>
      <c r="AX177" s="178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9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0"/>
      <c r="AV178" s="1782">
        <f t="shared" si="120"/>
        <v>0</v>
      </c>
      <c r="AW178" s="1782">
        <f t="shared" si="121"/>
        <v>0</v>
      </c>
      <c r="AX178" s="178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9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0"/>
      <c r="AV179" s="1782">
        <f t="shared" si="120"/>
        <v>0</v>
      </c>
      <c r="AW179" s="1782">
        <f t="shared" si="121"/>
        <v>0</v>
      </c>
      <c r="AX179" s="178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9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0"/>
      <c r="AV180" s="1782">
        <f t="shared" si="120"/>
        <v>0</v>
      </c>
      <c r="AW180" s="1782">
        <f t="shared" si="121"/>
        <v>0</v>
      </c>
      <c r="AX180" s="178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9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0"/>
      <c r="AV181" s="1782">
        <f t="shared" si="120"/>
        <v>0</v>
      </c>
      <c r="AW181" s="1782">
        <f t="shared" si="121"/>
        <v>0</v>
      </c>
      <c r="AX181" s="178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9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0"/>
      <c r="AV182" s="1782">
        <f t="shared" si="120"/>
        <v>0</v>
      </c>
      <c r="AW182" s="1782">
        <f t="shared" si="121"/>
        <v>0</v>
      </c>
      <c r="AX182" s="178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9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0"/>
      <c r="AV183" s="1782">
        <f t="shared" si="120"/>
        <v>0</v>
      </c>
      <c r="AW183" s="1782">
        <f t="shared" si="121"/>
        <v>0</v>
      </c>
      <c r="AX183" s="178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9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0"/>
      <c r="AV184" s="1782">
        <f t="shared" si="120"/>
        <v>0</v>
      </c>
      <c r="AW184" s="1782">
        <f t="shared" si="121"/>
        <v>0</v>
      </c>
      <c r="AX184" s="178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9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0"/>
      <c r="AV185" s="1782">
        <f t="shared" si="120"/>
        <v>0</v>
      </c>
      <c r="AW185" s="1782">
        <f t="shared" si="121"/>
        <v>0</v>
      </c>
      <c r="AX185" s="178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9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0"/>
      <c r="AV186" s="1782">
        <f t="shared" si="120"/>
        <v>0</v>
      </c>
      <c r="AW186" s="1782">
        <f t="shared" si="121"/>
        <v>0</v>
      </c>
      <c r="AX186" s="178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9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0"/>
      <c r="AV187" s="1782">
        <f t="shared" si="120"/>
        <v>0</v>
      </c>
      <c r="AW187" s="1782">
        <f t="shared" si="121"/>
        <v>0</v>
      </c>
      <c r="AX187" s="178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9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0"/>
      <c r="AV188" s="1782">
        <f t="shared" si="120"/>
        <v>0</v>
      </c>
      <c r="AW188" s="1782">
        <f t="shared" si="121"/>
        <v>0</v>
      </c>
      <c r="AX188" s="178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9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0"/>
      <c r="AV189" s="1782">
        <f t="shared" si="120"/>
        <v>0</v>
      </c>
      <c r="AW189" s="1782">
        <f t="shared" si="121"/>
        <v>0</v>
      </c>
      <c r="AX189" s="178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9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0"/>
      <c r="AV190" s="1782">
        <f t="shared" si="120"/>
        <v>0</v>
      </c>
      <c r="AW190" s="1782">
        <f t="shared" si="121"/>
        <v>0</v>
      </c>
      <c r="AX190" s="178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9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0"/>
      <c r="AV191" s="1782">
        <f t="shared" si="120"/>
        <v>0</v>
      </c>
      <c r="AW191" s="1782">
        <f t="shared" si="121"/>
        <v>0</v>
      </c>
      <c r="AX191" s="178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9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0"/>
      <c r="AV192" s="1782">
        <f t="shared" si="120"/>
        <v>0</v>
      </c>
      <c r="AW192" s="1782">
        <f t="shared" si="121"/>
        <v>0</v>
      </c>
      <c r="AX192" s="178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9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0"/>
      <c r="AV193" s="1782">
        <f t="shared" si="120"/>
        <v>0</v>
      </c>
      <c r="AW193" s="1782">
        <f t="shared" si="121"/>
        <v>0</v>
      </c>
      <c r="AX193" s="178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9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0"/>
      <c r="AV194" s="1782">
        <f t="shared" si="120"/>
        <v>0</v>
      </c>
      <c r="AW194" s="1782">
        <f t="shared" si="121"/>
        <v>0</v>
      </c>
      <c r="AX194" s="178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9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0"/>
      <c r="AV195" s="1782">
        <f t="shared" si="120"/>
        <v>0</v>
      </c>
      <c r="AW195" s="1782">
        <f t="shared" si="121"/>
        <v>0</v>
      </c>
      <c r="AX195" s="178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9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0"/>
      <c r="AV196" s="1782">
        <f t="shared" si="120"/>
        <v>0</v>
      </c>
      <c r="AW196" s="1782">
        <f t="shared" si="121"/>
        <v>0</v>
      </c>
      <c r="AX196" s="178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9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0"/>
      <c r="AV197" s="1782">
        <f t="shared" si="120"/>
        <v>0</v>
      </c>
      <c r="AW197" s="1782">
        <f t="shared" si="121"/>
        <v>0</v>
      </c>
      <c r="AX197" s="178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9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0"/>
      <c r="AV198" s="1782">
        <f t="shared" si="120"/>
        <v>0</v>
      </c>
      <c r="AW198" s="1782">
        <f t="shared" si="121"/>
        <v>0</v>
      </c>
      <c r="AX198" s="178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9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0"/>
      <c r="AV199" s="1782">
        <f t="shared" si="120"/>
        <v>0</v>
      </c>
      <c r="AW199" s="1782">
        <f t="shared" si="121"/>
        <v>0</v>
      </c>
      <c r="AX199" s="178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9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0"/>
      <c r="AV200" s="1782">
        <f t="shared" si="120"/>
        <v>0</v>
      </c>
      <c r="AW200" s="1782">
        <f t="shared" si="121"/>
        <v>0</v>
      </c>
      <c r="AX200" s="178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9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0"/>
      <c r="AV201" s="1782">
        <f t="shared" si="120"/>
        <v>0</v>
      </c>
      <c r="AW201" s="1782">
        <f t="shared" si="121"/>
        <v>0</v>
      </c>
      <c r="AX201" s="178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9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0"/>
      <c r="AV202" s="1782">
        <f t="shared" si="120"/>
        <v>0</v>
      </c>
      <c r="AW202" s="1782">
        <f t="shared" si="121"/>
        <v>0</v>
      </c>
      <c r="AX202" s="178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9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0"/>
      <c r="AV203" s="1782">
        <f t="shared" si="120"/>
        <v>0</v>
      </c>
      <c r="AW203" s="1782">
        <f t="shared" si="121"/>
        <v>0</v>
      </c>
      <c r="AX203" s="178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9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0"/>
      <c r="AV204" s="1782">
        <f t="shared" si="120"/>
        <v>0</v>
      </c>
      <c r="AW204" s="1782">
        <f t="shared" si="121"/>
        <v>0</v>
      </c>
      <c r="AX204" s="178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9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35"/>
      <c r="AV205" s="1782">
        <f t="shared" si="120"/>
        <v>0</v>
      </c>
      <c r="AW205" s="1782">
        <f t="shared" si="121"/>
        <v>0</v>
      </c>
      <c r="AX205" s="178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9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35"/>
      <c r="AV206" s="1782">
        <f t="shared" si="120"/>
        <v>0</v>
      </c>
      <c r="AW206" s="1782">
        <f t="shared" si="121"/>
        <v>0</v>
      </c>
      <c r="AX206" s="178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9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35"/>
      <c r="AV207" s="1782">
        <f t="shared" si="120"/>
        <v>0</v>
      </c>
      <c r="AW207" s="1782">
        <f t="shared" si="121"/>
        <v>0</v>
      </c>
      <c r="AX207" s="178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9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0"/>
      <c r="AV208" s="1782">
        <f t="shared" ref="AV208:AV302" si="127">A208</f>
        <v>0</v>
      </c>
      <c r="AW208" s="1782">
        <f t="shared" ref="AW208:AW302" si="128">B208</f>
        <v>0</v>
      </c>
      <c r="AX208" s="178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9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0"/>
      <c r="AV209" s="1782">
        <f t="shared" si="127"/>
        <v>0</v>
      </c>
      <c r="AW209" s="1782">
        <f t="shared" si="128"/>
        <v>0</v>
      </c>
      <c r="AX209" s="178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9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0"/>
      <c r="AV210" s="1782">
        <f t="shared" si="127"/>
        <v>0</v>
      </c>
      <c r="AW210" s="1782">
        <f t="shared" si="128"/>
        <v>0</v>
      </c>
      <c r="AX210" s="178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9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0"/>
      <c r="AV211" s="1782">
        <f t="shared" si="127"/>
        <v>0</v>
      </c>
      <c r="AW211" s="1782">
        <f t="shared" si="128"/>
        <v>0</v>
      </c>
      <c r="AX211" s="178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9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0"/>
      <c r="AV212" s="1782">
        <f t="shared" si="127"/>
        <v>0</v>
      </c>
      <c r="AW212" s="1782">
        <f t="shared" si="128"/>
        <v>0</v>
      </c>
      <c r="AX212" s="178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9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0"/>
      <c r="AV213" s="1782">
        <f t="shared" si="127"/>
        <v>0</v>
      </c>
      <c r="AW213" s="1782">
        <f t="shared" si="128"/>
        <v>0</v>
      </c>
      <c r="AX213" s="178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9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0"/>
      <c r="AV214" s="1782">
        <f t="shared" si="127"/>
        <v>0</v>
      </c>
      <c r="AW214" s="1782">
        <f t="shared" si="128"/>
        <v>0</v>
      </c>
      <c r="AX214" s="178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9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0"/>
      <c r="AV215" s="1782">
        <f t="shared" si="127"/>
        <v>0</v>
      </c>
      <c r="AW215" s="1782">
        <f t="shared" si="128"/>
        <v>0</v>
      </c>
      <c r="AX215" s="178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9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0"/>
      <c r="AV216" s="1782">
        <f t="shared" si="127"/>
        <v>0</v>
      </c>
      <c r="AW216" s="1782">
        <f t="shared" si="128"/>
        <v>0</v>
      </c>
      <c r="AX216" s="178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9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0"/>
      <c r="AV217" s="1782">
        <f t="shared" si="127"/>
        <v>0</v>
      </c>
      <c r="AW217" s="1782">
        <f t="shared" si="128"/>
        <v>0</v>
      </c>
      <c r="AX217" s="178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9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0"/>
      <c r="AV218" s="1782">
        <f t="shared" si="127"/>
        <v>0</v>
      </c>
      <c r="AW218" s="1782">
        <f t="shared" si="128"/>
        <v>0</v>
      </c>
      <c r="AX218" s="178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9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0"/>
      <c r="AV219" s="1782">
        <f t="shared" si="127"/>
        <v>0</v>
      </c>
      <c r="AW219" s="1782">
        <f t="shared" si="128"/>
        <v>0</v>
      </c>
      <c r="AX219" s="178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9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0"/>
      <c r="AV220" s="1782">
        <f t="shared" si="127"/>
        <v>0</v>
      </c>
      <c r="AW220" s="1782">
        <f t="shared" si="128"/>
        <v>0</v>
      </c>
      <c r="AX220" s="178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9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0"/>
      <c r="AV221" s="1782">
        <f t="shared" si="127"/>
        <v>0</v>
      </c>
      <c r="AW221" s="1782">
        <f t="shared" si="128"/>
        <v>0</v>
      </c>
      <c r="AX221" s="178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9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0"/>
      <c r="AV222" s="1782">
        <f t="shared" si="127"/>
        <v>0</v>
      </c>
      <c r="AW222" s="1782">
        <f t="shared" si="128"/>
        <v>0</v>
      </c>
      <c r="AX222" s="178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9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0"/>
      <c r="AV223" s="1782">
        <f t="shared" si="127"/>
        <v>0</v>
      </c>
      <c r="AW223" s="1782">
        <f t="shared" si="128"/>
        <v>0</v>
      </c>
      <c r="AX223" s="178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9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0"/>
      <c r="AV224" s="1782">
        <f t="shared" si="127"/>
        <v>0</v>
      </c>
      <c r="AW224" s="1782">
        <f t="shared" si="128"/>
        <v>0</v>
      </c>
      <c r="AX224" s="178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9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0"/>
      <c r="AV225" s="1782">
        <f t="shared" si="127"/>
        <v>0</v>
      </c>
      <c r="AW225" s="1782">
        <f t="shared" si="128"/>
        <v>0</v>
      </c>
      <c r="AX225" s="178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9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0"/>
      <c r="AV226" s="1782">
        <f t="shared" si="127"/>
        <v>0</v>
      </c>
      <c r="AW226" s="1782">
        <f t="shared" si="128"/>
        <v>0</v>
      </c>
      <c r="AX226" s="178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9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0"/>
      <c r="AV227" s="1782">
        <f t="shared" si="127"/>
        <v>0</v>
      </c>
      <c r="AW227" s="1782">
        <f t="shared" si="128"/>
        <v>0</v>
      </c>
      <c r="AX227" s="178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9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0"/>
      <c r="AV228" s="1782">
        <f t="shared" si="127"/>
        <v>0</v>
      </c>
      <c r="AW228" s="1782">
        <f t="shared" si="128"/>
        <v>0</v>
      </c>
      <c r="AX228" s="178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9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0"/>
      <c r="AV229" s="1782">
        <f t="shared" si="127"/>
        <v>0</v>
      </c>
      <c r="AW229" s="1782">
        <f t="shared" si="128"/>
        <v>0</v>
      </c>
      <c r="AX229" s="178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9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0"/>
      <c r="AV230" s="1782">
        <f t="shared" si="127"/>
        <v>0</v>
      </c>
      <c r="AW230" s="1782">
        <f t="shared" si="128"/>
        <v>0</v>
      </c>
      <c r="AX230" s="178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9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0"/>
      <c r="AV231" s="1782">
        <f t="shared" si="127"/>
        <v>0</v>
      </c>
      <c r="AW231" s="1782">
        <f t="shared" si="128"/>
        <v>0</v>
      </c>
      <c r="AX231" s="178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9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0"/>
      <c r="AV232" s="1782">
        <f t="shared" si="127"/>
        <v>0</v>
      </c>
      <c r="AW232" s="1782">
        <f t="shared" si="128"/>
        <v>0</v>
      </c>
      <c r="AX232" s="178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9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0"/>
      <c r="AV233" s="1782">
        <f t="shared" si="127"/>
        <v>0</v>
      </c>
      <c r="AW233" s="1782">
        <f t="shared" si="128"/>
        <v>0</v>
      </c>
      <c r="AX233" s="178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9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0"/>
      <c r="AV234" s="1782">
        <f t="shared" si="127"/>
        <v>0</v>
      </c>
      <c r="AW234" s="1782">
        <f t="shared" si="128"/>
        <v>0</v>
      </c>
      <c r="AX234" s="178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9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0"/>
      <c r="AV235" s="1782">
        <f t="shared" si="127"/>
        <v>0</v>
      </c>
      <c r="AW235" s="1782">
        <f t="shared" si="128"/>
        <v>0</v>
      </c>
      <c r="AX235" s="178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9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0"/>
      <c r="AV236" s="1782">
        <f t="shared" si="127"/>
        <v>0</v>
      </c>
      <c r="AW236" s="1782">
        <f t="shared" si="128"/>
        <v>0</v>
      </c>
      <c r="AX236" s="178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9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0"/>
      <c r="AV237" s="1782">
        <f t="shared" si="127"/>
        <v>0</v>
      </c>
      <c r="AW237" s="1782">
        <f t="shared" si="128"/>
        <v>0</v>
      </c>
      <c r="AX237" s="178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9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0"/>
      <c r="AV238" s="1782">
        <f t="shared" si="127"/>
        <v>0</v>
      </c>
      <c r="AW238" s="1782">
        <f t="shared" si="128"/>
        <v>0</v>
      </c>
      <c r="AX238" s="178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9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0"/>
      <c r="AV239" s="1782">
        <f t="shared" si="127"/>
        <v>0</v>
      </c>
      <c r="AW239" s="1782">
        <f t="shared" si="128"/>
        <v>0</v>
      </c>
      <c r="AX239" s="178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9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0"/>
      <c r="AV240" s="1782">
        <f t="shared" si="127"/>
        <v>0</v>
      </c>
      <c r="AW240" s="1782">
        <f t="shared" si="128"/>
        <v>0</v>
      </c>
      <c r="AX240" s="178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9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0"/>
      <c r="AV241" s="1782">
        <f t="shared" si="127"/>
        <v>0</v>
      </c>
      <c r="AW241" s="1782">
        <f t="shared" si="128"/>
        <v>0</v>
      </c>
      <c r="AX241" s="178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9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0"/>
      <c r="AV242" s="1782">
        <f t="shared" si="127"/>
        <v>0</v>
      </c>
      <c r="AW242" s="1782">
        <f t="shared" si="128"/>
        <v>0</v>
      </c>
      <c r="AX242" s="178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9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0"/>
      <c r="AV243" s="1782">
        <f t="shared" si="127"/>
        <v>0</v>
      </c>
      <c r="AW243" s="1782">
        <f t="shared" si="128"/>
        <v>0</v>
      </c>
      <c r="AX243" s="178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9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0"/>
      <c r="AV244" s="1782">
        <f t="shared" si="127"/>
        <v>0</v>
      </c>
      <c r="AW244" s="1782">
        <f t="shared" si="128"/>
        <v>0</v>
      </c>
      <c r="AX244" s="178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9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0"/>
      <c r="AV245" s="1782">
        <f t="shared" si="127"/>
        <v>0</v>
      </c>
      <c r="AW245" s="1782">
        <f t="shared" si="128"/>
        <v>0</v>
      </c>
      <c r="AX245" s="178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9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0"/>
      <c r="AV246" s="1782">
        <f t="shared" si="127"/>
        <v>0</v>
      </c>
      <c r="AW246" s="1782">
        <f t="shared" si="128"/>
        <v>0</v>
      </c>
      <c r="AX246" s="178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9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0"/>
      <c r="AV247" s="1782">
        <f t="shared" si="127"/>
        <v>0</v>
      </c>
      <c r="AW247" s="1782">
        <f t="shared" si="128"/>
        <v>0</v>
      </c>
      <c r="AX247" s="178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9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0"/>
      <c r="AV248" s="1782">
        <f t="shared" si="127"/>
        <v>0</v>
      </c>
      <c r="AW248" s="1782">
        <f t="shared" si="128"/>
        <v>0</v>
      </c>
      <c r="AX248" s="178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9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0"/>
      <c r="AV249" s="1782">
        <f t="shared" si="127"/>
        <v>0</v>
      </c>
      <c r="AW249" s="1782">
        <f t="shared" si="128"/>
        <v>0</v>
      </c>
      <c r="AX249" s="178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9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0"/>
      <c r="AV250" s="1782">
        <f t="shared" si="127"/>
        <v>0</v>
      </c>
      <c r="AW250" s="1782">
        <f t="shared" si="128"/>
        <v>0</v>
      </c>
      <c r="AX250" s="178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9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0"/>
      <c r="AV251" s="1782">
        <f t="shared" si="127"/>
        <v>0</v>
      </c>
      <c r="AW251" s="1782">
        <f t="shared" si="128"/>
        <v>0</v>
      </c>
      <c r="AX251" s="178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9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0"/>
      <c r="AV252" s="1782">
        <f t="shared" si="127"/>
        <v>0</v>
      </c>
      <c r="AW252" s="1782">
        <f t="shared" si="128"/>
        <v>0</v>
      </c>
      <c r="AX252" s="178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9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0"/>
      <c r="AV253" s="1782">
        <f t="shared" si="127"/>
        <v>0</v>
      </c>
      <c r="AW253" s="1782">
        <f t="shared" si="128"/>
        <v>0</v>
      </c>
      <c r="AX253" s="178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9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0"/>
      <c r="AV254" s="1782">
        <f t="shared" si="127"/>
        <v>0</v>
      </c>
      <c r="AW254" s="1782">
        <f t="shared" si="128"/>
        <v>0</v>
      </c>
      <c r="AX254" s="178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9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0"/>
      <c r="AV255" s="1782">
        <f t="shared" si="127"/>
        <v>0</v>
      </c>
      <c r="AW255" s="1782">
        <f t="shared" si="128"/>
        <v>0</v>
      </c>
      <c r="AX255" s="178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9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0"/>
      <c r="AV256" s="1782">
        <f t="shared" si="127"/>
        <v>0</v>
      </c>
      <c r="AW256" s="1782">
        <f t="shared" si="128"/>
        <v>0</v>
      </c>
      <c r="AX256" s="178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9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0"/>
      <c r="AV257" s="1782">
        <f t="shared" si="127"/>
        <v>0</v>
      </c>
      <c r="AW257" s="1782">
        <f t="shared" si="128"/>
        <v>0</v>
      </c>
      <c r="AX257" s="178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9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0"/>
      <c r="AV258" s="1782">
        <f t="shared" si="127"/>
        <v>0</v>
      </c>
      <c r="AW258" s="1782">
        <f t="shared" si="128"/>
        <v>0</v>
      </c>
      <c r="AX258" s="178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9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0"/>
      <c r="AV259" s="1782">
        <f t="shared" si="127"/>
        <v>0</v>
      </c>
      <c r="AW259" s="1782">
        <f t="shared" si="128"/>
        <v>0</v>
      </c>
      <c r="AX259" s="178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9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0"/>
      <c r="AV260" s="1782">
        <f t="shared" si="127"/>
        <v>0</v>
      </c>
      <c r="AW260" s="1782">
        <f t="shared" si="128"/>
        <v>0</v>
      </c>
      <c r="AX260" s="178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9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0"/>
      <c r="AV261" s="1782">
        <f t="shared" si="127"/>
        <v>0</v>
      </c>
      <c r="AW261" s="1782">
        <f t="shared" si="128"/>
        <v>0</v>
      </c>
      <c r="AX261" s="178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9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0"/>
      <c r="AV262" s="1782">
        <f t="shared" si="127"/>
        <v>0</v>
      </c>
      <c r="AW262" s="1782">
        <f t="shared" si="128"/>
        <v>0</v>
      </c>
      <c r="AX262" s="178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9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0"/>
      <c r="AV263" s="1782">
        <f t="shared" si="127"/>
        <v>0</v>
      </c>
      <c r="AW263" s="1782">
        <f t="shared" si="128"/>
        <v>0</v>
      </c>
      <c r="AX263" s="178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9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0"/>
      <c r="AV264" s="1782">
        <f t="shared" si="127"/>
        <v>0</v>
      </c>
      <c r="AW264" s="1782">
        <f t="shared" si="128"/>
        <v>0</v>
      </c>
      <c r="AX264" s="178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9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0"/>
      <c r="AV265" s="1782">
        <f t="shared" si="127"/>
        <v>0</v>
      </c>
      <c r="AW265" s="1782">
        <f t="shared" si="128"/>
        <v>0</v>
      </c>
      <c r="AX265" s="178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9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0"/>
      <c r="AV266" s="1782">
        <f t="shared" si="127"/>
        <v>0</v>
      </c>
      <c r="AW266" s="1782">
        <f t="shared" si="128"/>
        <v>0</v>
      </c>
      <c r="AX266" s="178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9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0"/>
      <c r="AV267" s="1782">
        <f t="shared" si="127"/>
        <v>0</v>
      </c>
      <c r="AW267" s="1782">
        <f t="shared" si="128"/>
        <v>0</v>
      </c>
      <c r="AX267" s="178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9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0"/>
      <c r="AV268" s="1782">
        <f t="shared" si="127"/>
        <v>0</v>
      </c>
      <c r="AW268" s="1782">
        <f t="shared" si="128"/>
        <v>0</v>
      </c>
      <c r="AX268" s="178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9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0"/>
      <c r="AV269" s="1782">
        <f t="shared" si="127"/>
        <v>0</v>
      </c>
      <c r="AW269" s="1782">
        <f t="shared" si="128"/>
        <v>0</v>
      </c>
      <c r="AX269" s="178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9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0"/>
      <c r="AV270" s="1782">
        <f t="shared" si="127"/>
        <v>0</v>
      </c>
      <c r="AW270" s="1782">
        <f t="shared" si="128"/>
        <v>0</v>
      </c>
      <c r="AX270" s="178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9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0"/>
      <c r="AV271" s="1782">
        <f t="shared" si="127"/>
        <v>0</v>
      </c>
      <c r="AW271" s="1782">
        <f t="shared" si="128"/>
        <v>0</v>
      </c>
      <c r="AX271" s="178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9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0"/>
      <c r="AV272" s="1782">
        <f t="shared" si="127"/>
        <v>0</v>
      </c>
      <c r="AW272" s="1782">
        <f t="shared" si="128"/>
        <v>0</v>
      </c>
      <c r="AX272" s="178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9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0"/>
      <c r="AV273" s="1782">
        <f t="shared" si="127"/>
        <v>0</v>
      </c>
      <c r="AW273" s="1782">
        <f t="shared" si="128"/>
        <v>0</v>
      </c>
      <c r="AX273" s="178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9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0"/>
      <c r="AV274" s="1782">
        <f t="shared" si="127"/>
        <v>0</v>
      </c>
      <c r="AW274" s="1782">
        <f t="shared" si="128"/>
        <v>0</v>
      </c>
      <c r="AX274" s="178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9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0"/>
      <c r="AV275" s="1782">
        <f t="shared" si="127"/>
        <v>0</v>
      </c>
      <c r="AW275" s="1782">
        <f t="shared" si="128"/>
        <v>0</v>
      </c>
      <c r="AX275" s="178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9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0"/>
      <c r="AV276" s="1782">
        <f t="shared" si="127"/>
        <v>0</v>
      </c>
      <c r="AW276" s="1782">
        <f t="shared" si="128"/>
        <v>0</v>
      </c>
      <c r="AX276" s="178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9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0"/>
      <c r="AV277" s="1782">
        <f t="shared" si="127"/>
        <v>0</v>
      </c>
      <c r="AW277" s="1782">
        <f t="shared" si="128"/>
        <v>0</v>
      </c>
      <c r="AX277" s="178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9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0"/>
      <c r="AV278" s="1782">
        <f t="shared" si="127"/>
        <v>0</v>
      </c>
      <c r="AW278" s="1782">
        <f t="shared" si="128"/>
        <v>0</v>
      </c>
      <c r="AX278" s="178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9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0"/>
      <c r="AV279" s="1782">
        <f t="shared" si="127"/>
        <v>0</v>
      </c>
      <c r="AW279" s="1782">
        <f t="shared" si="128"/>
        <v>0</v>
      </c>
      <c r="AX279" s="178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9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0"/>
      <c r="AV280" s="1782">
        <f t="shared" si="127"/>
        <v>0</v>
      </c>
      <c r="AW280" s="1782">
        <f t="shared" si="128"/>
        <v>0</v>
      </c>
      <c r="AX280" s="178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9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0"/>
      <c r="AV281" s="1782">
        <f t="shared" si="127"/>
        <v>0</v>
      </c>
      <c r="AW281" s="1782">
        <f t="shared" si="128"/>
        <v>0</v>
      </c>
      <c r="AX281" s="178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9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0"/>
      <c r="AV282" s="1782">
        <f t="shared" si="127"/>
        <v>0</v>
      </c>
      <c r="AW282" s="1782">
        <f t="shared" si="128"/>
        <v>0</v>
      </c>
      <c r="AX282" s="178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9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0"/>
      <c r="AV283" s="1782">
        <f t="shared" si="127"/>
        <v>0</v>
      </c>
      <c r="AW283" s="1782">
        <f t="shared" si="128"/>
        <v>0</v>
      </c>
      <c r="AX283" s="178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9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0"/>
      <c r="AV284" s="1782">
        <f t="shared" si="127"/>
        <v>0</v>
      </c>
      <c r="AW284" s="1782">
        <f t="shared" si="128"/>
        <v>0</v>
      </c>
      <c r="AX284" s="178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9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0"/>
      <c r="AV285" s="1782">
        <f t="shared" si="127"/>
        <v>0</v>
      </c>
      <c r="AW285" s="1782">
        <f t="shared" si="128"/>
        <v>0</v>
      </c>
      <c r="AX285" s="178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9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0"/>
      <c r="AV286" s="1782">
        <f t="shared" si="127"/>
        <v>0</v>
      </c>
      <c r="AW286" s="1782">
        <f t="shared" si="128"/>
        <v>0</v>
      </c>
      <c r="AX286" s="178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9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0"/>
      <c r="AV287" s="1782">
        <f t="shared" si="127"/>
        <v>0</v>
      </c>
      <c r="AW287" s="1782">
        <f t="shared" si="128"/>
        <v>0</v>
      </c>
      <c r="AX287" s="178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9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0"/>
      <c r="AV288" s="1782">
        <f t="shared" si="127"/>
        <v>0</v>
      </c>
      <c r="AW288" s="1782">
        <f t="shared" si="128"/>
        <v>0</v>
      </c>
      <c r="AX288" s="178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9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0"/>
      <c r="AV289" s="1782">
        <f t="shared" si="127"/>
        <v>0</v>
      </c>
      <c r="AW289" s="1782">
        <f t="shared" si="128"/>
        <v>0</v>
      </c>
      <c r="AX289" s="178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9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0"/>
      <c r="AV290" s="1782">
        <f t="shared" si="127"/>
        <v>0</v>
      </c>
      <c r="AW290" s="1782">
        <f t="shared" si="128"/>
        <v>0</v>
      </c>
      <c r="AX290" s="178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9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0"/>
      <c r="AV291" s="1782">
        <f t="shared" si="127"/>
        <v>0</v>
      </c>
      <c r="AW291" s="1782">
        <f t="shared" si="128"/>
        <v>0</v>
      </c>
      <c r="AX291" s="178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9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0"/>
      <c r="AV292" s="1782">
        <f t="shared" si="127"/>
        <v>0</v>
      </c>
      <c r="AW292" s="1782">
        <f t="shared" si="128"/>
        <v>0</v>
      </c>
      <c r="AX292" s="178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9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0"/>
      <c r="AV293" s="1782">
        <f t="shared" si="127"/>
        <v>0</v>
      </c>
      <c r="AW293" s="1782">
        <f t="shared" si="128"/>
        <v>0</v>
      </c>
      <c r="AX293" s="178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9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0"/>
      <c r="AV294" s="1782">
        <f t="shared" si="127"/>
        <v>0</v>
      </c>
      <c r="AW294" s="1782">
        <f t="shared" si="128"/>
        <v>0</v>
      </c>
      <c r="AX294" s="178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9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0"/>
      <c r="AV295" s="1782">
        <f t="shared" si="127"/>
        <v>0</v>
      </c>
      <c r="AW295" s="1782">
        <f t="shared" si="128"/>
        <v>0</v>
      </c>
      <c r="AX295" s="178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9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0"/>
      <c r="AV296" s="1782">
        <f t="shared" si="127"/>
        <v>0</v>
      </c>
      <c r="AW296" s="1782">
        <f t="shared" si="128"/>
        <v>0</v>
      </c>
      <c r="AX296" s="178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9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0"/>
      <c r="AV297" s="1782">
        <f t="shared" si="127"/>
        <v>0</v>
      </c>
      <c r="AW297" s="1782">
        <f t="shared" si="128"/>
        <v>0</v>
      </c>
      <c r="AX297" s="178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9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0"/>
      <c r="AV298" s="1782">
        <f t="shared" si="127"/>
        <v>0</v>
      </c>
      <c r="AW298" s="1782">
        <f t="shared" si="128"/>
        <v>0</v>
      </c>
      <c r="AX298" s="178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9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0"/>
      <c r="AV299" s="1782">
        <f t="shared" si="127"/>
        <v>0</v>
      </c>
      <c r="AW299" s="1782">
        <f t="shared" si="128"/>
        <v>0</v>
      </c>
      <c r="AX299" s="178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9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35"/>
      <c r="AV300" s="1782">
        <f t="shared" si="127"/>
        <v>0</v>
      </c>
      <c r="AW300" s="1782">
        <f t="shared" si="128"/>
        <v>0</v>
      </c>
      <c r="AX300" s="178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9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35"/>
      <c r="AV301" s="1782">
        <f t="shared" si="127"/>
        <v>0</v>
      </c>
      <c r="AW301" s="1782">
        <f t="shared" si="128"/>
        <v>0</v>
      </c>
      <c r="AX301" s="178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9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35"/>
      <c r="AV302" s="1782">
        <f t="shared" si="127"/>
        <v>0</v>
      </c>
      <c r="AW302" s="1782">
        <f t="shared" si="128"/>
        <v>0</v>
      </c>
      <c r="AX302" s="178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9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0"/>
      <c r="AV303" s="1782">
        <f t="shared" ref="AV303:AV334" si="178">A303</f>
        <v>0</v>
      </c>
      <c r="AW303" s="1782">
        <f t="shared" ref="AW303:AW334" si="179">B303</f>
        <v>0</v>
      </c>
      <c r="AX303" s="178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9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0"/>
      <c r="AV304" s="1782">
        <f t="shared" si="178"/>
        <v>0</v>
      </c>
      <c r="AW304" s="1782">
        <f t="shared" si="179"/>
        <v>0</v>
      </c>
      <c r="AX304" s="178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9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0"/>
      <c r="AV305" s="1782">
        <f t="shared" si="178"/>
        <v>0</v>
      </c>
      <c r="AW305" s="1782">
        <f t="shared" si="179"/>
        <v>0</v>
      </c>
      <c r="AX305" s="178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9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0"/>
      <c r="AV306" s="1782">
        <f t="shared" si="178"/>
        <v>0</v>
      </c>
      <c r="AW306" s="1782">
        <f t="shared" si="179"/>
        <v>0</v>
      </c>
      <c r="AX306" s="178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9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0"/>
      <c r="AV307" s="1782">
        <f t="shared" si="178"/>
        <v>0</v>
      </c>
      <c r="AW307" s="1782">
        <f t="shared" si="179"/>
        <v>0</v>
      </c>
      <c r="AX307" s="178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9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0"/>
      <c r="AV308" s="1782">
        <f t="shared" si="178"/>
        <v>0</v>
      </c>
      <c r="AW308" s="1782">
        <f t="shared" si="179"/>
        <v>0</v>
      </c>
      <c r="AX308" s="178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9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0"/>
      <c r="AV309" s="1782">
        <f t="shared" si="178"/>
        <v>0</v>
      </c>
      <c r="AW309" s="1782">
        <f t="shared" si="179"/>
        <v>0</v>
      </c>
      <c r="AX309" s="178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9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0"/>
      <c r="AV310" s="1782">
        <f t="shared" si="178"/>
        <v>0</v>
      </c>
      <c r="AW310" s="1782">
        <f t="shared" si="179"/>
        <v>0</v>
      </c>
      <c r="AX310" s="178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9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0"/>
      <c r="AV311" s="1782">
        <f t="shared" si="178"/>
        <v>0</v>
      </c>
      <c r="AW311" s="1782">
        <f t="shared" si="179"/>
        <v>0</v>
      </c>
      <c r="AX311" s="178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9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0"/>
      <c r="AV312" s="1782">
        <f t="shared" si="178"/>
        <v>0</v>
      </c>
      <c r="AW312" s="1782">
        <f t="shared" si="179"/>
        <v>0</v>
      </c>
      <c r="AX312" s="178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9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0"/>
      <c r="AV313" s="1782">
        <f t="shared" si="178"/>
        <v>0</v>
      </c>
      <c r="AW313" s="1782">
        <f t="shared" si="179"/>
        <v>0</v>
      </c>
      <c r="AX313" s="178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9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0"/>
      <c r="AV314" s="1782">
        <f t="shared" si="178"/>
        <v>0</v>
      </c>
      <c r="AW314" s="1782">
        <f t="shared" si="179"/>
        <v>0</v>
      </c>
      <c r="AX314" s="178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9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0"/>
      <c r="AV315" s="1782">
        <f t="shared" si="178"/>
        <v>0</v>
      </c>
      <c r="AW315" s="1782">
        <f t="shared" si="179"/>
        <v>0</v>
      </c>
      <c r="AX315" s="178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9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0"/>
      <c r="AV316" s="1782">
        <f t="shared" si="178"/>
        <v>0</v>
      </c>
      <c r="AW316" s="1782">
        <f t="shared" si="179"/>
        <v>0</v>
      </c>
      <c r="AX316" s="178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9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0"/>
      <c r="AV317" s="1782">
        <f t="shared" si="178"/>
        <v>0</v>
      </c>
      <c r="AW317" s="1782">
        <f t="shared" si="179"/>
        <v>0</v>
      </c>
      <c r="AX317" s="178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9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0"/>
      <c r="AV318" s="1782">
        <f t="shared" si="178"/>
        <v>0</v>
      </c>
      <c r="AW318" s="1782">
        <f t="shared" si="179"/>
        <v>0</v>
      </c>
      <c r="AX318" s="178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9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0"/>
      <c r="AV319" s="1782">
        <f t="shared" si="178"/>
        <v>0</v>
      </c>
      <c r="AW319" s="1782">
        <f t="shared" si="179"/>
        <v>0</v>
      </c>
      <c r="AX319" s="178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9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0"/>
      <c r="AV320" s="1782">
        <f t="shared" si="178"/>
        <v>0</v>
      </c>
      <c r="AW320" s="1782">
        <f t="shared" si="179"/>
        <v>0</v>
      </c>
      <c r="AX320" s="178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9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0"/>
      <c r="AV321" s="1782">
        <f t="shared" si="178"/>
        <v>0</v>
      </c>
      <c r="AW321" s="1782">
        <f t="shared" si="179"/>
        <v>0</v>
      </c>
      <c r="AX321" s="178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9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0"/>
      <c r="AV322" s="1782">
        <f t="shared" si="178"/>
        <v>0</v>
      </c>
      <c r="AW322" s="1782">
        <f t="shared" si="179"/>
        <v>0</v>
      </c>
      <c r="AX322" s="178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9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0"/>
      <c r="AV323" s="1782">
        <f t="shared" si="178"/>
        <v>0</v>
      </c>
      <c r="AW323" s="1782">
        <f t="shared" si="179"/>
        <v>0</v>
      </c>
      <c r="AX323" s="178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9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0"/>
      <c r="AV324" s="1782">
        <f t="shared" si="178"/>
        <v>0</v>
      </c>
      <c r="AW324" s="1782">
        <f t="shared" si="179"/>
        <v>0</v>
      </c>
      <c r="AX324" s="178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9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0"/>
      <c r="AV325" s="1782">
        <f t="shared" si="178"/>
        <v>0</v>
      </c>
      <c r="AW325" s="1782">
        <f t="shared" si="179"/>
        <v>0</v>
      </c>
      <c r="AX325" s="178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9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0"/>
      <c r="AV326" s="1782">
        <f t="shared" si="178"/>
        <v>0</v>
      </c>
      <c r="AW326" s="1782">
        <f t="shared" si="179"/>
        <v>0</v>
      </c>
      <c r="AX326" s="178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9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0"/>
      <c r="AV327" s="1782">
        <f t="shared" si="178"/>
        <v>0</v>
      </c>
      <c r="AW327" s="1782">
        <f t="shared" si="179"/>
        <v>0</v>
      </c>
      <c r="AX327" s="178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9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0"/>
      <c r="AV328" s="1782">
        <f t="shared" si="178"/>
        <v>0</v>
      </c>
      <c r="AW328" s="1782">
        <f t="shared" si="179"/>
        <v>0</v>
      </c>
      <c r="AX328" s="178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9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0"/>
      <c r="AV329" s="1782">
        <f t="shared" si="178"/>
        <v>0</v>
      </c>
      <c r="AW329" s="1782">
        <f t="shared" si="179"/>
        <v>0</v>
      </c>
      <c r="AX329" s="178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9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0"/>
      <c r="AV330" s="1782">
        <f t="shared" si="178"/>
        <v>0</v>
      </c>
      <c r="AW330" s="1782">
        <f t="shared" si="179"/>
        <v>0</v>
      </c>
      <c r="AX330" s="178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9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0"/>
      <c r="AV331" s="1782">
        <f t="shared" si="178"/>
        <v>0</v>
      </c>
      <c r="AW331" s="1782">
        <f t="shared" si="179"/>
        <v>0</v>
      </c>
      <c r="AX331" s="178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9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0"/>
      <c r="AV332" s="1782">
        <f t="shared" si="178"/>
        <v>0</v>
      </c>
      <c r="AW332" s="1782">
        <f t="shared" si="179"/>
        <v>0</v>
      </c>
      <c r="AX332" s="178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9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0"/>
      <c r="AV333" s="1782">
        <f t="shared" si="178"/>
        <v>0</v>
      </c>
      <c r="AW333" s="1782">
        <f t="shared" si="179"/>
        <v>0</v>
      </c>
      <c r="AX333" s="178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9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0"/>
      <c r="AV334" s="1782">
        <f t="shared" si="178"/>
        <v>0</v>
      </c>
      <c r="AW334" s="1782">
        <f t="shared" si="179"/>
        <v>0</v>
      </c>
      <c r="AX334" s="178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9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0"/>
      <c r="AV335" s="1782">
        <f t="shared" ref="AV335:AV366" si="207">A335</f>
        <v>0</v>
      </c>
      <c r="AW335" s="1782">
        <f t="shared" ref="AW335:AW366" si="208">B335</f>
        <v>0</v>
      </c>
      <c r="AX335" s="178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9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0"/>
      <c r="AV336" s="1782">
        <f t="shared" si="207"/>
        <v>0</v>
      </c>
      <c r="AW336" s="1782">
        <f t="shared" si="208"/>
        <v>0</v>
      </c>
      <c r="AX336" s="178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9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0"/>
      <c r="AV337" s="1782">
        <f t="shared" si="207"/>
        <v>0</v>
      </c>
      <c r="AW337" s="1782">
        <f t="shared" si="208"/>
        <v>0</v>
      </c>
      <c r="AX337" s="178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9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0"/>
      <c r="AV338" s="1782">
        <f t="shared" si="207"/>
        <v>0</v>
      </c>
      <c r="AW338" s="1782">
        <f t="shared" si="208"/>
        <v>0</v>
      </c>
      <c r="AX338" s="178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9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0"/>
      <c r="AV339" s="1782">
        <f t="shared" si="207"/>
        <v>0</v>
      </c>
      <c r="AW339" s="1782">
        <f t="shared" si="208"/>
        <v>0</v>
      </c>
      <c r="AX339" s="178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9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0"/>
      <c r="AV340" s="1782">
        <f t="shared" si="207"/>
        <v>0</v>
      </c>
      <c r="AW340" s="1782">
        <f t="shared" si="208"/>
        <v>0</v>
      </c>
      <c r="AX340" s="178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9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0"/>
      <c r="AV341" s="1782">
        <f t="shared" si="207"/>
        <v>0</v>
      </c>
      <c r="AW341" s="1782">
        <f t="shared" si="208"/>
        <v>0</v>
      </c>
      <c r="AX341" s="178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9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0"/>
      <c r="AV342" s="1782">
        <f t="shared" si="207"/>
        <v>0</v>
      </c>
      <c r="AW342" s="1782">
        <f t="shared" si="208"/>
        <v>0</v>
      </c>
      <c r="AX342" s="178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9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0"/>
      <c r="AV343" s="1782">
        <f t="shared" si="207"/>
        <v>0</v>
      </c>
      <c r="AW343" s="1782">
        <f t="shared" si="208"/>
        <v>0</v>
      </c>
      <c r="AX343" s="178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9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0"/>
      <c r="AV344" s="1782">
        <f t="shared" si="207"/>
        <v>0</v>
      </c>
      <c r="AW344" s="1782">
        <f t="shared" si="208"/>
        <v>0</v>
      </c>
      <c r="AX344" s="178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9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0"/>
      <c r="AV345" s="1782">
        <f t="shared" si="207"/>
        <v>0</v>
      </c>
      <c r="AW345" s="1782">
        <f t="shared" si="208"/>
        <v>0</v>
      </c>
      <c r="AX345" s="178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9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0"/>
      <c r="AV346" s="1782">
        <f t="shared" si="207"/>
        <v>0</v>
      </c>
      <c r="AW346" s="1782">
        <f t="shared" si="208"/>
        <v>0</v>
      </c>
      <c r="AX346" s="178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9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0"/>
      <c r="AV347" s="1782">
        <f t="shared" si="207"/>
        <v>0</v>
      </c>
      <c r="AW347" s="1782">
        <f t="shared" si="208"/>
        <v>0</v>
      </c>
      <c r="AX347" s="178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9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0"/>
      <c r="AV348" s="1782">
        <f t="shared" si="207"/>
        <v>0</v>
      </c>
      <c r="AW348" s="1782">
        <f t="shared" si="208"/>
        <v>0</v>
      </c>
      <c r="AX348" s="178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9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0"/>
      <c r="AV349" s="1782">
        <f t="shared" si="207"/>
        <v>0</v>
      </c>
      <c r="AW349" s="1782">
        <f t="shared" si="208"/>
        <v>0</v>
      </c>
      <c r="AX349" s="178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9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0"/>
      <c r="AV350" s="1782">
        <f t="shared" si="207"/>
        <v>0</v>
      </c>
      <c r="AW350" s="1782">
        <f t="shared" si="208"/>
        <v>0</v>
      </c>
      <c r="AX350" s="178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9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0"/>
      <c r="AV351" s="1782">
        <f t="shared" si="207"/>
        <v>0</v>
      </c>
      <c r="AW351" s="1782">
        <f t="shared" si="208"/>
        <v>0</v>
      </c>
      <c r="AX351" s="178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9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0"/>
      <c r="AV352" s="1782">
        <f t="shared" si="207"/>
        <v>0</v>
      </c>
      <c r="AW352" s="1782">
        <f t="shared" si="208"/>
        <v>0</v>
      </c>
      <c r="AX352" s="178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9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0"/>
      <c r="AV353" s="1782">
        <f t="shared" si="207"/>
        <v>0</v>
      </c>
      <c r="AW353" s="1782">
        <f t="shared" si="208"/>
        <v>0</v>
      </c>
      <c r="AX353" s="178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9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0"/>
      <c r="AV354" s="1782">
        <f t="shared" si="207"/>
        <v>0</v>
      </c>
      <c r="AW354" s="1782">
        <f t="shared" si="208"/>
        <v>0</v>
      </c>
      <c r="AX354" s="178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9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0"/>
      <c r="AV355" s="1782">
        <f t="shared" si="207"/>
        <v>0</v>
      </c>
      <c r="AW355" s="1782">
        <f t="shared" si="208"/>
        <v>0</v>
      </c>
      <c r="AX355" s="178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9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0"/>
      <c r="AV356" s="1782">
        <f t="shared" si="207"/>
        <v>0</v>
      </c>
      <c r="AW356" s="1782">
        <f t="shared" si="208"/>
        <v>0</v>
      </c>
      <c r="AX356" s="178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9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0"/>
      <c r="AV357" s="1782">
        <f t="shared" si="207"/>
        <v>0</v>
      </c>
      <c r="AW357" s="1782">
        <f t="shared" si="208"/>
        <v>0</v>
      </c>
      <c r="AX357" s="178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9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0"/>
      <c r="AV358" s="1782">
        <f t="shared" si="207"/>
        <v>0</v>
      </c>
      <c r="AW358" s="1782">
        <f t="shared" si="208"/>
        <v>0</v>
      </c>
      <c r="AX358" s="178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9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0"/>
      <c r="AV359" s="1782">
        <f t="shared" si="207"/>
        <v>0</v>
      </c>
      <c r="AW359" s="1782">
        <f t="shared" si="208"/>
        <v>0</v>
      </c>
      <c r="AX359" s="178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9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0"/>
      <c r="AV360" s="1782">
        <f t="shared" si="207"/>
        <v>0</v>
      </c>
      <c r="AW360" s="1782">
        <f t="shared" si="208"/>
        <v>0</v>
      </c>
      <c r="AX360" s="178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9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0"/>
      <c r="AV361" s="1782">
        <f t="shared" si="207"/>
        <v>0</v>
      </c>
      <c r="AW361" s="1782">
        <f t="shared" si="208"/>
        <v>0</v>
      </c>
      <c r="AX361" s="178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9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0"/>
      <c r="AV362" s="1782">
        <f t="shared" si="207"/>
        <v>0</v>
      </c>
      <c r="AW362" s="1782">
        <f t="shared" si="208"/>
        <v>0</v>
      </c>
      <c r="AX362" s="178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9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0"/>
      <c r="AV363" s="1782">
        <f t="shared" si="207"/>
        <v>0</v>
      </c>
      <c r="AW363" s="1782">
        <f t="shared" si="208"/>
        <v>0</v>
      </c>
      <c r="AX363" s="178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9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0"/>
      <c r="AV364" s="1782">
        <f t="shared" si="207"/>
        <v>0</v>
      </c>
      <c r="AW364" s="1782">
        <f t="shared" si="208"/>
        <v>0</v>
      </c>
      <c r="AX364" s="178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9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0"/>
      <c r="AV365" s="1782">
        <f t="shared" si="207"/>
        <v>0</v>
      </c>
      <c r="AW365" s="1782">
        <f t="shared" si="208"/>
        <v>0</v>
      </c>
      <c r="AX365" s="178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9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0"/>
      <c r="AV366" s="1782">
        <f t="shared" si="207"/>
        <v>0</v>
      </c>
      <c r="AW366" s="1782">
        <f t="shared" si="208"/>
        <v>0</v>
      </c>
      <c r="AX366" s="178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9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0"/>
      <c r="AV367" s="1782">
        <f t="shared" ref="AV367:AV397" si="236">A367</f>
        <v>0</v>
      </c>
      <c r="AW367" s="1782">
        <f t="shared" ref="AW367:AW397" si="237">B367</f>
        <v>0</v>
      </c>
      <c r="AX367" s="178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9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0"/>
      <c r="AV368" s="1782">
        <f t="shared" si="236"/>
        <v>0</v>
      </c>
      <c r="AW368" s="1782">
        <f t="shared" si="237"/>
        <v>0</v>
      </c>
      <c r="AX368" s="178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9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0"/>
      <c r="AV369" s="1782">
        <f t="shared" si="236"/>
        <v>0</v>
      </c>
      <c r="AW369" s="1782">
        <f t="shared" si="237"/>
        <v>0</v>
      </c>
      <c r="AX369" s="178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9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0"/>
      <c r="AV370" s="1782">
        <f t="shared" si="236"/>
        <v>0</v>
      </c>
      <c r="AW370" s="1782">
        <f t="shared" si="237"/>
        <v>0</v>
      </c>
      <c r="AX370" s="178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9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0"/>
      <c r="AV371" s="1782">
        <f t="shared" si="236"/>
        <v>0</v>
      </c>
      <c r="AW371" s="1782">
        <f t="shared" si="237"/>
        <v>0</v>
      </c>
      <c r="AX371" s="178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9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0"/>
      <c r="AV372" s="1782">
        <f t="shared" si="236"/>
        <v>0</v>
      </c>
      <c r="AW372" s="1782">
        <f t="shared" si="237"/>
        <v>0</v>
      </c>
      <c r="AX372" s="178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9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0"/>
      <c r="AV373" s="1782">
        <f t="shared" si="236"/>
        <v>0</v>
      </c>
      <c r="AW373" s="1782">
        <f t="shared" si="237"/>
        <v>0</v>
      </c>
      <c r="AX373" s="178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9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0"/>
      <c r="AV374" s="1782">
        <f t="shared" si="236"/>
        <v>0</v>
      </c>
      <c r="AW374" s="1782">
        <f t="shared" si="237"/>
        <v>0</v>
      </c>
      <c r="AX374" s="178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9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0"/>
      <c r="AV375" s="1782">
        <f t="shared" si="236"/>
        <v>0</v>
      </c>
      <c r="AW375" s="1782">
        <f t="shared" si="237"/>
        <v>0</v>
      </c>
      <c r="AX375" s="178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9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0"/>
      <c r="AV376" s="1782">
        <f t="shared" si="236"/>
        <v>0</v>
      </c>
      <c r="AW376" s="1782">
        <f t="shared" si="237"/>
        <v>0</v>
      </c>
      <c r="AX376" s="178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9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0"/>
      <c r="AV377" s="1782">
        <f t="shared" si="236"/>
        <v>0</v>
      </c>
      <c r="AW377" s="1782">
        <f t="shared" si="237"/>
        <v>0</v>
      </c>
      <c r="AX377" s="178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9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0"/>
      <c r="AV378" s="1782">
        <f t="shared" si="236"/>
        <v>0</v>
      </c>
      <c r="AW378" s="1782">
        <f t="shared" si="237"/>
        <v>0</v>
      </c>
      <c r="AX378" s="178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9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0"/>
      <c r="AV379" s="1782">
        <f t="shared" si="236"/>
        <v>0</v>
      </c>
      <c r="AW379" s="1782">
        <f t="shared" si="237"/>
        <v>0</v>
      </c>
      <c r="AX379" s="178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9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0"/>
      <c r="AV380" s="1782">
        <f t="shared" si="236"/>
        <v>0</v>
      </c>
      <c r="AW380" s="1782">
        <f t="shared" si="237"/>
        <v>0</v>
      </c>
      <c r="AX380" s="178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9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0"/>
      <c r="AV381" s="1782">
        <f t="shared" si="236"/>
        <v>0</v>
      </c>
      <c r="AW381" s="1782">
        <f t="shared" si="237"/>
        <v>0</v>
      </c>
      <c r="AX381" s="178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9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0"/>
      <c r="AV382" s="1782">
        <f t="shared" si="236"/>
        <v>0</v>
      </c>
      <c r="AW382" s="1782">
        <f t="shared" si="237"/>
        <v>0</v>
      </c>
      <c r="AX382" s="178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9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0"/>
      <c r="AV383" s="1782">
        <f t="shared" si="236"/>
        <v>0</v>
      </c>
      <c r="AW383" s="1782">
        <f t="shared" si="237"/>
        <v>0</v>
      </c>
      <c r="AX383" s="178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9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0"/>
      <c r="AV384" s="1782">
        <f t="shared" si="236"/>
        <v>0</v>
      </c>
      <c r="AW384" s="1782">
        <f t="shared" si="237"/>
        <v>0</v>
      </c>
      <c r="AX384" s="178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9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0"/>
      <c r="AV385" s="1782">
        <f t="shared" si="236"/>
        <v>0</v>
      </c>
      <c r="AW385" s="1782">
        <f t="shared" si="237"/>
        <v>0</v>
      </c>
      <c r="AX385" s="178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9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0"/>
      <c r="AV386" s="1782">
        <f t="shared" si="236"/>
        <v>0</v>
      </c>
      <c r="AW386" s="1782">
        <f t="shared" si="237"/>
        <v>0</v>
      </c>
      <c r="AX386" s="178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9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0"/>
      <c r="AV387" s="1782">
        <f t="shared" si="236"/>
        <v>0</v>
      </c>
      <c r="AW387" s="1782">
        <f t="shared" si="237"/>
        <v>0</v>
      </c>
      <c r="AX387" s="178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9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0"/>
      <c r="AV388" s="1782">
        <f t="shared" si="236"/>
        <v>0</v>
      </c>
      <c r="AW388" s="1782">
        <f t="shared" si="237"/>
        <v>0</v>
      </c>
      <c r="AX388" s="178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9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0"/>
      <c r="AV389" s="1782">
        <f t="shared" si="236"/>
        <v>0</v>
      </c>
      <c r="AW389" s="1782">
        <f t="shared" si="237"/>
        <v>0</v>
      </c>
      <c r="AX389" s="178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9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0"/>
      <c r="AV390" s="1782">
        <f t="shared" si="236"/>
        <v>0</v>
      </c>
      <c r="AW390" s="1782">
        <f t="shared" si="237"/>
        <v>0</v>
      </c>
      <c r="AX390" s="178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9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0"/>
      <c r="AV391" s="1782">
        <f t="shared" si="236"/>
        <v>0</v>
      </c>
      <c r="AW391" s="1782">
        <f t="shared" si="237"/>
        <v>0</v>
      </c>
      <c r="AX391" s="178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9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0"/>
      <c r="AV392" s="1782">
        <f t="shared" si="236"/>
        <v>0</v>
      </c>
      <c r="AW392" s="1782">
        <f t="shared" si="237"/>
        <v>0</v>
      </c>
      <c r="AX392" s="178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9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0"/>
      <c r="AV393" s="1782">
        <f t="shared" si="236"/>
        <v>0</v>
      </c>
      <c r="AW393" s="1782">
        <f t="shared" si="237"/>
        <v>0</v>
      </c>
      <c r="AX393" s="178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9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0"/>
      <c r="AV394" s="1782">
        <f t="shared" si="236"/>
        <v>0</v>
      </c>
      <c r="AW394" s="1782">
        <f t="shared" si="237"/>
        <v>0</v>
      </c>
      <c r="AX394" s="178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9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35"/>
      <c r="AV395" s="1782">
        <f t="shared" si="236"/>
        <v>0</v>
      </c>
      <c r="AW395" s="1782">
        <f t="shared" si="237"/>
        <v>0</v>
      </c>
      <c r="AX395" s="178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9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35"/>
      <c r="AV396" s="1782">
        <f t="shared" si="236"/>
        <v>0</v>
      </c>
      <c r="AW396" s="1782">
        <f t="shared" si="237"/>
        <v>0</v>
      </c>
      <c r="AX396" s="178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9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35"/>
      <c r="AV397" s="1782">
        <f t="shared" si="236"/>
        <v>0</v>
      </c>
      <c r="AW397" s="1782">
        <f t="shared" si="237"/>
        <v>0</v>
      </c>
      <c r="AX397" s="178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9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0"/>
      <c r="AV398" s="1782">
        <f t="shared" ref="AV398:AV492" si="243">A398</f>
        <v>0</v>
      </c>
      <c r="AW398" s="1782">
        <f t="shared" ref="AW398:AW492" si="244">B398</f>
        <v>0</v>
      </c>
      <c r="AX398" s="178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9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0"/>
      <c r="AV399" s="1782">
        <f t="shared" si="243"/>
        <v>0</v>
      </c>
      <c r="AW399" s="1782">
        <f t="shared" si="244"/>
        <v>0</v>
      </c>
      <c r="AX399" s="178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9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0"/>
      <c r="AV400" s="1782">
        <f t="shared" si="243"/>
        <v>0</v>
      </c>
      <c r="AW400" s="1782">
        <f t="shared" si="244"/>
        <v>0</v>
      </c>
      <c r="AX400" s="178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9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0"/>
      <c r="AV401" s="1782">
        <f t="shared" si="243"/>
        <v>0</v>
      </c>
      <c r="AW401" s="1782">
        <f t="shared" si="244"/>
        <v>0</v>
      </c>
      <c r="AX401" s="178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9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0"/>
      <c r="AV402" s="1782">
        <f t="shared" si="243"/>
        <v>0</v>
      </c>
      <c r="AW402" s="1782">
        <f t="shared" si="244"/>
        <v>0</v>
      </c>
      <c r="AX402" s="178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9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0"/>
      <c r="AV403" s="1782">
        <f t="shared" si="243"/>
        <v>0</v>
      </c>
      <c r="AW403" s="1782">
        <f t="shared" si="244"/>
        <v>0</v>
      </c>
      <c r="AX403" s="178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9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0"/>
      <c r="AV404" s="1782">
        <f t="shared" si="243"/>
        <v>0</v>
      </c>
      <c r="AW404" s="1782">
        <f t="shared" si="244"/>
        <v>0</v>
      </c>
      <c r="AX404" s="178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9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0"/>
      <c r="AV405" s="1782">
        <f t="shared" si="243"/>
        <v>0</v>
      </c>
      <c r="AW405" s="1782">
        <f t="shared" si="244"/>
        <v>0</v>
      </c>
      <c r="AX405" s="178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9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0"/>
      <c r="AV406" s="1782">
        <f t="shared" si="243"/>
        <v>0</v>
      </c>
      <c r="AW406" s="1782">
        <f t="shared" si="244"/>
        <v>0</v>
      </c>
      <c r="AX406" s="178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9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0"/>
      <c r="AV407" s="1782">
        <f t="shared" si="243"/>
        <v>0</v>
      </c>
      <c r="AW407" s="1782">
        <f t="shared" si="244"/>
        <v>0</v>
      </c>
      <c r="AX407" s="178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9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0"/>
      <c r="AV408" s="1782">
        <f t="shared" si="243"/>
        <v>0</v>
      </c>
      <c r="AW408" s="1782">
        <f t="shared" si="244"/>
        <v>0</v>
      </c>
      <c r="AX408" s="178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9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0"/>
      <c r="AV409" s="1782">
        <f t="shared" si="243"/>
        <v>0</v>
      </c>
      <c r="AW409" s="1782">
        <f t="shared" si="244"/>
        <v>0</v>
      </c>
      <c r="AX409" s="178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9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0"/>
      <c r="AV410" s="1782">
        <f t="shared" si="243"/>
        <v>0</v>
      </c>
      <c r="AW410" s="1782">
        <f t="shared" si="244"/>
        <v>0</v>
      </c>
      <c r="AX410" s="178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9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0"/>
      <c r="AV411" s="1782">
        <f t="shared" si="243"/>
        <v>0</v>
      </c>
      <c r="AW411" s="1782">
        <f t="shared" si="244"/>
        <v>0</v>
      </c>
      <c r="AX411" s="178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9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0"/>
      <c r="AV412" s="1782">
        <f t="shared" si="243"/>
        <v>0</v>
      </c>
      <c r="AW412" s="1782">
        <f t="shared" si="244"/>
        <v>0</v>
      </c>
      <c r="AX412" s="178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9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0"/>
      <c r="AV413" s="1782">
        <f t="shared" si="243"/>
        <v>0</v>
      </c>
      <c r="AW413" s="1782">
        <f t="shared" si="244"/>
        <v>0</v>
      </c>
      <c r="AX413" s="178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9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0"/>
      <c r="AV414" s="1782">
        <f t="shared" si="243"/>
        <v>0</v>
      </c>
      <c r="AW414" s="1782">
        <f t="shared" si="244"/>
        <v>0</v>
      </c>
      <c r="AX414" s="178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9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0"/>
      <c r="AV415" s="1782">
        <f t="shared" si="243"/>
        <v>0</v>
      </c>
      <c r="AW415" s="1782">
        <f t="shared" si="244"/>
        <v>0</v>
      </c>
      <c r="AX415" s="178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9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0"/>
      <c r="AV416" s="1782">
        <f t="shared" si="243"/>
        <v>0</v>
      </c>
      <c r="AW416" s="1782">
        <f t="shared" si="244"/>
        <v>0</v>
      </c>
      <c r="AX416" s="178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9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0"/>
      <c r="AV417" s="1782">
        <f t="shared" si="243"/>
        <v>0</v>
      </c>
      <c r="AW417" s="1782">
        <f t="shared" si="244"/>
        <v>0</v>
      </c>
      <c r="AX417" s="178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9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0"/>
      <c r="AV418" s="1782">
        <f t="shared" si="243"/>
        <v>0</v>
      </c>
      <c r="AW418" s="1782">
        <f t="shared" si="244"/>
        <v>0</v>
      </c>
      <c r="AX418" s="178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9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0"/>
      <c r="AV419" s="1782">
        <f t="shared" si="243"/>
        <v>0</v>
      </c>
      <c r="AW419" s="1782">
        <f t="shared" si="244"/>
        <v>0</v>
      </c>
      <c r="AX419" s="178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9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0"/>
      <c r="AV420" s="1782">
        <f t="shared" si="243"/>
        <v>0</v>
      </c>
      <c r="AW420" s="1782">
        <f t="shared" si="244"/>
        <v>0</v>
      </c>
      <c r="AX420" s="178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9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0"/>
      <c r="AV421" s="1782">
        <f t="shared" si="243"/>
        <v>0</v>
      </c>
      <c r="AW421" s="1782">
        <f t="shared" si="244"/>
        <v>0</v>
      </c>
      <c r="AX421" s="178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9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0"/>
      <c r="AV422" s="1782">
        <f t="shared" si="243"/>
        <v>0</v>
      </c>
      <c r="AW422" s="1782">
        <f t="shared" si="244"/>
        <v>0</v>
      </c>
      <c r="AX422" s="178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9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0"/>
      <c r="AV423" s="1782">
        <f t="shared" si="243"/>
        <v>0</v>
      </c>
      <c r="AW423" s="1782">
        <f t="shared" si="244"/>
        <v>0</v>
      </c>
      <c r="AX423" s="178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9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0"/>
      <c r="AV424" s="1782">
        <f t="shared" si="243"/>
        <v>0</v>
      </c>
      <c r="AW424" s="1782">
        <f t="shared" si="244"/>
        <v>0</v>
      </c>
      <c r="AX424" s="178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9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0"/>
      <c r="AV425" s="1782">
        <f t="shared" si="243"/>
        <v>0</v>
      </c>
      <c r="AW425" s="1782">
        <f t="shared" si="244"/>
        <v>0</v>
      </c>
      <c r="AX425" s="178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9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0"/>
      <c r="AV426" s="1782">
        <f t="shared" si="243"/>
        <v>0</v>
      </c>
      <c r="AW426" s="1782">
        <f t="shared" si="244"/>
        <v>0</v>
      </c>
      <c r="AX426" s="178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9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0"/>
      <c r="AV427" s="1782">
        <f t="shared" si="243"/>
        <v>0</v>
      </c>
      <c r="AW427" s="1782">
        <f t="shared" si="244"/>
        <v>0</v>
      </c>
      <c r="AX427" s="178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9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0"/>
      <c r="AV428" s="1782">
        <f t="shared" si="243"/>
        <v>0</v>
      </c>
      <c r="AW428" s="1782">
        <f t="shared" si="244"/>
        <v>0</v>
      </c>
      <c r="AX428" s="178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9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0"/>
      <c r="AV429" s="1782">
        <f t="shared" si="243"/>
        <v>0</v>
      </c>
      <c r="AW429" s="1782">
        <f t="shared" si="244"/>
        <v>0</v>
      </c>
      <c r="AX429" s="178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9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0"/>
      <c r="AV430" s="1782">
        <f t="shared" si="243"/>
        <v>0</v>
      </c>
      <c r="AW430" s="1782">
        <f t="shared" si="244"/>
        <v>0</v>
      </c>
      <c r="AX430" s="178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9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0"/>
      <c r="AV431" s="1782">
        <f t="shared" si="243"/>
        <v>0</v>
      </c>
      <c r="AW431" s="1782">
        <f t="shared" si="244"/>
        <v>0</v>
      </c>
      <c r="AX431" s="178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9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0"/>
      <c r="AV432" s="1782">
        <f t="shared" si="243"/>
        <v>0</v>
      </c>
      <c r="AW432" s="1782">
        <f t="shared" si="244"/>
        <v>0</v>
      </c>
      <c r="AX432" s="178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9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0"/>
      <c r="AV433" s="1782">
        <f t="shared" si="243"/>
        <v>0</v>
      </c>
      <c r="AW433" s="1782">
        <f t="shared" si="244"/>
        <v>0</v>
      </c>
      <c r="AX433" s="178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9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0"/>
      <c r="AV434" s="1782">
        <f t="shared" si="243"/>
        <v>0</v>
      </c>
      <c r="AW434" s="1782">
        <f t="shared" si="244"/>
        <v>0</v>
      </c>
      <c r="AX434" s="178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9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0"/>
      <c r="AV435" s="1782">
        <f t="shared" si="243"/>
        <v>0</v>
      </c>
      <c r="AW435" s="1782">
        <f t="shared" si="244"/>
        <v>0</v>
      </c>
      <c r="AX435" s="178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9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0"/>
      <c r="AV436" s="1782">
        <f t="shared" si="243"/>
        <v>0</v>
      </c>
      <c r="AW436" s="1782">
        <f t="shared" si="244"/>
        <v>0</v>
      </c>
      <c r="AX436" s="178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9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0"/>
      <c r="AV437" s="1782">
        <f t="shared" si="243"/>
        <v>0</v>
      </c>
      <c r="AW437" s="1782">
        <f t="shared" si="244"/>
        <v>0</v>
      </c>
      <c r="AX437" s="178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9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0"/>
      <c r="AV438" s="1782">
        <f t="shared" si="243"/>
        <v>0</v>
      </c>
      <c r="AW438" s="1782">
        <f t="shared" si="244"/>
        <v>0</v>
      </c>
      <c r="AX438" s="178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9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0"/>
      <c r="AV439" s="1782">
        <f t="shared" si="243"/>
        <v>0</v>
      </c>
      <c r="AW439" s="1782">
        <f t="shared" si="244"/>
        <v>0</v>
      </c>
      <c r="AX439" s="178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9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0"/>
      <c r="AV440" s="1782">
        <f t="shared" si="243"/>
        <v>0</v>
      </c>
      <c r="AW440" s="1782">
        <f t="shared" si="244"/>
        <v>0</v>
      </c>
      <c r="AX440" s="178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9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0"/>
      <c r="AV441" s="1782">
        <f t="shared" si="243"/>
        <v>0</v>
      </c>
      <c r="AW441" s="1782">
        <f t="shared" si="244"/>
        <v>0</v>
      </c>
      <c r="AX441" s="178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9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0"/>
      <c r="AV442" s="1782">
        <f t="shared" si="243"/>
        <v>0</v>
      </c>
      <c r="AW442" s="1782">
        <f t="shared" si="244"/>
        <v>0</v>
      </c>
      <c r="AX442" s="178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9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0"/>
      <c r="AV443" s="1782">
        <f t="shared" si="243"/>
        <v>0</v>
      </c>
      <c r="AW443" s="1782">
        <f t="shared" si="244"/>
        <v>0</v>
      </c>
      <c r="AX443" s="178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9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0"/>
      <c r="AV444" s="1782">
        <f t="shared" si="243"/>
        <v>0</v>
      </c>
      <c r="AW444" s="1782">
        <f t="shared" si="244"/>
        <v>0</v>
      </c>
      <c r="AX444" s="178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9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0"/>
      <c r="AV445" s="1782">
        <f t="shared" si="243"/>
        <v>0</v>
      </c>
      <c r="AW445" s="1782">
        <f t="shared" si="244"/>
        <v>0</v>
      </c>
      <c r="AX445" s="178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9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0"/>
      <c r="AV446" s="1782">
        <f t="shared" si="243"/>
        <v>0</v>
      </c>
      <c r="AW446" s="1782">
        <f t="shared" si="244"/>
        <v>0</v>
      </c>
      <c r="AX446" s="178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9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0"/>
      <c r="AV447" s="1782">
        <f t="shared" si="243"/>
        <v>0</v>
      </c>
      <c r="AW447" s="1782">
        <f t="shared" si="244"/>
        <v>0</v>
      </c>
      <c r="AX447" s="178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9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0"/>
      <c r="AV448" s="1782">
        <f t="shared" si="243"/>
        <v>0</v>
      </c>
      <c r="AW448" s="1782">
        <f t="shared" si="244"/>
        <v>0</v>
      </c>
      <c r="AX448" s="178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9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0"/>
      <c r="AV449" s="1782">
        <f t="shared" si="243"/>
        <v>0</v>
      </c>
      <c r="AW449" s="1782">
        <f t="shared" si="244"/>
        <v>0</v>
      </c>
      <c r="AX449" s="178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9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0"/>
      <c r="AV450" s="1782">
        <f t="shared" si="243"/>
        <v>0</v>
      </c>
      <c r="AW450" s="1782">
        <f t="shared" si="244"/>
        <v>0</v>
      </c>
      <c r="AX450" s="178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9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0"/>
      <c r="AV451" s="1782">
        <f t="shared" si="243"/>
        <v>0</v>
      </c>
      <c r="AW451" s="1782">
        <f t="shared" si="244"/>
        <v>0</v>
      </c>
      <c r="AX451" s="178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9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0"/>
      <c r="AV452" s="1782">
        <f t="shared" si="243"/>
        <v>0</v>
      </c>
      <c r="AW452" s="1782">
        <f t="shared" si="244"/>
        <v>0</v>
      </c>
      <c r="AX452" s="178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9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0"/>
      <c r="AV453" s="1782">
        <f t="shared" si="243"/>
        <v>0</v>
      </c>
      <c r="AW453" s="1782">
        <f t="shared" si="244"/>
        <v>0</v>
      </c>
      <c r="AX453" s="178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9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0"/>
      <c r="AV454" s="1782">
        <f t="shared" si="243"/>
        <v>0</v>
      </c>
      <c r="AW454" s="1782">
        <f t="shared" si="244"/>
        <v>0</v>
      </c>
      <c r="AX454" s="178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9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0"/>
      <c r="AV455" s="1782">
        <f t="shared" si="243"/>
        <v>0</v>
      </c>
      <c r="AW455" s="1782">
        <f t="shared" si="244"/>
        <v>0</v>
      </c>
      <c r="AX455" s="178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9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0"/>
      <c r="AV456" s="1782">
        <f t="shared" si="243"/>
        <v>0</v>
      </c>
      <c r="AW456" s="1782">
        <f t="shared" si="244"/>
        <v>0</v>
      </c>
      <c r="AX456" s="178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9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0"/>
      <c r="AV457" s="1782">
        <f t="shared" si="243"/>
        <v>0</v>
      </c>
      <c r="AW457" s="1782">
        <f t="shared" si="244"/>
        <v>0</v>
      </c>
      <c r="AX457" s="178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9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0"/>
      <c r="AV458" s="1782">
        <f t="shared" si="243"/>
        <v>0</v>
      </c>
      <c r="AW458" s="1782">
        <f t="shared" si="244"/>
        <v>0</v>
      </c>
      <c r="AX458" s="178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9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0"/>
      <c r="AV459" s="1782">
        <f t="shared" si="243"/>
        <v>0</v>
      </c>
      <c r="AW459" s="1782">
        <f t="shared" si="244"/>
        <v>0</v>
      </c>
      <c r="AX459" s="178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9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0"/>
      <c r="AV460" s="1782">
        <f t="shared" si="243"/>
        <v>0</v>
      </c>
      <c r="AW460" s="1782">
        <f t="shared" si="244"/>
        <v>0</v>
      </c>
      <c r="AX460" s="178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9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0"/>
      <c r="AV461" s="1782">
        <f t="shared" si="243"/>
        <v>0</v>
      </c>
      <c r="AW461" s="1782">
        <f t="shared" si="244"/>
        <v>0</v>
      </c>
      <c r="AX461" s="178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9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0"/>
      <c r="AV462" s="1782">
        <f t="shared" si="243"/>
        <v>0</v>
      </c>
      <c r="AW462" s="1782">
        <f t="shared" si="244"/>
        <v>0</v>
      </c>
      <c r="AX462" s="178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9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0"/>
      <c r="AV463" s="1782">
        <f t="shared" si="243"/>
        <v>0</v>
      </c>
      <c r="AW463" s="1782">
        <f t="shared" si="244"/>
        <v>0</v>
      </c>
      <c r="AX463" s="178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9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0"/>
      <c r="AV464" s="1782">
        <f t="shared" si="243"/>
        <v>0</v>
      </c>
      <c r="AW464" s="1782">
        <f t="shared" si="244"/>
        <v>0</v>
      </c>
      <c r="AX464" s="178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9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0"/>
      <c r="AV465" s="1782">
        <f t="shared" si="243"/>
        <v>0</v>
      </c>
      <c r="AW465" s="1782">
        <f t="shared" si="244"/>
        <v>0</v>
      </c>
      <c r="AX465" s="178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9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0"/>
      <c r="AV466" s="1782">
        <f t="shared" si="243"/>
        <v>0</v>
      </c>
      <c r="AW466" s="1782">
        <f t="shared" si="244"/>
        <v>0</v>
      </c>
      <c r="AX466" s="178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9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0"/>
      <c r="AV467" s="1782">
        <f t="shared" si="243"/>
        <v>0</v>
      </c>
      <c r="AW467" s="1782">
        <f t="shared" si="244"/>
        <v>0</v>
      </c>
      <c r="AX467" s="178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9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0"/>
      <c r="AV468" s="1782">
        <f t="shared" si="243"/>
        <v>0</v>
      </c>
      <c r="AW468" s="1782">
        <f t="shared" si="244"/>
        <v>0</v>
      </c>
      <c r="AX468" s="178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9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0"/>
      <c r="AV469" s="1782">
        <f t="shared" si="243"/>
        <v>0</v>
      </c>
      <c r="AW469" s="1782">
        <f t="shared" si="244"/>
        <v>0</v>
      </c>
      <c r="AX469" s="178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9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0"/>
      <c r="AV470" s="1782">
        <f t="shared" si="243"/>
        <v>0</v>
      </c>
      <c r="AW470" s="1782">
        <f t="shared" si="244"/>
        <v>0</v>
      </c>
      <c r="AX470" s="178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9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0"/>
      <c r="AV471" s="1782">
        <f t="shared" si="243"/>
        <v>0</v>
      </c>
      <c r="AW471" s="1782">
        <f t="shared" si="244"/>
        <v>0</v>
      </c>
      <c r="AX471" s="178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9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0"/>
      <c r="AV472" s="1782">
        <f t="shared" si="243"/>
        <v>0</v>
      </c>
      <c r="AW472" s="1782">
        <f t="shared" si="244"/>
        <v>0</v>
      </c>
      <c r="AX472" s="178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9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0"/>
      <c r="AV473" s="1782">
        <f t="shared" si="243"/>
        <v>0</v>
      </c>
      <c r="AW473" s="1782">
        <f t="shared" si="244"/>
        <v>0</v>
      </c>
      <c r="AX473" s="178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9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0"/>
      <c r="AV474" s="1782">
        <f t="shared" si="243"/>
        <v>0</v>
      </c>
      <c r="AW474" s="1782">
        <f t="shared" si="244"/>
        <v>0</v>
      </c>
      <c r="AX474" s="178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9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0"/>
      <c r="AV475" s="1782">
        <f t="shared" si="243"/>
        <v>0</v>
      </c>
      <c r="AW475" s="1782">
        <f t="shared" si="244"/>
        <v>0</v>
      </c>
      <c r="AX475" s="178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9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0"/>
      <c r="AV476" s="1782">
        <f t="shared" si="243"/>
        <v>0</v>
      </c>
      <c r="AW476" s="1782">
        <f t="shared" si="244"/>
        <v>0</v>
      </c>
      <c r="AX476" s="178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9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0"/>
      <c r="AV477" s="1782">
        <f t="shared" si="243"/>
        <v>0</v>
      </c>
      <c r="AW477" s="1782">
        <f t="shared" si="244"/>
        <v>0</v>
      </c>
      <c r="AX477" s="178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9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0"/>
      <c r="AV478" s="1782">
        <f t="shared" si="243"/>
        <v>0</v>
      </c>
      <c r="AW478" s="1782">
        <f t="shared" si="244"/>
        <v>0</v>
      </c>
      <c r="AX478" s="178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9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0"/>
      <c r="AV479" s="1782">
        <f t="shared" si="243"/>
        <v>0</v>
      </c>
      <c r="AW479" s="1782">
        <f t="shared" si="244"/>
        <v>0</v>
      </c>
      <c r="AX479" s="178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9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0"/>
      <c r="AV480" s="1782">
        <f t="shared" si="243"/>
        <v>0</v>
      </c>
      <c r="AW480" s="1782">
        <f t="shared" si="244"/>
        <v>0</v>
      </c>
      <c r="AX480" s="178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9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0"/>
      <c r="AV481" s="1782">
        <f t="shared" si="243"/>
        <v>0</v>
      </c>
      <c r="AW481" s="1782">
        <f t="shared" si="244"/>
        <v>0</v>
      </c>
      <c r="AX481" s="178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9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0"/>
      <c r="AV482" s="1782">
        <f t="shared" si="243"/>
        <v>0</v>
      </c>
      <c r="AW482" s="1782">
        <f t="shared" si="244"/>
        <v>0</v>
      </c>
      <c r="AX482" s="178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9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0"/>
      <c r="AV483" s="1782">
        <f t="shared" si="243"/>
        <v>0</v>
      </c>
      <c r="AW483" s="1782">
        <f t="shared" si="244"/>
        <v>0</v>
      </c>
      <c r="AX483" s="178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9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0"/>
      <c r="AV484" s="1782">
        <f t="shared" si="243"/>
        <v>0</v>
      </c>
      <c r="AW484" s="1782">
        <f t="shared" si="244"/>
        <v>0</v>
      </c>
      <c r="AX484" s="178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9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0"/>
      <c r="AV485" s="1782">
        <f t="shared" si="243"/>
        <v>0</v>
      </c>
      <c r="AW485" s="1782">
        <f t="shared" si="244"/>
        <v>0</v>
      </c>
      <c r="AX485" s="178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9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0"/>
      <c r="AV486" s="1782">
        <f t="shared" si="243"/>
        <v>0</v>
      </c>
      <c r="AW486" s="1782">
        <f t="shared" si="244"/>
        <v>0</v>
      </c>
      <c r="AX486" s="178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9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0"/>
      <c r="AV487" s="1782">
        <f t="shared" si="243"/>
        <v>0</v>
      </c>
      <c r="AW487" s="1782">
        <f t="shared" si="244"/>
        <v>0</v>
      </c>
      <c r="AX487" s="178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9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0"/>
      <c r="AV488" s="1782">
        <f t="shared" si="243"/>
        <v>0</v>
      </c>
      <c r="AW488" s="1782">
        <f t="shared" si="244"/>
        <v>0</v>
      </c>
      <c r="AX488" s="178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9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0"/>
      <c r="AV489" s="1782">
        <f t="shared" si="243"/>
        <v>0</v>
      </c>
      <c r="AW489" s="1782">
        <f t="shared" si="244"/>
        <v>0</v>
      </c>
      <c r="AX489" s="178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9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35"/>
      <c r="AV490" s="1782">
        <f t="shared" si="243"/>
        <v>0</v>
      </c>
      <c r="AW490" s="1782">
        <f t="shared" si="244"/>
        <v>0</v>
      </c>
      <c r="AX490" s="178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9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35"/>
      <c r="AV491" s="1782">
        <f t="shared" si="243"/>
        <v>0</v>
      </c>
      <c r="AW491" s="1782">
        <f t="shared" si="244"/>
        <v>0</v>
      </c>
      <c r="AX491" s="178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9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35"/>
      <c r="AV492" s="1782">
        <f t="shared" si="243"/>
        <v>0</v>
      </c>
      <c r="AW492" s="1782">
        <f t="shared" si="244"/>
        <v>0</v>
      </c>
      <c r="AX492" s="178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9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0"/>
      <c r="AV493" s="1782">
        <f t="shared" ref="AV493:AV520" si="294">A493</f>
        <v>0</v>
      </c>
      <c r="AW493" s="1782">
        <f t="shared" ref="AW493:AW520" si="295">B493</f>
        <v>0</v>
      </c>
      <c r="AX493" s="178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9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0"/>
      <c r="AV494" s="1782">
        <f t="shared" si="294"/>
        <v>0</v>
      </c>
      <c r="AW494" s="1782">
        <f t="shared" si="295"/>
        <v>0</v>
      </c>
      <c r="AX494" s="178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9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0"/>
      <c r="AV495" s="1782">
        <f t="shared" si="294"/>
        <v>0</v>
      </c>
      <c r="AW495" s="1782">
        <f t="shared" si="295"/>
        <v>0</v>
      </c>
      <c r="AX495" s="178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9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0"/>
      <c r="AV496" s="1782">
        <f t="shared" si="294"/>
        <v>0</v>
      </c>
      <c r="AW496" s="1782">
        <f t="shared" si="295"/>
        <v>0</v>
      </c>
      <c r="AX496" s="178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9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0"/>
      <c r="AV497" s="1782">
        <f t="shared" si="294"/>
        <v>0</v>
      </c>
      <c r="AW497" s="1782">
        <f t="shared" si="295"/>
        <v>0</v>
      </c>
      <c r="AX497" s="178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9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0"/>
      <c r="AV498" s="1782">
        <f t="shared" si="294"/>
        <v>0</v>
      </c>
      <c r="AW498" s="1782">
        <f t="shared" si="295"/>
        <v>0</v>
      </c>
      <c r="AX498" s="178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9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0"/>
      <c r="AV499" s="1782">
        <f t="shared" si="294"/>
        <v>0</v>
      </c>
      <c r="AW499" s="1782">
        <f t="shared" si="295"/>
        <v>0</v>
      </c>
      <c r="AX499" s="178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9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0"/>
      <c r="AV500" s="1782">
        <f t="shared" si="294"/>
        <v>0</v>
      </c>
      <c r="AW500" s="1782">
        <f t="shared" si="295"/>
        <v>0</v>
      </c>
      <c r="AX500" s="178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9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0"/>
      <c r="AV501" s="1782">
        <f t="shared" si="294"/>
        <v>0</v>
      </c>
      <c r="AW501" s="1782">
        <f t="shared" si="295"/>
        <v>0</v>
      </c>
      <c r="AX501" s="178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9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0"/>
      <c r="AV502" s="1782">
        <f t="shared" si="294"/>
        <v>0</v>
      </c>
      <c r="AW502" s="1782">
        <f t="shared" si="295"/>
        <v>0</v>
      </c>
      <c r="AX502" s="178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9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0"/>
      <c r="AV503" s="1782">
        <f t="shared" si="294"/>
        <v>0</v>
      </c>
      <c r="AW503" s="1782">
        <f t="shared" si="295"/>
        <v>0</v>
      </c>
      <c r="AX503" s="178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9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0"/>
      <c r="AV504" s="1782">
        <f t="shared" si="294"/>
        <v>0</v>
      </c>
      <c r="AW504" s="1782">
        <f t="shared" si="295"/>
        <v>0</v>
      </c>
      <c r="AX504" s="178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9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0"/>
      <c r="AV505" s="1782">
        <f t="shared" si="294"/>
        <v>0</v>
      </c>
      <c r="AW505" s="1782">
        <f t="shared" si="295"/>
        <v>0</v>
      </c>
      <c r="AX505" s="178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9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0"/>
      <c r="AV506" s="1782">
        <f t="shared" si="294"/>
        <v>0</v>
      </c>
      <c r="AW506" s="1782">
        <f t="shared" si="295"/>
        <v>0</v>
      </c>
      <c r="AX506" s="178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9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0"/>
      <c r="AV507" s="1782">
        <f t="shared" si="294"/>
        <v>0</v>
      </c>
      <c r="AW507" s="1782">
        <f t="shared" si="295"/>
        <v>0</v>
      </c>
      <c r="AX507" s="178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9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0"/>
      <c r="AV508" s="1782">
        <f t="shared" si="294"/>
        <v>0</v>
      </c>
      <c r="AW508" s="1782">
        <f t="shared" si="295"/>
        <v>0</v>
      </c>
      <c r="AX508" s="178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9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0"/>
      <c r="AV509" s="1782">
        <f t="shared" si="294"/>
        <v>0</v>
      </c>
      <c r="AW509" s="1782">
        <f t="shared" si="295"/>
        <v>0</v>
      </c>
      <c r="AX509" s="178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9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0"/>
      <c r="AV510" s="1782">
        <f t="shared" si="294"/>
        <v>0</v>
      </c>
      <c r="AW510" s="1782">
        <f t="shared" si="295"/>
        <v>0</v>
      </c>
      <c r="AX510" s="178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9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0"/>
      <c r="AV511" s="1782">
        <f t="shared" si="294"/>
        <v>0</v>
      </c>
      <c r="AW511" s="1782">
        <f t="shared" si="295"/>
        <v>0</v>
      </c>
      <c r="AX511" s="178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9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0"/>
      <c r="AV512" s="1782">
        <f t="shared" si="294"/>
        <v>0</v>
      </c>
      <c r="AW512" s="1782">
        <f t="shared" si="295"/>
        <v>0</v>
      </c>
      <c r="AX512" s="178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9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0"/>
      <c r="AV513" s="1782">
        <f t="shared" si="294"/>
        <v>0</v>
      </c>
      <c r="AW513" s="1782">
        <f t="shared" si="295"/>
        <v>0</v>
      </c>
      <c r="AX513" s="178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9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0"/>
      <c r="AV514" s="1782">
        <f t="shared" si="294"/>
        <v>0</v>
      </c>
      <c r="AW514" s="1782">
        <f t="shared" si="295"/>
        <v>0</v>
      </c>
      <c r="AX514" s="178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9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0"/>
      <c r="AV515" s="1782">
        <f t="shared" si="294"/>
        <v>0</v>
      </c>
      <c r="AW515" s="1782">
        <f t="shared" si="295"/>
        <v>0</v>
      </c>
      <c r="AX515" s="178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9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0"/>
      <c r="AV516" s="1782">
        <f t="shared" si="294"/>
        <v>0</v>
      </c>
      <c r="AW516" s="1782">
        <f t="shared" si="295"/>
        <v>0</v>
      </c>
      <c r="AX516" s="178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9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0"/>
      <c r="AV517" s="1782">
        <f t="shared" si="294"/>
        <v>0</v>
      </c>
      <c r="AW517" s="1782">
        <f t="shared" si="295"/>
        <v>0</v>
      </c>
      <c r="AX517" s="178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9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0"/>
      <c r="AV518" s="1782">
        <f t="shared" si="294"/>
        <v>0</v>
      </c>
      <c r="AW518" s="1782">
        <f t="shared" si="295"/>
        <v>0</v>
      </c>
      <c r="AX518" s="178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9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0"/>
      <c r="AV519" s="1782">
        <f t="shared" si="294"/>
        <v>0</v>
      </c>
      <c r="AW519" s="1782">
        <f t="shared" si="295"/>
        <v>0</v>
      </c>
      <c r="AX519" s="178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9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0"/>
      <c r="AV520" s="1782">
        <f t="shared" si="294"/>
        <v>0</v>
      </c>
      <c r="AW520" s="1782">
        <f t="shared" si="295"/>
        <v>0</v>
      </c>
      <c r="AX520" s="178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9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0"/>
      <c r="AV521" s="1782">
        <f t="shared" ref="AV521:AV552" si="298">A521</f>
        <v>0</v>
      </c>
      <c r="AW521" s="1782">
        <f t="shared" ref="AW521:AW552" si="299">B521</f>
        <v>0</v>
      </c>
      <c r="AX521" s="178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9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0"/>
      <c r="AV522" s="1782">
        <f t="shared" si="298"/>
        <v>0</v>
      </c>
      <c r="AW522" s="1782">
        <f t="shared" si="299"/>
        <v>0</v>
      </c>
      <c r="AX522" s="178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9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0"/>
      <c r="AV523" s="1782">
        <f t="shared" si="298"/>
        <v>0</v>
      </c>
      <c r="AW523" s="1782">
        <f t="shared" si="299"/>
        <v>0</v>
      </c>
      <c r="AX523" s="178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9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0"/>
      <c r="AV524" s="1782">
        <f t="shared" si="298"/>
        <v>0</v>
      </c>
      <c r="AW524" s="1782">
        <f t="shared" si="299"/>
        <v>0</v>
      </c>
      <c r="AX524" s="178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9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0"/>
      <c r="AV525" s="1782">
        <f t="shared" si="298"/>
        <v>0</v>
      </c>
      <c r="AW525" s="1782">
        <f t="shared" si="299"/>
        <v>0</v>
      </c>
      <c r="AX525" s="178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9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0"/>
      <c r="AV526" s="1782">
        <f t="shared" si="298"/>
        <v>0</v>
      </c>
      <c r="AW526" s="1782">
        <f t="shared" si="299"/>
        <v>0</v>
      </c>
      <c r="AX526" s="178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9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0"/>
      <c r="AV527" s="1782">
        <f t="shared" si="298"/>
        <v>0</v>
      </c>
      <c r="AW527" s="1782">
        <f t="shared" si="299"/>
        <v>0</v>
      </c>
      <c r="AX527" s="178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9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0"/>
      <c r="AV528" s="1782">
        <f t="shared" si="298"/>
        <v>0</v>
      </c>
      <c r="AW528" s="1782">
        <f t="shared" si="299"/>
        <v>0</v>
      </c>
      <c r="AX528" s="178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9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0"/>
      <c r="AV529" s="1782">
        <f t="shared" si="298"/>
        <v>0</v>
      </c>
      <c r="AW529" s="1782">
        <f t="shared" si="299"/>
        <v>0</v>
      </c>
      <c r="AX529" s="178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9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0"/>
      <c r="AV530" s="1782">
        <f t="shared" si="298"/>
        <v>0</v>
      </c>
      <c r="AW530" s="1782">
        <f t="shared" si="299"/>
        <v>0</v>
      </c>
      <c r="AX530" s="178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9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0"/>
      <c r="AV531" s="1782">
        <f t="shared" si="298"/>
        <v>0</v>
      </c>
      <c r="AW531" s="1782">
        <f t="shared" si="299"/>
        <v>0</v>
      </c>
      <c r="AX531" s="178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9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0"/>
      <c r="AV532" s="1782">
        <f t="shared" si="298"/>
        <v>0</v>
      </c>
      <c r="AW532" s="1782">
        <f t="shared" si="299"/>
        <v>0</v>
      </c>
      <c r="AX532" s="178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9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0"/>
      <c r="AV533" s="1782">
        <f t="shared" si="298"/>
        <v>0</v>
      </c>
      <c r="AW533" s="1782">
        <f t="shared" si="299"/>
        <v>0</v>
      </c>
      <c r="AX533" s="178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9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0"/>
      <c r="AV534" s="1782">
        <f t="shared" si="298"/>
        <v>0</v>
      </c>
      <c r="AW534" s="1782">
        <f t="shared" si="299"/>
        <v>0</v>
      </c>
      <c r="AX534" s="178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9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0"/>
      <c r="AV535" s="1782">
        <f t="shared" si="298"/>
        <v>0</v>
      </c>
      <c r="AW535" s="1782">
        <f t="shared" si="299"/>
        <v>0</v>
      </c>
      <c r="AX535" s="178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9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0"/>
      <c r="AV536" s="1782">
        <f t="shared" si="298"/>
        <v>0</v>
      </c>
      <c r="AW536" s="1782">
        <f t="shared" si="299"/>
        <v>0</v>
      </c>
      <c r="AX536" s="178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9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0"/>
      <c r="AV537" s="1782">
        <f t="shared" si="298"/>
        <v>0</v>
      </c>
      <c r="AW537" s="1782">
        <f t="shared" si="299"/>
        <v>0</v>
      </c>
      <c r="AX537" s="178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9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0"/>
      <c r="AV538" s="1782">
        <f t="shared" si="298"/>
        <v>0</v>
      </c>
      <c r="AW538" s="1782">
        <f t="shared" si="299"/>
        <v>0</v>
      </c>
      <c r="AX538" s="178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9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0"/>
      <c r="AV539" s="1782">
        <f t="shared" si="298"/>
        <v>0</v>
      </c>
      <c r="AW539" s="1782">
        <f t="shared" si="299"/>
        <v>0</v>
      </c>
      <c r="AX539" s="178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9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0"/>
      <c r="AV540" s="1782">
        <f t="shared" si="298"/>
        <v>0</v>
      </c>
      <c r="AW540" s="1782">
        <f t="shared" si="299"/>
        <v>0</v>
      </c>
      <c r="AX540" s="178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9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0"/>
      <c r="AV541" s="1782">
        <f t="shared" si="298"/>
        <v>0</v>
      </c>
      <c r="AW541" s="1782">
        <f t="shared" si="299"/>
        <v>0</v>
      </c>
      <c r="AX541" s="178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9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0"/>
      <c r="AV542" s="1782">
        <f t="shared" si="298"/>
        <v>0</v>
      </c>
      <c r="AW542" s="1782">
        <f t="shared" si="299"/>
        <v>0</v>
      </c>
      <c r="AX542" s="178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9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0"/>
      <c r="AV543" s="1782">
        <f t="shared" si="298"/>
        <v>0</v>
      </c>
      <c r="AW543" s="1782">
        <f t="shared" si="299"/>
        <v>0</v>
      </c>
      <c r="AX543" s="178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9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0"/>
      <c r="AV544" s="1782">
        <f t="shared" si="298"/>
        <v>0</v>
      </c>
      <c r="AW544" s="1782">
        <f t="shared" si="299"/>
        <v>0</v>
      </c>
      <c r="AX544" s="178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9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0"/>
      <c r="AV545" s="1782">
        <f t="shared" si="298"/>
        <v>0</v>
      </c>
      <c r="AW545" s="1782">
        <f t="shared" si="299"/>
        <v>0</v>
      </c>
      <c r="AX545" s="178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9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0"/>
      <c r="AV546" s="1782">
        <f t="shared" si="298"/>
        <v>0</v>
      </c>
      <c r="AW546" s="1782">
        <f t="shared" si="299"/>
        <v>0</v>
      </c>
      <c r="AX546" s="178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9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0"/>
      <c r="AV547" s="1782">
        <f t="shared" si="298"/>
        <v>0</v>
      </c>
      <c r="AW547" s="1782">
        <f t="shared" si="299"/>
        <v>0</v>
      </c>
      <c r="AX547" s="178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9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0"/>
      <c r="AV548" s="1782">
        <f t="shared" si="298"/>
        <v>0</v>
      </c>
      <c r="AW548" s="1782">
        <f t="shared" si="299"/>
        <v>0</v>
      </c>
      <c r="AX548" s="178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9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0"/>
      <c r="AV549" s="1782">
        <f t="shared" si="298"/>
        <v>0</v>
      </c>
      <c r="AW549" s="1782">
        <f t="shared" si="299"/>
        <v>0</v>
      </c>
      <c r="AX549" s="178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9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0"/>
      <c r="AV550" s="1782">
        <f t="shared" si="298"/>
        <v>0</v>
      </c>
      <c r="AW550" s="1782">
        <f t="shared" si="299"/>
        <v>0</v>
      </c>
      <c r="AX550" s="178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9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0"/>
      <c r="AV551" s="1782">
        <f t="shared" si="298"/>
        <v>0</v>
      </c>
      <c r="AW551" s="1782">
        <f t="shared" si="299"/>
        <v>0</v>
      </c>
      <c r="AX551" s="178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9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0"/>
      <c r="AV552" s="1782">
        <f t="shared" si="298"/>
        <v>0</v>
      </c>
      <c r="AW552" s="1782">
        <f t="shared" si="299"/>
        <v>0</v>
      </c>
      <c r="AX552" s="178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9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0"/>
      <c r="AV553" s="1782">
        <f t="shared" ref="AV553:AV587" si="330">A553</f>
        <v>0</v>
      </c>
      <c r="AW553" s="1782">
        <f t="shared" ref="AW553:AW587" si="331">B553</f>
        <v>0</v>
      </c>
      <c r="AX553" s="178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9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0"/>
      <c r="AV554" s="1782">
        <f t="shared" si="330"/>
        <v>0</v>
      </c>
      <c r="AW554" s="1782">
        <f t="shared" si="331"/>
        <v>0</v>
      </c>
      <c r="AX554" s="178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9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0"/>
      <c r="AV555" s="1782">
        <f t="shared" si="330"/>
        <v>0</v>
      </c>
      <c r="AW555" s="1782">
        <f t="shared" si="331"/>
        <v>0</v>
      </c>
      <c r="AX555" s="178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9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0"/>
      <c r="AV556" s="1782">
        <f t="shared" si="330"/>
        <v>0</v>
      </c>
      <c r="AW556" s="1782">
        <f t="shared" si="331"/>
        <v>0</v>
      </c>
      <c r="AX556" s="178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9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0"/>
      <c r="AV557" s="1782">
        <f t="shared" si="330"/>
        <v>0</v>
      </c>
      <c r="AW557" s="1782">
        <f t="shared" si="331"/>
        <v>0</v>
      </c>
      <c r="AX557" s="178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9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0"/>
      <c r="AV558" s="1782">
        <f t="shared" si="330"/>
        <v>0</v>
      </c>
      <c r="AW558" s="1782">
        <f t="shared" si="331"/>
        <v>0</v>
      </c>
      <c r="AX558" s="178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9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0"/>
      <c r="AV559" s="1782">
        <f t="shared" si="330"/>
        <v>0</v>
      </c>
      <c r="AW559" s="1782">
        <f t="shared" si="331"/>
        <v>0</v>
      </c>
      <c r="AX559" s="178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9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0"/>
      <c r="AV560" s="1782">
        <f t="shared" si="330"/>
        <v>0</v>
      </c>
      <c r="AW560" s="1782">
        <f t="shared" si="331"/>
        <v>0</v>
      </c>
      <c r="AX560" s="178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9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0"/>
      <c r="AV561" s="1782">
        <f t="shared" si="330"/>
        <v>0</v>
      </c>
      <c r="AW561" s="1782">
        <f t="shared" si="331"/>
        <v>0</v>
      </c>
      <c r="AX561" s="178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9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0"/>
      <c r="AV562" s="1782">
        <f t="shared" si="330"/>
        <v>0</v>
      </c>
      <c r="AW562" s="1782">
        <f t="shared" si="331"/>
        <v>0</v>
      </c>
      <c r="AX562" s="178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9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0"/>
      <c r="AV563" s="1782">
        <f t="shared" si="330"/>
        <v>0</v>
      </c>
      <c r="AW563" s="1782">
        <f t="shared" si="331"/>
        <v>0</v>
      </c>
      <c r="AX563" s="178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9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0"/>
      <c r="AV564" s="1782">
        <f t="shared" si="330"/>
        <v>0</v>
      </c>
      <c r="AW564" s="1782">
        <f t="shared" si="331"/>
        <v>0</v>
      </c>
      <c r="AX564" s="178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9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0"/>
      <c r="AV565" s="1782">
        <f t="shared" si="330"/>
        <v>0</v>
      </c>
      <c r="AW565" s="1782">
        <f t="shared" si="331"/>
        <v>0</v>
      </c>
      <c r="AX565" s="178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9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0"/>
      <c r="AV566" s="1782">
        <f t="shared" si="330"/>
        <v>0</v>
      </c>
      <c r="AW566" s="1782">
        <f t="shared" si="331"/>
        <v>0</v>
      </c>
      <c r="AX566" s="178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9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0"/>
      <c r="AV567" s="1782">
        <f t="shared" si="330"/>
        <v>0</v>
      </c>
      <c r="AW567" s="1782">
        <f t="shared" si="331"/>
        <v>0</v>
      </c>
      <c r="AX567" s="178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9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0"/>
      <c r="AV568" s="1782">
        <f t="shared" si="330"/>
        <v>0</v>
      </c>
      <c r="AW568" s="1782">
        <f t="shared" si="331"/>
        <v>0</v>
      </c>
      <c r="AX568" s="178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9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0"/>
      <c r="AV569" s="1782">
        <f t="shared" si="330"/>
        <v>0</v>
      </c>
      <c r="AW569" s="1782">
        <f t="shared" si="331"/>
        <v>0</v>
      </c>
      <c r="AX569" s="178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9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0"/>
      <c r="AV570" s="1782">
        <f t="shared" si="330"/>
        <v>0</v>
      </c>
      <c r="AW570" s="1782">
        <f t="shared" si="331"/>
        <v>0</v>
      </c>
      <c r="AX570" s="178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9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0"/>
      <c r="AV571" s="1782">
        <f t="shared" si="330"/>
        <v>0</v>
      </c>
      <c r="AW571" s="1782">
        <f t="shared" si="331"/>
        <v>0</v>
      </c>
      <c r="AX571" s="178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9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0"/>
      <c r="AV572" s="1782">
        <f t="shared" si="330"/>
        <v>0</v>
      </c>
      <c r="AW572" s="1782">
        <f t="shared" si="331"/>
        <v>0</v>
      </c>
      <c r="AX572" s="178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9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0"/>
      <c r="AV573" s="1782">
        <f t="shared" si="330"/>
        <v>0</v>
      </c>
      <c r="AW573" s="1782">
        <f t="shared" si="331"/>
        <v>0</v>
      </c>
      <c r="AX573" s="178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9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0"/>
      <c r="AV574" s="1782">
        <f t="shared" si="330"/>
        <v>0</v>
      </c>
      <c r="AW574" s="1782">
        <f t="shared" si="331"/>
        <v>0</v>
      </c>
      <c r="AX574" s="178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9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0"/>
      <c r="AV575" s="1782">
        <f t="shared" si="330"/>
        <v>0</v>
      </c>
      <c r="AW575" s="1782">
        <f t="shared" si="331"/>
        <v>0</v>
      </c>
      <c r="AX575" s="178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9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0"/>
      <c r="AV576" s="1782">
        <f t="shared" si="330"/>
        <v>0</v>
      </c>
      <c r="AW576" s="1782">
        <f t="shared" si="331"/>
        <v>0</v>
      </c>
      <c r="AX576" s="178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9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0"/>
      <c r="AV577" s="1782">
        <f t="shared" si="330"/>
        <v>0</v>
      </c>
      <c r="AW577" s="1782">
        <f t="shared" si="331"/>
        <v>0</v>
      </c>
      <c r="AX577" s="178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9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0"/>
      <c r="AV578" s="1782">
        <f t="shared" si="330"/>
        <v>0</v>
      </c>
      <c r="AW578" s="1782">
        <f t="shared" si="331"/>
        <v>0</v>
      </c>
      <c r="AX578" s="178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9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0"/>
      <c r="AV579" s="1782">
        <f t="shared" si="330"/>
        <v>0</v>
      </c>
      <c r="AW579" s="1782">
        <f t="shared" si="331"/>
        <v>0</v>
      </c>
      <c r="AX579" s="178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9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0"/>
      <c r="AV580" s="1782">
        <f t="shared" si="330"/>
        <v>0</v>
      </c>
      <c r="AW580" s="1782">
        <f t="shared" si="331"/>
        <v>0</v>
      </c>
      <c r="AX580" s="178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9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0"/>
      <c r="AV581" s="1782">
        <f t="shared" si="330"/>
        <v>0</v>
      </c>
      <c r="AW581" s="1782">
        <f t="shared" si="331"/>
        <v>0</v>
      </c>
      <c r="AX581" s="178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9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0"/>
      <c r="AV582" s="1782">
        <f t="shared" si="330"/>
        <v>0</v>
      </c>
      <c r="AW582" s="1782">
        <f t="shared" si="331"/>
        <v>0</v>
      </c>
      <c r="AX582" s="178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9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0"/>
      <c r="AV583" s="1782">
        <f t="shared" si="330"/>
        <v>0</v>
      </c>
      <c r="AW583" s="1782">
        <f t="shared" si="331"/>
        <v>0</v>
      </c>
      <c r="AX583" s="178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9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0"/>
      <c r="AV584" s="1782">
        <f t="shared" si="330"/>
        <v>0</v>
      </c>
      <c r="AW584" s="1782">
        <f t="shared" si="331"/>
        <v>0</v>
      </c>
      <c r="AX584" s="178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9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35"/>
      <c r="AV585" s="1782">
        <f t="shared" si="330"/>
        <v>0</v>
      </c>
      <c r="AW585" s="1782">
        <f t="shared" si="331"/>
        <v>0</v>
      </c>
      <c r="AX585" s="178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9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35"/>
      <c r="AV586" s="1782">
        <f t="shared" si="330"/>
        <v>0</v>
      </c>
      <c r="AW586" s="1782">
        <f t="shared" si="331"/>
        <v>0</v>
      </c>
      <c r="AX586" s="178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9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35"/>
      <c r="AV587" s="1782">
        <f t="shared" si="330"/>
        <v>0</v>
      </c>
      <c r="AW587" s="1782">
        <f t="shared" si="331"/>
        <v>0</v>
      </c>
      <c r="AX587" s="178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07" customWidth="1"/>
    <col min="2" max="2" width="10.25" style="2207" customWidth="1"/>
    <col min="3" max="3" width="18.5" style="2207" customWidth="1"/>
    <col min="4" max="4" width="11.625" style="2207" customWidth="1"/>
    <col min="5" max="5" width="13.375" style="2207" customWidth="1"/>
    <col min="6" max="8" width="11.5" style="2207" customWidth="1"/>
    <col min="9" max="9" width="11.125" style="2207" customWidth="1"/>
    <col min="10" max="10" width="3.125" style="2207" customWidth="1"/>
    <col min="11" max="16" width="10" style="2207" customWidth="1"/>
    <col min="17" max="17" width="2.625" style="2207" customWidth="1"/>
    <col min="18" max="18" width="9.375" style="2207" bestFit="1" customWidth="1"/>
    <col min="19" max="19" width="10.5" style="2207" bestFit="1" customWidth="1"/>
    <col min="20" max="16384" width="9.25" style="2207"/>
  </cols>
  <sheetData>
    <row r="1" spans="1:16" ht="18.75">
      <c r="A1" s="2206" t="s">
        <v>1926</v>
      </c>
      <c r="B1" s="1381"/>
      <c r="C1" s="1381"/>
      <c r="D1" s="1381"/>
      <c r="E1" s="1381"/>
      <c r="F1" s="1381"/>
      <c r="G1" s="1381"/>
      <c r="H1" s="1381"/>
      <c r="I1" s="1381"/>
      <c r="J1" s="1381"/>
      <c r="K1" s="1381"/>
      <c r="L1" s="1381"/>
      <c r="M1" s="1381"/>
      <c r="N1" s="1381"/>
      <c r="O1" s="1381"/>
      <c r="P1" s="1381"/>
    </row>
    <row r="2" spans="1:16" ht="15">
      <c r="A2" s="3139" t="s">
        <v>1927</v>
      </c>
      <c r="B2" s="3139"/>
      <c r="C2" s="3139"/>
      <c r="D2" s="957" t="s">
        <v>1903</v>
      </c>
      <c r="E2" s="2208" t="s">
        <v>1904</v>
      </c>
      <c r="F2" s="1381"/>
      <c r="G2" s="2209"/>
      <c r="H2" s="2210"/>
      <c r="I2" s="2211" t="s">
        <v>1928</v>
      </c>
      <c r="J2" s="1381"/>
      <c r="K2" s="1381"/>
      <c r="L2" s="1381"/>
      <c r="M2" s="1381"/>
      <c r="N2" s="1416"/>
      <c r="O2" s="1381"/>
      <c r="P2" s="1381"/>
    </row>
    <row r="3" spans="1:16" ht="15.75" thickBot="1">
      <c r="A3" s="3140" t="s">
        <v>1901</v>
      </c>
      <c r="B3" s="3140"/>
      <c r="C3" s="3140"/>
      <c r="D3" s="45">
        <f>'数据-基础表'!AY6</f>
        <v>19053.5</v>
      </c>
      <c r="E3" s="45">
        <f>'数据-基础表'!AZ5</f>
        <v>66687.25</v>
      </c>
      <c r="F3" s="1381"/>
      <c r="G3" s="1388"/>
      <c r="H3" s="1236" t="s">
        <v>1902</v>
      </c>
      <c r="I3" s="54">
        <f>ROUND('数据-基础表'!B3/'数据-基础表'!A3,2)</f>
        <v>3.5</v>
      </c>
      <c r="J3" s="1381"/>
      <c r="K3" s="1381"/>
      <c r="L3" s="1381"/>
      <c r="M3" s="1381"/>
      <c r="N3" s="1416"/>
      <c r="O3" s="1381"/>
      <c r="P3" s="1381"/>
    </row>
    <row r="4" spans="1:16" ht="15">
      <c r="A4" s="3141"/>
      <c r="B4" s="3142"/>
      <c r="C4" s="3143"/>
      <c r="D4" s="2212" t="s">
        <v>1903</v>
      </c>
      <c r="E4" s="2213" t="s">
        <v>1904</v>
      </c>
      <c r="F4" s="1381"/>
      <c r="G4" s="2214" t="s">
        <v>1929</v>
      </c>
      <c r="H4" s="1236" t="s">
        <v>1909</v>
      </c>
      <c r="I4" s="54">
        <f>ROUND(SUMIF('数据-基础表'!I9:AS9,"地上",'数据-基础表'!I5:AS5)/'数据-基础表'!A3,2)</f>
        <v>3.5</v>
      </c>
      <c r="J4" s="1381"/>
      <c r="K4" s="1381"/>
      <c r="L4" s="1381"/>
      <c r="M4" s="1381"/>
      <c r="N4" s="1416"/>
      <c r="O4" s="1381"/>
      <c r="P4" s="1381"/>
    </row>
    <row r="5" spans="1:16">
      <c r="A5" s="46" t="s">
        <v>1905</v>
      </c>
      <c r="B5" s="3144" t="s">
        <v>1906</v>
      </c>
      <c r="C5" s="3144"/>
      <c r="D5" s="47">
        <f>ROUND($D$3*E5/$E$3,2)</f>
        <v>0</v>
      </c>
      <c r="E5" s="48">
        <f>SUMIF('数据-基础表'!$11:$11,"住宅",'数据-基础表'!$5:$5)</f>
        <v>0</v>
      </c>
      <c r="F5" s="1381"/>
      <c r="G5" s="1388"/>
      <c r="H5" s="1236" t="s">
        <v>1902</v>
      </c>
      <c r="I5" s="54">
        <f>ROUND(E31/D31,2)</f>
        <v>3.5</v>
      </c>
      <c r="J5" s="1381"/>
      <c r="K5" s="1381"/>
      <c r="L5" s="1381"/>
      <c r="M5" s="1381"/>
      <c r="N5" s="1381"/>
      <c r="O5" s="1381"/>
      <c r="P5" s="1381"/>
    </row>
    <row r="6" spans="1:16" ht="15" thickBot="1">
      <c r="A6" s="2215"/>
      <c r="B6" s="3144" t="s">
        <v>1907</v>
      </c>
      <c r="C6" s="3144"/>
      <c r="D6" s="47">
        <f>ROUND($D$3*E6/$E$3,2)</f>
        <v>19053.5</v>
      </c>
      <c r="E6" s="48">
        <f>E3-E5</f>
        <v>66687.25</v>
      </c>
      <c r="F6" s="1381"/>
      <c r="G6" s="2216" t="s">
        <v>1908</v>
      </c>
      <c r="H6" s="1388" t="s">
        <v>1909</v>
      </c>
      <c r="I6" s="929">
        <f>ROUND(F31/D31,2)</f>
        <v>3.5</v>
      </c>
      <c r="J6" s="1381"/>
      <c r="K6" s="1381"/>
      <c r="L6" s="1381"/>
      <c r="M6" s="1381"/>
      <c r="N6" s="1381"/>
      <c r="O6" s="1381"/>
      <c r="P6" s="1381"/>
    </row>
    <row r="7" spans="1:16" ht="15">
      <c r="A7" s="3136"/>
      <c r="B7" s="3137"/>
      <c r="C7" s="3138"/>
      <c r="D7" s="2212" t="s">
        <v>1903</v>
      </c>
      <c r="E7" s="2217" t="s">
        <v>1910</v>
      </c>
      <c r="F7" s="1381"/>
      <c r="G7" s="2209" t="s">
        <v>1911</v>
      </c>
      <c r="H7" s="63"/>
      <c r="I7" s="56"/>
      <c r="J7" s="1381"/>
      <c r="K7" s="1381"/>
      <c r="L7" s="1381"/>
      <c r="M7" s="1381"/>
      <c r="N7" s="1381"/>
      <c r="O7" s="1381"/>
      <c r="P7" s="1381"/>
    </row>
    <row r="8" spans="1:16">
      <c r="A8" s="46" t="s">
        <v>1912</v>
      </c>
      <c r="B8" s="49" t="s">
        <v>1913</v>
      </c>
      <c r="C8" s="47" t="s">
        <v>1914</v>
      </c>
      <c r="D8" s="47">
        <f t="shared" ref="D8:D15" si="0">ROUND($D$3*E8/$E$3,2)</f>
        <v>19053.5</v>
      </c>
      <c r="E8" s="50">
        <f>SUMIF('数据-基础表'!BB10:BK10,"地上",'数据-基础表'!BB5:BK5)</f>
        <v>66687.25</v>
      </c>
      <c r="F8" s="1381"/>
      <c r="G8" s="2218"/>
      <c r="H8" s="2218"/>
      <c r="I8" s="1381"/>
      <c r="J8" s="1381"/>
      <c r="K8" s="1381"/>
      <c r="L8" s="1381"/>
      <c r="M8" s="1381"/>
      <c r="N8" s="1381"/>
      <c r="O8" s="1381"/>
      <c r="P8" s="1381"/>
    </row>
    <row r="9" spans="1:16">
      <c r="A9" s="2219"/>
      <c r="B9" s="2220"/>
      <c r="C9" s="47" t="s">
        <v>1915</v>
      </c>
      <c r="D9" s="47">
        <f t="shared" si="0"/>
        <v>0</v>
      </c>
      <c r="E9" s="51">
        <v>0</v>
      </c>
      <c r="F9" s="1381"/>
      <c r="G9" s="2218"/>
      <c r="H9" s="2218"/>
      <c r="I9" s="1381"/>
      <c r="J9" s="1381"/>
      <c r="K9" s="1381"/>
      <c r="L9" s="1381"/>
      <c r="M9" s="1381"/>
      <c r="N9" s="1381"/>
      <c r="O9" s="1381"/>
      <c r="P9" s="1381"/>
    </row>
    <row r="10" spans="1:16">
      <c r="A10" s="2219"/>
      <c r="B10" s="2220"/>
      <c r="C10" s="47" t="s">
        <v>1924</v>
      </c>
      <c r="D10" s="47">
        <f t="shared" si="0"/>
        <v>0</v>
      </c>
      <c r="E10" s="50">
        <f>SUMPRODUCT(('数据-基础表'!BB10:BK10="地下")*('数据-基础表'!BB11:BK11="商业")*('数据-基础表'!BB5:BK5))</f>
        <v>0</v>
      </c>
      <c r="F10" s="1381"/>
      <c r="G10" s="2218"/>
      <c r="H10" s="2218"/>
      <c r="I10" s="1381"/>
      <c r="J10" s="1381"/>
      <c r="K10" s="1381"/>
      <c r="L10" s="1381"/>
      <c r="M10" s="1381"/>
      <c r="N10" s="1381"/>
      <c r="O10" s="1381"/>
      <c r="P10" s="1381"/>
    </row>
    <row r="11" spans="1:16">
      <c r="A11" s="2219"/>
      <c r="B11" s="2220"/>
      <c r="C11" s="47" t="s">
        <v>1916</v>
      </c>
      <c r="D11" s="47">
        <f t="shared" si="0"/>
        <v>0</v>
      </c>
      <c r="E11" s="50">
        <f>SUMPRODUCT(('数据-基础表'!BB10:BK10="地下")*('数据-基础表'!BB11:BK11="办公")*('数据-基础表'!BB5:BK5))+'数据-基础表'!BP5</f>
        <v>0</v>
      </c>
      <c r="F11" s="1381"/>
      <c r="G11" s="2218"/>
      <c r="H11" s="2218"/>
      <c r="I11" s="1381"/>
      <c r="J11" s="1381"/>
      <c r="K11" s="1381"/>
      <c r="L11" s="1381"/>
      <c r="M11" s="1381"/>
      <c r="N11" s="1381"/>
      <c r="O11" s="1381"/>
      <c r="P11" s="1381"/>
    </row>
    <row r="12" spans="1:16">
      <c r="A12" s="2219"/>
      <c r="B12" s="2220"/>
      <c r="C12" s="47" t="s">
        <v>1917</v>
      </c>
      <c r="D12" s="47">
        <f t="shared" si="0"/>
        <v>0</v>
      </c>
      <c r="E12" s="50">
        <f>SUMPRODUCT(('数据-基础表'!BB10:BK10="地下")*('数据-基础表'!BB11:BK11="仓储")*('数据-基础表'!BB5:BK5))</f>
        <v>0</v>
      </c>
      <c r="F12" s="1381"/>
      <c r="G12" s="2218"/>
      <c r="H12" s="2218"/>
      <c r="I12" s="1381"/>
      <c r="J12" s="1381"/>
      <c r="K12" s="1381"/>
      <c r="L12" s="1381"/>
      <c r="M12" s="1381"/>
      <c r="N12" s="1381"/>
      <c r="O12" s="1381"/>
      <c r="P12" s="1381"/>
    </row>
    <row r="13" spans="1:16">
      <c r="A13" s="2219"/>
      <c r="B13" s="2220"/>
      <c r="C13" s="47" t="s">
        <v>1918</v>
      </c>
      <c r="D13" s="47">
        <f t="shared" si="0"/>
        <v>0</v>
      </c>
      <c r="E13" s="50">
        <f>SUMPRODUCT(('数据-基础表'!BB10:BK10="地下")*('数据-基础表'!BB11:BK11="车库")*('数据-基础表'!BB5:BK5))</f>
        <v>0</v>
      </c>
      <c r="F13" s="1381"/>
      <c r="G13" s="2218"/>
      <c r="H13" s="2218"/>
      <c r="I13" s="1381"/>
      <c r="J13" s="1381"/>
      <c r="K13" s="1381"/>
      <c r="L13" s="1381"/>
      <c r="M13" s="1381"/>
      <c r="N13" s="1381"/>
      <c r="O13" s="1381"/>
      <c r="P13" s="1381"/>
    </row>
    <row r="14" spans="1:16">
      <c r="A14" s="2219"/>
      <c r="B14" s="2220"/>
      <c r="C14" s="47" t="s">
        <v>1930</v>
      </c>
      <c r="D14" s="47">
        <f t="shared" si="0"/>
        <v>0</v>
      </c>
      <c r="E14" s="50">
        <f>SUMPRODUCT(('数据-基础表'!BB10:BK10="地下")*('数据-基础表'!BB11:BK11="车库—商业")*('数据-基础表'!BB5:BK5))</f>
        <v>0</v>
      </c>
      <c r="F14" s="1381"/>
      <c r="G14" s="2218"/>
      <c r="H14" s="2218"/>
      <c r="I14" s="1381"/>
      <c r="J14" s="1381"/>
      <c r="K14" s="1381"/>
      <c r="L14" s="1381"/>
      <c r="M14" s="1381"/>
      <c r="N14" s="1381"/>
      <c r="O14" s="1381"/>
      <c r="P14" s="1381"/>
    </row>
    <row r="15" spans="1:16" ht="15" thickBot="1">
      <c r="A15" s="2219"/>
      <c r="B15" s="2220"/>
      <c r="C15" s="47" t="s">
        <v>1925</v>
      </c>
      <c r="D15" s="47">
        <f t="shared" si="0"/>
        <v>0</v>
      </c>
      <c r="E15" s="50">
        <f>SUMPRODUCT(('数据-基础表'!BB10:BK10="地下")*('数据-基础表'!BB11:BK11="车库—办公")*('数据-基础表'!BB5:BK5))</f>
        <v>0</v>
      </c>
      <c r="F15" s="1381"/>
      <c r="G15" s="2218"/>
      <c r="H15" s="2218"/>
      <c r="I15" s="1381"/>
      <c r="J15" s="1381"/>
      <c r="K15" s="1381"/>
      <c r="L15" s="1381"/>
      <c r="M15" s="1381"/>
      <c r="N15" s="1381"/>
      <c r="O15" s="1381"/>
      <c r="P15" s="1381"/>
    </row>
    <row r="16" spans="1:16" ht="15.75" thickBot="1">
      <c r="A16" s="2215"/>
      <c r="B16" s="2220"/>
      <c r="C16" s="49" t="s">
        <v>1919</v>
      </c>
      <c r="D16" s="49">
        <f>SUM(D8:D15)</f>
        <v>19053.5</v>
      </c>
      <c r="E16" s="52">
        <f>SUM(E8:E15)</f>
        <v>66687.25</v>
      </c>
      <c r="F16" s="1381"/>
      <c r="G16" s="2218"/>
      <c r="H16" s="2221" t="s">
        <v>1931</v>
      </c>
      <c r="I16" s="2222"/>
      <c r="J16" s="1381"/>
      <c r="K16" s="3133" t="s">
        <v>1931</v>
      </c>
      <c r="L16" s="3134"/>
      <c r="M16" s="3134"/>
      <c r="N16" s="3134"/>
      <c r="O16" s="3134"/>
      <c r="P16" s="3135"/>
    </row>
    <row r="17" spans="1:19" ht="15">
      <c r="A17" s="2223" t="s">
        <v>1932</v>
      </c>
      <c r="B17" s="2224" t="s">
        <v>1933</v>
      </c>
      <c r="C17" s="2225" t="s">
        <v>1934</v>
      </c>
      <c r="D17" s="2226" t="s">
        <v>1922</v>
      </c>
      <c r="E17" s="2227" t="s">
        <v>1923</v>
      </c>
      <c r="F17" s="2228"/>
      <c r="G17" s="2229"/>
      <c r="H17" s="2230" t="s">
        <v>1935</v>
      </c>
      <c r="I17" s="2231" t="s">
        <v>1920</v>
      </c>
      <c r="J17" s="1381"/>
      <c r="K17" s="3130" t="s">
        <v>1936</v>
      </c>
      <c r="L17" s="3131"/>
      <c r="M17" s="3132"/>
      <c r="N17" s="3130" t="s">
        <v>1937</v>
      </c>
      <c r="O17" s="3131"/>
      <c r="P17" s="3132"/>
      <c r="R17" s="2209" t="s">
        <v>1938</v>
      </c>
      <c r="S17" s="63"/>
    </row>
    <row r="18" spans="1:19" ht="15">
      <c r="A18" s="2219"/>
      <c r="B18" s="2232"/>
      <c r="C18" s="2233"/>
      <c r="D18" s="2234"/>
      <c r="E18" s="2235" t="s">
        <v>1939</v>
      </c>
      <c r="F18" s="2236" t="s">
        <v>1940</v>
      </c>
      <c r="G18" s="2237" t="s">
        <v>1941</v>
      </c>
      <c r="H18" s="1251" t="s">
        <v>1942</v>
      </c>
      <c r="I18" s="2238" t="s">
        <v>1943</v>
      </c>
      <c r="J18" s="1381"/>
      <c r="K18" s="1251" t="s">
        <v>1944</v>
      </c>
      <c r="L18" s="2239" t="s">
        <v>1945</v>
      </c>
      <c r="M18" s="1035" t="s">
        <v>1946</v>
      </c>
      <c r="N18" s="1251" t="s">
        <v>1944</v>
      </c>
      <c r="O18" s="2239" t="s">
        <v>1945</v>
      </c>
      <c r="P18" s="1035" t="s">
        <v>1946</v>
      </c>
      <c r="R18" s="1236" t="s">
        <v>1947</v>
      </c>
      <c r="S18" s="1236" t="s">
        <v>1948</v>
      </c>
    </row>
    <row r="19" spans="1:19">
      <c r="A19" s="2240"/>
      <c r="B19" s="49" t="s">
        <v>1921</v>
      </c>
      <c r="C19" s="2947" t="s">
        <v>4540</v>
      </c>
      <c r="D19" s="47">
        <f>ROUND($D$3*E19/$E$3,2)</f>
        <v>19053.5</v>
      </c>
      <c r="E19" s="55">
        <f t="shared" ref="E19:E26" si="1">SUM(F19:G19)</f>
        <v>66687.25</v>
      </c>
      <c r="F19" s="56">
        <f>'数据-基础表'!I5</f>
        <v>66687.25</v>
      </c>
      <c r="G19" s="57"/>
      <c r="H19" s="720">
        <f>ROUND($D$3*I19/$E$3,2)</f>
        <v>0</v>
      </c>
      <c r="I19" s="50">
        <f t="shared" ref="I19:I26" si="2">IF($I$17="自定义",P19,M19)</f>
        <v>0</v>
      </c>
      <c r="J19" s="1381"/>
      <c r="K19" s="1380">
        <f t="shared" ref="K19:K26" si="3">ROUND(E$28*E19/E$27,2)</f>
        <v>0</v>
      </c>
      <c r="L19" s="1236">
        <f t="shared" ref="L19:L26" si="4">ROUND(IF(COUNTIF(C19,"*住宅*")&gt;0,E$29*E19/E$32,0),2)</f>
        <v>0</v>
      </c>
      <c r="M19" s="1392">
        <f>K19+L19</f>
        <v>0</v>
      </c>
      <c r="N19" s="2241"/>
      <c r="O19" s="2242"/>
      <c r="P19" s="1392">
        <f>N19+O19</f>
        <v>0</v>
      </c>
      <c r="R19" s="1236">
        <f t="shared" ref="R19:S26" si="5">D19+H19</f>
        <v>19053.5</v>
      </c>
      <c r="S19" s="1237">
        <f t="shared" si="5"/>
        <v>66687.25</v>
      </c>
    </row>
    <row r="20" spans="1:19">
      <c r="A20" s="2243"/>
      <c r="B20" s="49" t="s">
        <v>1949</v>
      </c>
      <c r="C20" s="2947"/>
      <c r="D20" s="47">
        <f t="shared" ref="D20:D26" si="6">ROUND($D$3*E20/$E$3,2)</f>
        <v>0</v>
      </c>
      <c r="E20" s="55">
        <f t="shared" si="1"/>
        <v>0</v>
      </c>
      <c r="F20" s="56"/>
      <c r="G20" s="57"/>
      <c r="H20" s="720">
        <f t="shared" ref="H20:H26" si="7">ROUND($D$3*I20/$E$3,2)</f>
        <v>0</v>
      </c>
      <c r="I20" s="50">
        <f t="shared" si="2"/>
        <v>0</v>
      </c>
      <c r="J20" s="1381"/>
      <c r="K20" s="1380">
        <f t="shared" si="3"/>
        <v>0</v>
      </c>
      <c r="L20" s="1236">
        <f t="shared" si="4"/>
        <v>0</v>
      </c>
      <c r="M20" s="1392">
        <f t="shared" ref="M20:M26" si="8">K20+L20</f>
        <v>0</v>
      </c>
      <c r="N20" s="2241"/>
      <c r="O20" s="2242"/>
      <c r="P20" s="1392">
        <f t="shared" ref="P20:P26" si="9">N20+O20</f>
        <v>0</v>
      </c>
      <c r="R20" s="1236">
        <f t="shared" si="5"/>
        <v>0</v>
      </c>
      <c r="S20" s="1237">
        <f t="shared" si="5"/>
        <v>0</v>
      </c>
    </row>
    <row r="21" spans="1:19">
      <c r="A21" s="2243"/>
      <c r="B21" s="49" t="s">
        <v>1949</v>
      </c>
      <c r="C21" s="2947"/>
      <c r="D21" s="47">
        <f t="shared" si="6"/>
        <v>0</v>
      </c>
      <c r="E21" s="55">
        <f t="shared" si="1"/>
        <v>0</v>
      </c>
      <c r="F21" s="56"/>
      <c r="G21" s="57"/>
      <c r="H21" s="720">
        <f t="shared" si="7"/>
        <v>0</v>
      </c>
      <c r="I21" s="50">
        <f t="shared" si="2"/>
        <v>0</v>
      </c>
      <c r="J21" s="1381"/>
      <c r="K21" s="1380">
        <f t="shared" si="3"/>
        <v>0</v>
      </c>
      <c r="L21" s="1236">
        <f t="shared" si="4"/>
        <v>0</v>
      </c>
      <c r="M21" s="1392">
        <f t="shared" si="8"/>
        <v>0</v>
      </c>
      <c r="N21" s="2241"/>
      <c r="O21" s="2242"/>
      <c r="P21" s="1392">
        <f t="shared" si="9"/>
        <v>0</v>
      </c>
      <c r="R21" s="1236">
        <f t="shared" si="5"/>
        <v>0</v>
      </c>
      <c r="S21" s="1237">
        <f t="shared" si="5"/>
        <v>0</v>
      </c>
    </row>
    <row r="22" spans="1:19">
      <c r="A22" s="2243"/>
      <c r="B22" s="49" t="s">
        <v>1949</v>
      </c>
      <c r="C22" s="59"/>
      <c r="D22" s="47">
        <f t="shared" si="6"/>
        <v>0</v>
      </c>
      <c r="E22" s="55">
        <f t="shared" si="1"/>
        <v>0</v>
      </c>
      <c r="F22" s="60"/>
      <c r="G22" s="61"/>
      <c r="H22" s="720">
        <f t="shared" si="7"/>
        <v>0</v>
      </c>
      <c r="I22" s="50">
        <f t="shared" si="2"/>
        <v>0</v>
      </c>
      <c r="J22" s="1381"/>
      <c r="K22" s="1380">
        <f t="shared" si="3"/>
        <v>0</v>
      </c>
      <c r="L22" s="1236">
        <f t="shared" si="4"/>
        <v>0</v>
      </c>
      <c r="M22" s="1392">
        <f t="shared" si="8"/>
        <v>0</v>
      </c>
      <c r="N22" s="2241"/>
      <c r="O22" s="2242"/>
      <c r="P22" s="1392">
        <f t="shared" si="9"/>
        <v>0</v>
      </c>
      <c r="R22" s="1236">
        <f t="shared" si="5"/>
        <v>0</v>
      </c>
      <c r="S22" s="1237">
        <f t="shared" si="5"/>
        <v>0</v>
      </c>
    </row>
    <row r="23" spans="1:19">
      <c r="A23" s="2243"/>
      <c r="B23" s="49" t="s">
        <v>1949</v>
      </c>
      <c r="C23" s="59"/>
      <c r="D23" s="47">
        <f>ROUND($D$3*E23/$E$3,2)</f>
        <v>0</v>
      </c>
      <c r="E23" s="55">
        <f>SUM(F23:G23)</f>
        <v>0</v>
      </c>
      <c r="F23" s="60"/>
      <c r="G23" s="61"/>
      <c r="H23" s="720">
        <f>ROUND($D$3*I23/$E$3,2)</f>
        <v>0</v>
      </c>
      <c r="I23" s="50">
        <f t="shared" si="2"/>
        <v>0</v>
      </c>
      <c r="J23" s="1381"/>
      <c r="K23" s="1380">
        <f t="shared" si="3"/>
        <v>0</v>
      </c>
      <c r="L23" s="1236">
        <f t="shared" si="4"/>
        <v>0</v>
      </c>
      <c r="M23" s="1392">
        <f t="shared" si="8"/>
        <v>0</v>
      </c>
      <c r="N23" s="2241"/>
      <c r="O23" s="2242"/>
      <c r="P23" s="1392">
        <f t="shared" si="9"/>
        <v>0</v>
      </c>
      <c r="R23" s="1236">
        <f t="shared" si="5"/>
        <v>0</v>
      </c>
      <c r="S23" s="1237">
        <f t="shared" si="5"/>
        <v>0</v>
      </c>
    </row>
    <row r="24" spans="1:19">
      <c r="A24" s="2243"/>
      <c r="B24" s="49" t="s">
        <v>1949</v>
      </c>
      <c r="C24" s="59"/>
      <c r="D24" s="47">
        <f>ROUND($D$3*E24/$E$3,2)</f>
        <v>0</v>
      </c>
      <c r="E24" s="55">
        <f>SUM(F24:G24)</f>
        <v>0</v>
      </c>
      <c r="F24" s="60"/>
      <c r="G24" s="61"/>
      <c r="H24" s="720">
        <f>ROUND($D$3*I24/$E$3,2)</f>
        <v>0</v>
      </c>
      <c r="I24" s="50">
        <f t="shared" si="2"/>
        <v>0</v>
      </c>
      <c r="J24" s="1381"/>
      <c r="K24" s="1380">
        <f t="shared" si="3"/>
        <v>0</v>
      </c>
      <c r="L24" s="1236">
        <f t="shared" si="4"/>
        <v>0</v>
      </c>
      <c r="M24" s="1392">
        <f t="shared" si="8"/>
        <v>0</v>
      </c>
      <c r="N24" s="2241"/>
      <c r="O24" s="2242"/>
      <c r="P24" s="1392">
        <f t="shared" si="9"/>
        <v>0</v>
      </c>
      <c r="R24" s="1236">
        <f t="shared" si="5"/>
        <v>0</v>
      </c>
      <c r="S24" s="1237">
        <f t="shared" si="5"/>
        <v>0</v>
      </c>
    </row>
    <row r="25" spans="1:19">
      <c r="A25" s="2243"/>
      <c r="B25" s="49" t="s">
        <v>1949</v>
      </c>
      <c r="C25" s="59"/>
      <c r="D25" s="47">
        <f t="shared" si="6"/>
        <v>0</v>
      </c>
      <c r="E25" s="55">
        <f t="shared" si="1"/>
        <v>0</v>
      </c>
      <c r="F25" s="60"/>
      <c r="G25" s="61"/>
      <c r="H25" s="46">
        <f t="shared" si="7"/>
        <v>0</v>
      </c>
      <c r="I25" s="50">
        <f t="shared" si="2"/>
        <v>0</v>
      </c>
      <c r="J25" s="1381"/>
      <c r="K25" s="1380">
        <f t="shared" si="3"/>
        <v>0</v>
      </c>
      <c r="L25" s="1236">
        <f t="shared" si="4"/>
        <v>0</v>
      </c>
      <c r="M25" s="1392">
        <f t="shared" si="8"/>
        <v>0</v>
      </c>
      <c r="N25" s="2241"/>
      <c r="O25" s="2242"/>
      <c r="P25" s="1392">
        <f t="shared" si="9"/>
        <v>0</v>
      </c>
      <c r="R25" s="1236">
        <f t="shared" si="5"/>
        <v>0</v>
      </c>
      <c r="S25" s="1237">
        <f t="shared" si="5"/>
        <v>0</v>
      </c>
    </row>
    <row r="26" spans="1:19">
      <c r="A26" s="2243"/>
      <c r="B26" s="49" t="s">
        <v>1949</v>
      </c>
      <c r="C26" s="62"/>
      <c r="D26" s="47">
        <f t="shared" si="6"/>
        <v>0</v>
      </c>
      <c r="E26" s="55">
        <f t="shared" si="1"/>
        <v>0</v>
      </c>
      <c r="F26" s="60"/>
      <c r="G26" s="61"/>
      <c r="H26" s="46">
        <f t="shared" si="7"/>
        <v>0</v>
      </c>
      <c r="I26" s="50">
        <f t="shared" si="2"/>
        <v>0</v>
      </c>
      <c r="J26" s="1381"/>
      <c r="K26" s="1387">
        <f t="shared" si="3"/>
        <v>0</v>
      </c>
      <c r="L26" s="1388">
        <f t="shared" si="4"/>
        <v>0</v>
      </c>
      <c r="M26" s="66">
        <f t="shared" si="8"/>
        <v>0</v>
      </c>
      <c r="N26" s="2244"/>
      <c r="O26" s="2245"/>
      <c r="P26" s="66">
        <f t="shared" si="9"/>
        <v>0</v>
      </c>
      <c r="R26" s="1236">
        <f t="shared" si="5"/>
        <v>0</v>
      </c>
      <c r="S26" s="1237">
        <f t="shared" si="5"/>
        <v>0</v>
      </c>
    </row>
    <row r="27" spans="1:19" ht="15.75" thickBot="1">
      <c r="A27" s="2243"/>
      <c r="B27" s="47"/>
      <c r="C27" s="2246" t="s">
        <v>1950</v>
      </c>
      <c r="D27" s="1382">
        <f>SUM(D19:D26)</f>
        <v>19053.5</v>
      </c>
      <c r="E27" s="1383">
        <f>IF(SUM(E19:E26)='数据-基础表'!BA5,SUM(E19:E26),IF(F27="地上面积有误","面积有误","地下面积有误"))</f>
        <v>66687.25</v>
      </c>
      <c r="F27" s="1382">
        <f>IF(SUM(F19:F26)=E8,SUM(F19:F26),"地上面积有误")</f>
        <v>66687.25</v>
      </c>
      <c r="G27" s="1384">
        <f>SUM(G19:G26)</f>
        <v>0</v>
      </c>
      <c r="H27" s="1385">
        <f>SUM(H19:H26)</f>
        <v>0</v>
      </c>
      <c r="I27" s="1386">
        <f>SUM(I19:I26)</f>
        <v>0</v>
      </c>
      <c r="J27" s="1381"/>
      <c r="K27" s="1389">
        <f>SUM(K19:K26)</f>
        <v>0</v>
      </c>
      <c r="L27" s="1390">
        <f>SUM(L19:L26)</f>
        <v>0</v>
      </c>
      <c r="M27" s="1393">
        <f>SUM(M19:M26)</f>
        <v>0</v>
      </c>
      <c r="N27" s="1389">
        <f t="shared" ref="N27:O27" si="10">SUM(N19:N26)</f>
        <v>0</v>
      </c>
      <c r="O27" s="1390">
        <f t="shared" si="10"/>
        <v>0</v>
      </c>
      <c r="P27" s="1391">
        <f>SUM(P19:P26)</f>
        <v>0</v>
      </c>
      <c r="R27" s="1238">
        <f>IF(SUM(R19:R26)=$D$3,SUM(R19:R26),SUM(R19:R26)&amp;"误差"&amp;ROUND(SUM(R19:R26)-$D$3,2))</f>
        <v>19053.5</v>
      </c>
      <c r="S27" s="1236">
        <f>IF(SUM(S19:S26)=$E$3,SUM(S19:S26),SUM(S19:S26)&amp;"误差"&amp;ROUND(SUM(S19:S26)-E3,2))</f>
        <v>66687.25</v>
      </c>
    </row>
    <row r="28" spans="1:19">
      <c r="A28" s="2243"/>
      <c r="B28" s="49" t="s">
        <v>1951</v>
      </c>
      <c r="C28" s="1248" t="s">
        <v>1952</v>
      </c>
      <c r="D28" s="47">
        <f>ROUND($D$3*E28/$E$3,2)</f>
        <v>0</v>
      </c>
      <c r="E28" s="55">
        <f>SUM(F28:G28)</f>
        <v>0</v>
      </c>
      <c r="F28" s="63">
        <f>'数据-基础表'!BQ5+'数据-基础表'!BS5</f>
        <v>0</v>
      </c>
      <c r="G28" s="64">
        <f>'数据-基础表'!BR5+'数据-基础表'!BT5</f>
        <v>0</v>
      </c>
      <c r="H28" s="1381"/>
      <c r="I28" s="1381"/>
      <c r="J28" s="1381"/>
      <c r="K28" s="1381"/>
      <c r="L28" s="1381"/>
      <c r="M28" s="1381"/>
      <c r="N28" s="1381"/>
      <c r="O28" s="1381"/>
      <c r="P28" s="1381"/>
    </row>
    <row r="29" spans="1:19">
      <c r="A29" s="2243"/>
      <c r="B29" s="49" t="s">
        <v>1951</v>
      </c>
      <c r="C29" s="2247" t="s">
        <v>1953</v>
      </c>
      <c r="D29" s="47">
        <f>ROUND($D$3*E29/$E$3,2)</f>
        <v>0</v>
      </c>
      <c r="E29" s="55">
        <f>SUM(F29:G29)</f>
        <v>0</v>
      </c>
      <c r="F29" s="65">
        <f>'数据-基础表'!BM5+'数据-基础表'!BO5</f>
        <v>0</v>
      </c>
      <c r="G29" s="66">
        <f>'数据-基础表'!BN5+'数据-基础表'!BP5</f>
        <v>0</v>
      </c>
      <c r="H29" s="1381"/>
      <c r="I29" s="1381"/>
      <c r="J29" s="1381"/>
      <c r="K29" s="1381"/>
      <c r="L29" s="1381"/>
      <c r="M29" s="1381"/>
      <c r="N29" s="1381"/>
      <c r="O29" s="1381"/>
      <c r="P29" s="1381"/>
    </row>
    <row r="30" spans="1:19" ht="15">
      <c r="A30" s="2243"/>
      <c r="B30" s="49"/>
      <c r="C30" s="2248" t="s">
        <v>1950</v>
      </c>
      <c r="D30" s="1382">
        <f>SUM(D28:D29)</f>
        <v>0</v>
      </c>
      <c r="E30" s="1382">
        <f>SUM(E28:E29)</f>
        <v>0</v>
      </c>
      <c r="F30" s="1382">
        <f>SUM(F28:F29)</f>
        <v>0</v>
      </c>
      <c r="G30" s="1384">
        <f>SUM(G28:G29)</f>
        <v>0</v>
      </c>
      <c r="H30" s="1381"/>
      <c r="I30" s="1381"/>
      <c r="J30" s="1381"/>
      <c r="K30" s="1381"/>
      <c r="L30" s="1381"/>
      <c r="M30" s="1381"/>
      <c r="N30" s="1381"/>
      <c r="O30" s="1381"/>
      <c r="P30" s="1381"/>
    </row>
    <row r="31" spans="1:19" ht="15.75" thickBot="1">
      <c r="A31" s="2249"/>
      <c r="B31" s="2250"/>
      <c r="C31" s="997" t="s">
        <v>1954</v>
      </c>
      <c r="D31" s="726">
        <f>D27+D30</f>
        <v>19053.5</v>
      </c>
      <c r="E31" s="726">
        <f>E27+E30</f>
        <v>66687.25</v>
      </c>
      <c r="F31" s="727">
        <f>F27+F30</f>
        <v>66687.25</v>
      </c>
      <c r="G31" s="728">
        <f>G27+G30</f>
        <v>0</v>
      </c>
      <c r="H31" s="1381"/>
      <c r="I31" s="1381"/>
      <c r="J31" s="1381"/>
      <c r="K31" s="1381"/>
      <c r="L31" s="1381"/>
      <c r="M31" s="1381"/>
      <c r="N31" s="1381"/>
      <c r="O31" s="1381"/>
      <c r="P31" s="1381"/>
    </row>
    <row r="32" spans="1:19">
      <c r="A32" s="2214"/>
      <c r="B32" s="2214" t="s">
        <v>1955</v>
      </c>
      <c r="C32" s="2214"/>
      <c r="D32" s="2214"/>
      <c r="E32" s="1263">
        <f>SUMIF(C19:C26,"*住宅*",E19:E26)</f>
        <v>0</v>
      </c>
      <c r="F32" s="2214"/>
      <c r="G32" s="2214"/>
      <c r="H32" s="1381"/>
      <c r="I32" s="1381"/>
      <c r="J32" s="1381"/>
      <c r="K32" s="1381"/>
      <c r="L32" s="1381"/>
      <c r="M32" s="1381"/>
      <c r="N32" s="1381"/>
      <c r="O32" s="1381"/>
      <c r="P32" s="1381"/>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25" customWidth="1"/>
    <col min="2" max="2" width="12" style="2255" customWidth="1"/>
    <col min="3" max="3" width="10.75" style="2255" customWidth="1"/>
    <col min="4" max="4" width="9.125" style="2326" customWidth="1"/>
    <col min="5" max="5" width="15" style="2255" bestFit="1" customWidth="1"/>
    <col min="6" max="10" width="8.875" style="2255" customWidth="1"/>
    <col min="11" max="12" width="12.375" style="2170" customWidth="1"/>
    <col min="13" max="13" width="8.625" style="2255" customWidth="1"/>
    <col min="14" max="14" width="11.875" style="2255" customWidth="1"/>
    <col min="15" max="15" width="8.5" style="2255" customWidth="1"/>
    <col min="16" max="17" width="10.875" style="2255" customWidth="1"/>
    <col min="18" max="19" width="12.5" style="2255" customWidth="1"/>
    <col min="20" max="20" width="12.125" style="2255" customWidth="1"/>
    <col min="21" max="21" width="7.5" style="2255" customWidth="1"/>
    <col min="22" max="22" width="6.375" style="2255" customWidth="1"/>
    <col min="23" max="24" width="6.75" style="2255" customWidth="1"/>
    <col min="25" max="25" width="9.375" style="2255" customWidth="1"/>
    <col min="26" max="30" width="6.75" style="2255" customWidth="1"/>
    <col min="31" max="31" width="8" style="2255" customWidth="1"/>
    <col min="32" max="34" width="7.25" style="2255" customWidth="1"/>
    <col min="35" max="39" width="8" style="2255" customWidth="1"/>
    <col min="40" max="40" width="13.75" style="2254"/>
    <col min="41" max="41" width="11.625" style="2254" customWidth="1"/>
    <col min="42" max="42" width="9.75" style="2254" customWidth="1"/>
    <col min="43" max="67" width="13.75" style="2254"/>
    <col min="68" max="16384" width="13.75" style="2255"/>
  </cols>
  <sheetData>
    <row r="1" spans="1:67" ht="19.5" thickBot="1">
      <c r="A1" s="2252" t="s">
        <v>1956</v>
      </c>
      <c r="B1" s="729"/>
      <c r="C1" s="1569"/>
      <c r="D1" s="2253"/>
      <c r="E1" s="1569"/>
      <c r="F1" s="1569"/>
      <c r="G1" s="1569"/>
      <c r="H1" s="1569"/>
      <c r="I1" s="1569"/>
      <c r="J1" s="1569"/>
      <c r="K1" s="166"/>
      <c r="L1" s="166"/>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7" customFormat="1" ht="15.75" thickBot="1">
      <c r="A2" s="2256" t="s">
        <v>1957</v>
      </c>
      <c r="B2" s="1255">
        <f>项目基本情况!D3</f>
        <v>43970</v>
      </c>
      <c r="C2" s="2257"/>
      <c r="D2" s="2258"/>
      <c r="E2" s="2257"/>
      <c r="F2" s="2257"/>
      <c r="G2" s="2257"/>
      <c r="H2" s="2257"/>
      <c r="I2" s="2257"/>
      <c r="J2" s="2257"/>
      <c r="K2" s="1416"/>
      <c r="L2" s="1416"/>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7" customFormat="1" ht="15" thickBot="1">
      <c r="A3" s="2015"/>
      <c r="B3" s="2260"/>
      <c r="C3" s="2257"/>
      <c r="D3" s="2258"/>
      <c r="E3" s="2257"/>
      <c r="F3" s="2257"/>
      <c r="G3" s="2257"/>
      <c r="H3" s="2257"/>
      <c r="I3" s="2257"/>
      <c r="J3" s="2257"/>
      <c r="K3" s="1416"/>
      <c r="L3" s="1416"/>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7" customFormat="1" ht="15" thickBot="1">
      <c r="A4" s="67" t="s">
        <v>1958</v>
      </c>
      <c r="B4" s="2261"/>
      <c r="C4" s="2262"/>
      <c r="D4" s="2263"/>
      <c r="E4" s="2262" t="s">
        <v>1959</v>
      </c>
      <c r="F4" s="2262"/>
      <c r="G4" s="2262"/>
      <c r="H4" s="2262"/>
      <c r="I4" s="2262"/>
      <c r="J4" s="2264"/>
      <c r="K4" s="2265"/>
      <c r="L4" s="2266"/>
      <c r="M4" s="2262"/>
      <c r="N4" s="2262" t="s">
        <v>1960</v>
      </c>
      <c r="O4" s="2262"/>
      <c r="P4" s="2262"/>
      <c r="Q4" s="2262"/>
      <c r="R4" s="2262"/>
      <c r="S4" s="2264"/>
      <c r="T4" s="2267" t="str">
        <f>'数据-汇总表'!I17</f>
        <v>按面积比例</v>
      </c>
      <c r="U4" s="2261" t="s">
        <v>1961</v>
      </c>
      <c r="V4" s="2262"/>
      <c r="W4" s="2262"/>
      <c r="X4" s="2262"/>
      <c r="Y4" s="2264"/>
      <c r="Z4" s="2225" t="s">
        <v>1962</v>
      </c>
      <c r="AA4" s="2225"/>
      <c r="AB4" s="2225"/>
      <c r="AC4" s="2225"/>
      <c r="AD4" s="2225"/>
      <c r="AE4" s="2223" t="s">
        <v>1963</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8" customFormat="1" ht="42">
      <c r="A5" s="2269" t="s">
        <v>1964</v>
      </c>
      <c r="B5" s="2270" t="s">
        <v>1965</v>
      </c>
      <c r="C5" s="2271" t="s">
        <v>1966</v>
      </c>
      <c r="D5" s="2272" t="s">
        <v>1967</v>
      </c>
      <c r="E5" s="1257" t="s">
        <v>1968</v>
      </c>
      <c r="F5" s="2273" t="s">
        <v>1969</v>
      </c>
      <c r="G5" s="1257" t="s">
        <v>1970</v>
      </c>
      <c r="H5" s="1257" t="s">
        <v>1971</v>
      </c>
      <c r="I5" s="1257" t="s">
        <v>1972</v>
      </c>
      <c r="J5" s="2274" t="s">
        <v>1973</v>
      </c>
      <c r="K5" s="2275" t="s">
        <v>1974</v>
      </c>
      <c r="L5" s="2276" t="s">
        <v>1975</v>
      </c>
      <c r="M5" s="2277" t="s">
        <v>1976</v>
      </c>
      <c r="N5" s="2278" t="s">
        <v>1977</v>
      </c>
      <c r="O5" s="2276" t="s">
        <v>1978</v>
      </c>
      <c r="P5" s="2279" t="s">
        <v>1979</v>
      </c>
      <c r="Q5" s="68" t="s">
        <v>1980</v>
      </c>
      <c r="R5" s="2280" t="s">
        <v>1981</v>
      </c>
      <c r="S5" s="2281" t="s">
        <v>1982</v>
      </c>
      <c r="T5" s="2282" t="s">
        <v>1983</v>
      </c>
      <c r="U5" s="1256" t="s">
        <v>1984</v>
      </c>
      <c r="V5" s="1257" t="s">
        <v>1985</v>
      </c>
      <c r="W5" s="1257" t="s">
        <v>1986</v>
      </c>
      <c r="X5" s="70"/>
      <c r="Y5" s="69" t="s">
        <v>1987</v>
      </c>
      <c r="Z5" s="2283" t="s">
        <v>1984</v>
      </c>
      <c r="AA5" s="1257" t="s">
        <v>1985</v>
      </c>
      <c r="AB5" s="1257" t="s">
        <v>1986</v>
      </c>
      <c r="AC5" s="70"/>
      <c r="AD5" s="70" t="s">
        <v>1987</v>
      </c>
      <c r="AE5" s="1256" t="s">
        <v>1988</v>
      </c>
      <c r="AF5" s="1257" t="s">
        <v>1989</v>
      </c>
      <c r="AG5" s="69" t="s">
        <v>1990</v>
      </c>
      <c r="AH5" s="1256" t="s">
        <v>1991</v>
      </c>
      <c r="AI5" s="2283" t="s">
        <v>1992</v>
      </c>
      <c r="AJ5" s="2283" t="s">
        <v>1993</v>
      </c>
      <c r="AK5" s="1257" t="s">
        <v>1994</v>
      </c>
      <c r="AL5" s="1257" t="s">
        <v>1995</v>
      </c>
      <c r="AM5" s="69" t="s">
        <v>1996</v>
      </c>
      <c r="AN5" s="2284" t="s">
        <v>1997</v>
      </c>
      <c r="AO5" s="2055" t="s">
        <v>1998</v>
      </c>
      <c r="AP5" s="1238" t="s">
        <v>1999</v>
      </c>
      <c r="AQ5" s="2285" t="s">
        <v>2000</v>
      </c>
      <c r="AR5" s="2285" t="s">
        <v>2001</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7" customFormat="1" ht="14.25">
      <c r="A6" s="2286" t="str">
        <f>'数据-汇总表'!C19</f>
        <v>商业</v>
      </c>
      <c r="B6" s="2287" t="str">
        <f>IF(A6=0,"","经营性")</f>
        <v>经营性</v>
      </c>
      <c r="C6" s="2288" t="s">
        <v>1373</v>
      </c>
      <c r="D6" s="1040">
        <f>SUMIF(项目基本情况!D$12:I$12,C6,项目基本情况!D$14:I$14)</f>
        <v>40</v>
      </c>
      <c r="E6" s="1037">
        <f>IF(B6="","",SUMIF(项目基本情况!D$12:I$12,C6,项目基本情况!D$13:I$13))</f>
        <v>57553</v>
      </c>
      <c r="F6" s="71">
        <f>SUMIF(项目基本情况!D$12:I$12,C6,项目基本情况!D$15:I$15)</f>
        <v>37.21</v>
      </c>
      <c r="G6" s="72">
        <f>IF(ISERROR(ROUND(POWER(1+H6,D6-F6)*(POWER(1+H6,F6)-1)/(POWER(1+H6,D6)-1),3)),0,ROUND(POWER(1+H6,D6-F6)*(POWER(1+H6,F6)-1)/(POWER(1+H6,D6)-1),3))</f>
        <v>0.97599999999999998</v>
      </c>
      <c r="H6" s="799">
        <v>0.05</v>
      </c>
      <c r="I6" s="799">
        <v>5.5E-2</v>
      </c>
      <c r="J6" s="73"/>
      <c r="K6" s="1240">
        <f>SUMIF('数据-汇总表'!C$19:C$33,A6,'数据-汇总表'!E$19:E$33)</f>
        <v>66687.25</v>
      </c>
      <c r="L6" s="800">
        <f>ROUND(2000+O26,0)</f>
        <v>2200</v>
      </c>
      <c r="M6" s="74">
        <f t="shared" ref="M6:M14" si="0">ROUND(K6*L6/10000,0)</f>
        <v>14671</v>
      </c>
      <c r="N6" s="2976">
        <v>0</v>
      </c>
      <c r="O6" s="74">
        <f>IF($N$5="成新度","——",ROUND(M6*N6,0))</f>
        <v>0</v>
      </c>
      <c r="P6" s="75">
        <f>IF($N$5="成新度","——",M6-O6)</f>
        <v>14671</v>
      </c>
      <c r="Q6" s="801">
        <v>0.2</v>
      </c>
      <c r="R6" s="76">
        <f ca="1">SUMIF('数据-汇总表'!C$19:C$33,A6,'数据-汇总表'!R$19:R$27)</f>
        <v>19053.5</v>
      </c>
      <c r="S6" s="53">
        <f>IF('数据-汇总表'!$I$17="按面积比例",SUMIF('数据-汇总表'!C$19:C$33,A6,'数据-汇总表'!K$19:K$33),SUMIF('数据-汇总表'!C$19:C$33,A6,'数据-汇总表'!N$19:N$33))</f>
        <v>0</v>
      </c>
      <c r="T6" s="1432">
        <f>ROUND($L$14*S6/10000,0)</f>
        <v>0</v>
      </c>
      <c r="U6" s="77">
        <v>2.4</v>
      </c>
      <c r="V6" s="78">
        <v>2.5000000000000001E-2</v>
      </c>
      <c r="W6" s="78">
        <v>0.1</v>
      </c>
      <c r="X6" s="1250"/>
      <c r="Y6" s="79">
        <v>1</v>
      </c>
      <c r="Z6" s="80"/>
      <c r="AA6" s="73"/>
      <c r="AB6" s="73"/>
      <c r="AC6" s="1250"/>
      <c r="AD6" s="81"/>
      <c r="AE6" s="1251">
        <f ca="1">IF(AN6="",0,SUMIF(INDIRECT("'"&amp;AN6&amp;"'"&amp;"!E:E"),$AE$5,INDIRECT("'"&amp;AN6&amp;"'"&amp;"!F:F")))</f>
        <v>34.21</v>
      </c>
      <c r="AF6" s="1791"/>
      <c r="AG6" s="145">
        <f>IF(AF6="",0,AE6-AF6)</f>
        <v>0</v>
      </c>
      <c r="AH6" s="82"/>
      <c r="AI6" s="84">
        <v>365</v>
      </c>
      <c r="AJ6" s="85"/>
      <c r="AK6" s="3393">
        <v>0.01</v>
      </c>
      <c r="AL6" s="94">
        <v>1.5E-3</v>
      </c>
      <c r="AM6" s="88">
        <v>0.01</v>
      </c>
      <c r="AN6" s="2289" t="s">
        <v>3060</v>
      </c>
      <c r="AO6" s="54">
        <f ca="1">SUMIF(INDIRECT("'"&amp;AN6&amp;"'"&amp;"!A:A"),"总价",INDIRECT("'"&amp;AN6&amp;"'"&amp;"!B:B"))</f>
        <v>84786</v>
      </c>
      <c r="AP6" s="2290">
        <f>IF(C6="住宅",K6*L6,0)</f>
        <v>0</v>
      </c>
      <c r="AQ6" s="54">
        <f>ROUND($L$14*$N$14*S6/10000,0)</f>
        <v>0</v>
      </c>
      <c r="AR6" s="54">
        <f>ROUND($L$14*(1-$N$14)*S6/10000,0)</f>
        <v>0</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7" customFormat="1" ht="14.25">
      <c r="A7" s="2286">
        <f>'数据-汇总表'!C20</f>
        <v>0</v>
      </c>
      <c r="B7" s="2287" t="str">
        <f t="shared" ref="B7:B13" si="1">IF(A7=0,"","经营性")</f>
        <v/>
      </c>
      <c r="C7" s="2288"/>
      <c r="D7" s="1040">
        <f>SUMIF(项目基本情况!D$12:I$12,C7,项目基本情况!D$14:I$14)</f>
        <v>0</v>
      </c>
      <c r="E7" s="1037" t="str">
        <f>IF(B7="","",SUMIF(项目基本情况!D$12:I$12,C7,项目基本情况!D$13:I$13))</f>
        <v/>
      </c>
      <c r="F7" s="71">
        <f>SUMIF(项目基本情况!D$12:I$12,C7,项目基本情况!D$15:I$15)</f>
        <v>0</v>
      </c>
      <c r="G7" s="72">
        <f>IF(ISERROR(ROUND(POWER(1+H7,D7-F7)*(POWER(1+H7,F7)-1)/(POWER(1+H7,D7)-1),3)),0,ROUND(POWER(1+H7,D7-F7)*(POWER(1+H7,F7)-1)/(POWER(1+H7,D7)-1),3))</f>
        <v>0</v>
      </c>
      <c r="H7" s="73"/>
      <c r="I7" s="73"/>
      <c r="J7" s="73"/>
      <c r="K7" s="1240">
        <f>SUMIF('数据-汇总表'!C$19:C$33,A7,'数据-汇总表'!E$19:E$33)</f>
        <v>0</v>
      </c>
      <c r="L7" s="800"/>
      <c r="M7" s="74">
        <f>ROUND(K7*L7/10000,0)</f>
        <v>0</v>
      </c>
      <c r="N7" s="798"/>
      <c r="O7" s="74">
        <f>IF($N$5="成新度","——",ROUND(M7*N7,0))</f>
        <v>0</v>
      </c>
      <c r="P7" s="75">
        <f t="shared" ref="P7:P14" si="2">IF($N$5="成新度","——",M7-O7)</f>
        <v>0</v>
      </c>
      <c r="Q7" s="89"/>
      <c r="R7" s="76">
        <f ca="1">SUMIF('数据-汇总表'!C$19:C$33,A7,'数据-汇总表'!R$19:R$27)</f>
        <v>0</v>
      </c>
      <c r="S7" s="53">
        <f>IF('数据-汇总表'!$I$17="按面积比例",SUMIF('数据-汇总表'!C$19:C$33,A7,'数据-汇总表'!K$19:K$33),SUMIF('数据-汇总表'!C$19:C$33,A7,'数据-汇总表'!N$19:N$33))</f>
        <v>0</v>
      </c>
      <c r="T7" s="1432">
        <f t="shared" ref="T7:T13" si="3">ROUND($L$14*S7/10000,0)</f>
        <v>0</v>
      </c>
      <c r="U7" s="77"/>
      <c r="V7" s="78"/>
      <c r="W7" s="78"/>
      <c r="X7" s="1250"/>
      <c r="Y7" s="79"/>
      <c r="Z7" s="80"/>
      <c r="AA7" s="73"/>
      <c r="AB7" s="73"/>
      <c r="AC7" s="1250"/>
      <c r="AD7" s="81"/>
      <c r="AE7" s="1251">
        <f ca="1">IF(AN7="",0,SUMIF(INDIRECT("'"&amp;AN7&amp;"'"&amp;"!E:E"),$AE$5,INDIRECT("'"&amp;AN7&amp;"'"&amp;"!F:F")))</f>
        <v>0</v>
      </c>
      <c r="AF7" s="1791"/>
      <c r="AG7" s="145">
        <f t="shared" ref="AG7:AG13" si="4">IF(AF7="",0,AE7-AF7)</f>
        <v>0</v>
      </c>
      <c r="AH7" s="82"/>
      <c r="AI7" s="84"/>
      <c r="AJ7" s="85"/>
      <c r="AK7" s="86"/>
      <c r="AL7" s="87"/>
      <c r="AM7" s="88"/>
      <c r="AN7" s="2289"/>
      <c r="AO7" s="54" t="e">
        <f ca="1">SUMIF(INDIRECT("'"&amp;AN7&amp;"'"&amp;"!A:A"),"总价",INDIRECT("'"&amp;AN7&amp;"'"&amp;"!B:B"))</f>
        <v>#REF!</v>
      </c>
      <c r="AP7" s="2290">
        <f>IF(C7="住宅",K7*L7,0)</f>
        <v>0</v>
      </c>
      <c r="AQ7" s="54">
        <f t="shared" ref="AQ7:AQ13" si="5">ROUND($L$14*$N$14*S7/10000,0)</f>
        <v>0</v>
      </c>
      <c r="AR7" s="54">
        <f t="shared" ref="AR7:AR13" si="6">ROUND($L$14*(1-$N$14)*S7/10000,0)</f>
        <v>0</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7" customFormat="1" ht="14.25">
      <c r="A8" s="2286">
        <f>'数据-汇总表'!C21</f>
        <v>0</v>
      </c>
      <c r="B8" s="2287" t="str">
        <f t="shared" si="1"/>
        <v/>
      </c>
      <c r="C8" s="2288"/>
      <c r="D8" s="1040">
        <f>SUMIF(项目基本情况!D$12:I$12,C8,项目基本情况!D$14:I$14)</f>
        <v>0</v>
      </c>
      <c r="E8" s="1037" t="str">
        <f>IF(B8="","",SUMIF(项目基本情况!D$12:I$12,C8,项目基本情况!D$13:I$13))</f>
        <v/>
      </c>
      <c r="F8" s="71">
        <f>SUMIF(项目基本情况!D$12:I$12,C8,项目基本情况!D$15:I$15)</f>
        <v>0</v>
      </c>
      <c r="G8" s="72">
        <f>IF(ISERROR(ROUND(POWER(1+H8,D8-F8)*(POWER(1+H8,F8)-1)/(POWER(1+H8,D8)-1),3)),0,ROUND(POWER(1+H8,D8-F8)*(POWER(1+H8,F8)-1)/(POWER(1+H8,D8)-1),3))</f>
        <v>0</v>
      </c>
      <c r="H8" s="73"/>
      <c r="I8" s="73"/>
      <c r="J8" s="73"/>
      <c r="K8" s="1240">
        <f>SUMIF('数据-汇总表'!C$19:C$33,A8,'数据-汇总表'!E$19:E$33)</f>
        <v>0</v>
      </c>
      <c r="L8" s="800"/>
      <c r="M8" s="74">
        <f>ROUND(K8*L8/10000,0)</f>
        <v>0</v>
      </c>
      <c r="N8" s="798"/>
      <c r="O8" s="74">
        <f>IF($N$5="成新度","——",ROUND(M8*N8,0))</f>
        <v>0</v>
      </c>
      <c r="P8" s="75">
        <f t="shared" si="2"/>
        <v>0</v>
      </c>
      <c r="Q8" s="89"/>
      <c r="R8" s="76">
        <f ca="1">SUMIF('数据-汇总表'!C$19:C$33,A8,'数据-汇总表'!R$19:R$27)</f>
        <v>0</v>
      </c>
      <c r="S8" s="53">
        <f>IF('数据-汇总表'!$I$17="按面积比例",SUMIF('数据-汇总表'!C$19:C$33,A8,'数据-汇总表'!K$19:K$33),SUMIF('数据-汇总表'!C$19:C$33,A8,'数据-汇总表'!N$19:N$33))</f>
        <v>0</v>
      </c>
      <c r="T8" s="1432">
        <f t="shared" si="3"/>
        <v>0</v>
      </c>
      <c r="U8" s="77"/>
      <c r="V8" s="78"/>
      <c r="W8" s="78"/>
      <c r="X8" s="1250"/>
      <c r="Y8" s="79"/>
      <c r="Z8" s="80"/>
      <c r="AA8" s="73"/>
      <c r="AB8" s="73"/>
      <c r="AC8" s="1250"/>
      <c r="AD8" s="81"/>
      <c r="AE8" s="1251">
        <f ca="1">IF(AN8="",0,SUMIF(INDIRECT("'"&amp;AN8&amp;"'"&amp;"!E:E"),$AE$5,INDIRECT("'"&amp;AN8&amp;"'"&amp;"!F:F")))</f>
        <v>0</v>
      </c>
      <c r="AF8" s="1791"/>
      <c r="AG8" s="145">
        <f t="shared" si="4"/>
        <v>0</v>
      </c>
      <c r="AH8" s="82"/>
      <c r="AI8" s="84"/>
      <c r="AJ8" s="85"/>
      <c r="AK8" s="86"/>
      <c r="AL8" s="87"/>
      <c r="AM8" s="88"/>
      <c r="AN8" s="2289"/>
      <c r="AO8" s="54" t="e">
        <f ca="1">SUMIF(INDIRECT("'"&amp;AN8&amp;"'"&amp;"!A:A"),"总价",INDIRECT("'"&amp;AN8&amp;"'"&amp;"!B:B"))</f>
        <v>#REF!</v>
      </c>
      <c r="AP8" s="2290">
        <f>IF(C8="住宅",K8*L8,0)</f>
        <v>0</v>
      </c>
      <c r="AQ8" s="54">
        <f t="shared" si="5"/>
        <v>0</v>
      </c>
      <c r="AR8" s="54">
        <f t="shared" si="6"/>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7" customFormat="1" ht="14.25">
      <c r="A9" s="2286">
        <f>'数据-汇总表'!C22</f>
        <v>0</v>
      </c>
      <c r="B9" s="2287" t="str">
        <f t="shared" si="1"/>
        <v/>
      </c>
      <c r="C9" s="2288"/>
      <c r="D9" s="1040">
        <f>SUMIF(项目基本情况!D$12:I$12,C9,项目基本情况!D$14:I$14)</f>
        <v>0</v>
      </c>
      <c r="E9" s="1037" t="str">
        <f>IF(B9="","",SUMIF(项目基本情况!D$12:I$12,C9,项目基本情况!D$13:I$13))</f>
        <v/>
      </c>
      <c r="F9" s="71">
        <f>SUMIF(项目基本情况!D$12:I$12,C9,项目基本情况!D$15:I$15)</f>
        <v>0</v>
      </c>
      <c r="G9" s="72">
        <f t="shared" ref="G9:G11" si="7">IF(ISERROR(ROUND(POWER(1+H9,D9-F9)*(POWER(1+H9,F9)-1)/(POWER(1+H9,D9)-1),3)),0,ROUND(POWER(1+H9,D9-F9)*(POWER(1+H9,F9)-1)/(POWER(1+H9,D9)-1),3))</f>
        <v>0</v>
      </c>
      <c r="H9" s="73"/>
      <c r="I9" s="73"/>
      <c r="J9" s="73"/>
      <c r="K9" s="1240">
        <f>SUMIF('数据-汇总表'!C$19:C$33,A9,'数据-汇总表'!E$19:E$33)</f>
        <v>0</v>
      </c>
      <c r="L9" s="800"/>
      <c r="M9" s="74">
        <f t="shared" si="0"/>
        <v>0</v>
      </c>
      <c r="N9" s="798"/>
      <c r="O9" s="74">
        <f t="shared" ref="O9:O14" si="8">IF($N$5="成新度","——",ROUND(M9*N9,0))</f>
        <v>0</v>
      </c>
      <c r="P9" s="75">
        <f t="shared" si="2"/>
        <v>0</v>
      </c>
      <c r="Q9" s="89"/>
      <c r="R9" s="76">
        <f ca="1">SUMIF('数据-汇总表'!C$19:C$33,A9,'数据-汇总表'!R$19:R$27)</f>
        <v>0</v>
      </c>
      <c r="S9" s="53">
        <f>IF('数据-汇总表'!$I$17="按面积比例",SUMIF('数据-汇总表'!C$19:C$33,A9,'数据-汇总表'!K$19:K$33),SUMIF('数据-汇总表'!C$19:C$33,A9,'数据-汇总表'!N$19:N$33))</f>
        <v>0</v>
      </c>
      <c r="T9" s="1432">
        <f t="shared" si="3"/>
        <v>0</v>
      </c>
      <c r="U9" s="77"/>
      <c r="V9" s="78"/>
      <c r="W9" s="78"/>
      <c r="X9" s="1250"/>
      <c r="Y9" s="79"/>
      <c r="Z9" s="80"/>
      <c r="AA9" s="73"/>
      <c r="AB9" s="73"/>
      <c r="AC9" s="1250"/>
      <c r="AD9" s="81"/>
      <c r="AE9" s="1251">
        <f t="shared" ref="AE9:AE13" ca="1" si="9">IF(AN9="",0,SUMIF(INDIRECT("'"&amp;AN9&amp;"'"&amp;"!E:E"),$AE$5,INDIRECT("'"&amp;AN9&amp;"'"&amp;"!F:F")))</f>
        <v>0</v>
      </c>
      <c r="AF9" s="1791"/>
      <c r="AG9" s="145">
        <f t="shared" si="4"/>
        <v>0</v>
      </c>
      <c r="AH9" s="82"/>
      <c r="AI9" s="84"/>
      <c r="AJ9" s="85"/>
      <c r="AK9" s="86"/>
      <c r="AL9" s="87"/>
      <c r="AM9" s="88"/>
      <c r="AN9" s="2289"/>
      <c r="AO9" s="54" t="e">
        <f t="shared" ref="AO9:AO13" ca="1" si="10">SUMIF(INDIRECT("'"&amp;AN9&amp;"'"&amp;"!A:A"),"总价",INDIRECT("'"&amp;AN9&amp;"'"&amp;"!B:B"))</f>
        <v>#REF!</v>
      </c>
      <c r="AP9" s="2290">
        <f t="shared" ref="AP9:AP13" si="11">IF(C9="住宅",K9*L9,0)</f>
        <v>0</v>
      </c>
      <c r="AQ9" s="54">
        <f t="shared" si="5"/>
        <v>0</v>
      </c>
      <c r="AR9" s="54">
        <f t="shared" si="6"/>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7" customFormat="1" ht="14.25">
      <c r="A10" s="2286">
        <f>'数据-汇总表'!C23</f>
        <v>0</v>
      </c>
      <c r="B10" s="2287" t="str">
        <f t="shared" si="1"/>
        <v/>
      </c>
      <c r="C10" s="2288"/>
      <c r="D10" s="1040">
        <f>SUMIF(项目基本情况!D$12:I$12,C10,项目基本情况!D$14:I$14)</f>
        <v>0</v>
      </c>
      <c r="E10" s="1037" t="str">
        <f>IF(B10="","",SUMIF(项目基本情况!D$12:I$12,C10,项目基本情况!D$13:I$13))</f>
        <v/>
      </c>
      <c r="F10" s="71">
        <f>SUMIF(项目基本情况!D$12:I$12,C10,项目基本情况!D$15:I$15)</f>
        <v>0</v>
      </c>
      <c r="G10" s="72">
        <f t="shared" si="7"/>
        <v>0</v>
      </c>
      <c r="H10" s="73"/>
      <c r="I10" s="73"/>
      <c r="J10" s="73"/>
      <c r="K10" s="1240">
        <f>SUMIF('数据-汇总表'!C$19:C$33,A10,'数据-汇总表'!E$19:E$33)</f>
        <v>0</v>
      </c>
      <c r="L10" s="800"/>
      <c r="M10" s="74">
        <f t="shared" si="0"/>
        <v>0</v>
      </c>
      <c r="N10" s="798"/>
      <c r="O10" s="74">
        <f t="shared" si="8"/>
        <v>0</v>
      </c>
      <c r="P10" s="75">
        <f t="shared" si="2"/>
        <v>0</v>
      </c>
      <c r="Q10" s="89"/>
      <c r="R10" s="76">
        <f ca="1">SUMIF('数据-汇总表'!C$19:C$33,A10,'数据-汇总表'!R$19:R$27)</f>
        <v>0</v>
      </c>
      <c r="S10" s="53">
        <f>IF('数据-汇总表'!$I$17="按面积比例",SUMIF('数据-汇总表'!C$19:C$33,A10,'数据-汇总表'!K$19:K$33),SUMIF('数据-汇总表'!C$19:C$33,A10,'数据-汇总表'!N$19:N$33))</f>
        <v>0</v>
      </c>
      <c r="T10" s="1432">
        <f t="shared" si="3"/>
        <v>0</v>
      </c>
      <c r="U10" s="77"/>
      <c r="V10" s="78"/>
      <c r="W10" s="78"/>
      <c r="X10" s="1250"/>
      <c r="Y10" s="79"/>
      <c r="Z10" s="80"/>
      <c r="AA10" s="73"/>
      <c r="AB10" s="73"/>
      <c r="AC10" s="1250"/>
      <c r="AD10" s="81"/>
      <c r="AE10" s="1251">
        <f t="shared" ca="1" si="9"/>
        <v>0</v>
      </c>
      <c r="AF10" s="1791"/>
      <c r="AG10" s="145">
        <f t="shared" si="4"/>
        <v>0</v>
      </c>
      <c r="AH10" s="82"/>
      <c r="AI10" s="84"/>
      <c r="AJ10" s="85"/>
      <c r="AK10" s="86"/>
      <c r="AL10" s="87"/>
      <c r="AM10" s="88"/>
      <c r="AN10" s="2289"/>
      <c r="AO10" s="54" t="e">
        <f t="shared" ca="1" si="10"/>
        <v>#REF!</v>
      </c>
      <c r="AP10" s="2290">
        <f t="shared" si="11"/>
        <v>0</v>
      </c>
      <c r="AQ10" s="54">
        <f t="shared" si="5"/>
        <v>0</v>
      </c>
      <c r="AR10" s="54">
        <f t="shared" si="6"/>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7" customFormat="1" ht="14.25">
      <c r="A11" s="2286">
        <f>'数据-汇总表'!C24</f>
        <v>0</v>
      </c>
      <c r="B11" s="2287" t="str">
        <f t="shared" si="1"/>
        <v/>
      </c>
      <c r="C11" s="2288"/>
      <c r="D11" s="1040">
        <f>SUMIF(项目基本情况!D$12:I$12,C11,项目基本情况!D$14:I$14)</f>
        <v>0</v>
      </c>
      <c r="E11" s="1037" t="str">
        <f>IF(B11="","",SUMIF(项目基本情况!D$12:I$12,C11,项目基本情况!D$13:I$13))</f>
        <v/>
      </c>
      <c r="F11" s="71">
        <f>SUMIF(项目基本情况!D$12:I$12,C11,项目基本情况!D$15:I$15)</f>
        <v>0</v>
      </c>
      <c r="G11" s="72">
        <f t="shared" si="7"/>
        <v>0</v>
      </c>
      <c r="H11" s="73"/>
      <c r="I11" s="73"/>
      <c r="J11" s="73"/>
      <c r="K11" s="1240">
        <f>SUMIF('数据-汇总表'!C$19:C$33,A11,'数据-汇总表'!E$19:E$33)</f>
        <v>0</v>
      </c>
      <c r="L11" s="90"/>
      <c r="M11" s="74">
        <f t="shared" si="0"/>
        <v>0</v>
      </c>
      <c r="N11" s="91"/>
      <c r="O11" s="74">
        <f t="shared" si="8"/>
        <v>0</v>
      </c>
      <c r="P11" s="75">
        <f t="shared" si="2"/>
        <v>0</v>
      </c>
      <c r="Q11" s="89"/>
      <c r="R11" s="76">
        <f ca="1">SUMIF('数据-汇总表'!C$19:C$33,A11,'数据-汇总表'!R$19:R$27)</f>
        <v>0</v>
      </c>
      <c r="S11" s="53">
        <f>IF('数据-汇总表'!$I$17="按面积比例",SUMIF('数据-汇总表'!C$19:C$33,A11,'数据-汇总表'!K$19:K$33),SUMIF('数据-汇总表'!C$19:C$33,A11,'数据-汇总表'!N$19:N$33))</f>
        <v>0</v>
      </c>
      <c r="T11" s="1432">
        <f t="shared" si="3"/>
        <v>0</v>
      </c>
      <c r="U11" s="82"/>
      <c r="V11" s="73"/>
      <c r="W11" s="73"/>
      <c r="X11" s="1250"/>
      <c r="Y11" s="79"/>
      <c r="Z11" s="92"/>
      <c r="AA11" s="73"/>
      <c r="AB11" s="73"/>
      <c r="AC11" s="1250"/>
      <c r="AD11" s="81"/>
      <c r="AE11" s="1251">
        <f t="shared" ca="1" si="9"/>
        <v>0</v>
      </c>
      <c r="AF11" s="1791"/>
      <c r="AG11" s="145">
        <f t="shared" si="4"/>
        <v>0</v>
      </c>
      <c r="AH11" s="82"/>
      <c r="AI11" s="84"/>
      <c r="AJ11" s="85"/>
      <c r="AK11" s="93"/>
      <c r="AL11" s="94"/>
      <c r="AM11" s="95"/>
      <c r="AN11" s="2289"/>
      <c r="AO11" s="54" t="e">
        <f t="shared" ca="1" si="10"/>
        <v>#REF!</v>
      </c>
      <c r="AP11" s="2290">
        <f t="shared" si="11"/>
        <v>0</v>
      </c>
      <c r="AQ11" s="54">
        <f t="shared" si="5"/>
        <v>0</v>
      </c>
      <c r="AR11" s="54">
        <f t="shared" si="6"/>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7" customFormat="1" ht="14.25">
      <c r="A12" s="2286">
        <f>'数据-汇总表'!C25</f>
        <v>0</v>
      </c>
      <c r="B12" s="2287" t="str">
        <f t="shared" si="1"/>
        <v/>
      </c>
      <c r="C12" s="2288"/>
      <c r="D12" s="1040">
        <f>SUMIF(项目基本情况!D$12:I$12,C12,项目基本情况!D$14:I$14)</f>
        <v>0</v>
      </c>
      <c r="E12" s="103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0">
        <f>SUMIF('数据-汇总表'!C$19:C$33,A12,'数据-汇总表'!E$19:E$33)</f>
        <v>0</v>
      </c>
      <c r="L12" s="90"/>
      <c r="M12" s="74">
        <f>ROUND(K12*L12/10000,0)</f>
        <v>0</v>
      </c>
      <c r="N12" s="91"/>
      <c r="O12" s="74">
        <f t="shared" si="8"/>
        <v>0</v>
      </c>
      <c r="P12" s="75">
        <f t="shared" si="2"/>
        <v>0</v>
      </c>
      <c r="Q12" s="89"/>
      <c r="R12" s="76">
        <f ca="1">SUMIF('数据-汇总表'!C$19:C$33,A12,'数据-汇总表'!R$19:R$27)</f>
        <v>0</v>
      </c>
      <c r="S12" s="53">
        <f>IF('数据-汇总表'!$I$17="按面积比例",SUMIF('数据-汇总表'!C$19:C$33,A12,'数据-汇总表'!K$19:K$33),SUMIF('数据-汇总表'!C$19:C$33,A12,'数据-汇总表'!N$19:N$33))</f>
        <v>0</v>
      </c>
      <c r="T12" s="1432">
        <f t="shared" si="3"/>
        <v>0</v>
      </c>
      <c r="U12" s="82"/>
      <c r="V12" s="73"/>
      <c r="W12" s="73"/>
      <c r="X12" s="1250"/>
      <c r="Y12" s="79"/>
      <c r="Z12" s="92"/>
      <c r="AA12" s="73"/>
      <c r="AB12" s="73"/>
      <c r="AC12" s="1250"/>
      <c r="AD12" s="81"/>
      <c r="AE12" s="1251">
        <f t="shared" ca="1" si="9"/>
        <v>0</v>
      </c>
      <c r="AF12" s="1791"/>
      <c r="AG12" s="145">
        <f t="shared" si="4"/>
        <v>0</v>
      </c>
      <c r="AH12" s="82"/>
      <c r="AI12" s="84"/>
      <c r="AJ12" s="85"/>
      <c r="AK12" s="93"/>
      <c r="AL12" s="94"/>
      <c r="AM12" s="95"/>
      <c r="AN12" s="2289"/>
      <c r="AO12" s="54" t="e">
        <f t="shared" ca="1" si="10"/>
        <v>#REF!</v>
      </c>
      <c r="AP12" s="2290">
        <f t="shared" si="11"/>
        <v>0</v>
      </c>
      <c r="AQ12" s="54">
        <f t="shared" si="5"/>
        <v>0</v>
      </c>
      <c r="AR12" s="54">
        <f t="shared" si="6"/>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7" customFormat="1" ht="14.25">
      <c r="A13" s="2286">
        <f>'数据-汇总表'!C26</f>
        <v>0</v>
      </c>
      <c r="B13" s="2287" t="str">
        <f t="shared" si="1"/>
        <v/>
      </c>
      <c r="C13" s="2288"/>
      <c r="D13" s="1040">
        <f>SUMIF(项目基本情况!D$12:I$12,C13,项目基本情况!D$14:I$14)</f>
        <v>0</v>
      </c>
      <c r="E13" s="103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0">
        <f>SUMIF('数据-汇总表'!C$19:C$33,A13,'数据-汇总表'!E$19:E$33)</f>
        <v>0</v>
      </c>
      <c r="L13" s="90"/>
      <c r="M13" s="74">
        <f>ROUND(K13*L13/10000,0)</f>
        <v>0</v>
      </c>
      <c r="N13" s="91"/>
      <c r="O13" s="74">
        <f t="shared" si="8"/>
        <v>0</v>
      </c>
      <c r="P13" s="75">
        <f t="shared" si="2"/>
        <v>0</v>
      </c>
      <c r="Q13" s="89"/>
      <c r="R13" s="76">
        <f ca="1">SUMIF('数据-汇总表'!C$19:C$33,A13,'数据-汇总表'!R$19:R$27)</f>
        <v>0</v>
      </c>
      <c r="S13" s="53">
        <f>IF('数据-汇总表'!$I$17="按面积比例",SUMIF('数据-汇总表'!C$19:C$33,A13,'数据-汇总表'!K$19:K$33),SUMIF('数据-汇总表'!C$19:C$33,A13,'数据-汇总表'!N$19:N$33))</f>
        <v>0</v>
      </c>
      <c r="T13" s="1432">
        <f t="shared" si="3"/>
        <v>0</v>
      </c>
      <c r="U13" s="77"/>
      <c r="V13" s="78"/>
      <c r="W13" s="78"/>
      <c r="X13" s="1250"/>
      <c r="Y13" s="79"/>
      <c r="Z13" s="80"/>
      <c r="AA13" s="73"/>
      <c r="AB13" s="73"/>
      <c r="AC13" s="1250"/>
      <c r="AD13" s="81"/>
      <c r="AE13" s="1251">
        <f t="shared" ca="1" si="9"/>
        <v>0</v>
      </c>
      <c r="AF13" s="1791"/>
      <c r="AG13" s="145">
        <f t="shared" si="4"/>
        <v>0</v>
      </c>
      <c r="AH13" s="82"/>
      <c r="AI13" s="84"/>
      <c r="AJ13" s="85"/>
      <c r="AK13" s="86"/>
      <c r="AL13" s="87"/>
      <c r="AM13" s="88"/>
      <c r="AN13" s="2289"/>
      <c r="AO13" s="54" t="e">
        <f t="shared" ca="1" si="10"/>
        <v>#REF!</v>
      </c>
      <c r="AP13" s="2290">
        <f t="shared" si="11"/>
        <v>0</v>
      </c>
      <c r="AQ13" s="54">
        <f t="shared" si="5"/>
        <v>0</v>
      </c>
      <c r="AR13" s="54">
        <f t="shared" si="6"/>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7" customFormat="1" ht="14.25">
      <c r="A14" s="2291" t="s">
        <v>2002</v>
      </c>
      <c r="B14" s="2287" t="s">
        <v>2003</v>
      </c>
      <c r="C14" s="2292" t="s">
        <v>2002</v>
      </c>
      <c r="D14" s="1040"/>
      <c r="E14" s="1037"/>
      <c r="F14" s="71"/>
      <c r="G14" s="72"/>
      <c r="H14" s="1239"/>
      <c r="I14" s="1239"/>
      <c r="J14" s="1239"/>
      <c r="K14" s="1240">
        <f>SUMIF('数据-汇总表'!C$19:C$33,A14,'数据-汇总表'!E$19:E$33)</f>
        <v>0</v>
      </c>
      <c r="L14" s="90">
        <f>L6</f>
        <v>2200</v>
      </c>
      <c r="M14" s="74">
        <f t="shared" si="0"/>
        <v>0</v>
      </c>
      <c r="N14" s="91">
        <f>N6</f>
        <v>0</v>
      </c>
      <c r="O14" s="74">
        <f t="shared" si="8"/>
        <v>0</v>
      </c>
      <c r="P14" s="75">
        <f t="shared" si="2"/>
        <v>0</v>
      </c>
      <c r="Q14" s="1243"/>
      <c r="R14" s="76"/>
      <c r="S14" s="53"/>
      <c r="T14" s="1432"/>
      <c r="U14" s="720"/>
      <c r="V14" s="1245"/>
      <c r="W14" s="1245"/>
      <c r="X14" s="1246"/>
      <c r="Y14" s="1247"/>
      <c r="Z14" s="1248"/>
      <c r="AA14" s="1249"/>
      <c r="AB14" s="1249"/>
      <c r="AC14" s="1250"/>
      <c r="AD14" s="1246"/>
      <c r="AE14" s="1251"/>
      <c r="AF14" s="54"/>
      <c r="AG14" s="145"/>
      <c r="AH14" s="1251"/>
      <c r="AI14" s="1802"/>
      <c r="AJ14" s="770"/>
      <c r="AK14" s="1252"/>
      <c r="AL14" s="1253"/>
      <c r="AM14" s="1254"/>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7" customFormat="1" ht="27">
      <c r="A15" s="2291" t="s">
        <v>2004</v>
      </c>
      <c r="B15" s="2287" t="s">
        <v>2003</v>
      </c>
      <c r="C15" s="2292" t="s">
        <v>2005</v>
      </c>
      <c r="D15" s="1040"/>
      <c r="E15" s="1037"/>
      <c r="F15" s="71"/>
      <c r="G15" s="72"/>
      <c r="H15" s="1239"/>
      <c r="I15" s="1239"/>
      <c r="J15" s="1239"/>
      <c r="K15" s="1240">
        <f>SUMIF('数据-汇总表'!C$19:C$33,A15,'数据-汇总表'!E$19:E$33)</f>
        <v>0</v>
      </c>
      <c r="L15" s="1241"/>
      <c r="M15" s="74"/>
      <c r="N15" s="1242"/>
      <c r="O15" s="74"/>
      <c r="P15" s="75"/>
      <c r="Q15" s="1243"/>
      <c r="R15" s="76"/>
      <c r="S15" s="53"/>
      <c r="T15" s="1432"/>
      <c r="U15" s="720"/>
      <c r="V15" s="1245"/>
      <c r="W15" s="1245"/>
      <c r="X15" s="1246"/>
      <c r="Y15" s="1247"/>
      <c r="Z15" s="1248"/>
      <c r="AA15" s="1249"/>
      <c r="AB15" s="1249"/>
      <c r="AC15" s="1250"/>
      <c r="AD15" s="1246"/>
      <c r="AE15" s="1251"/>
      <c r="AF15" s="54"/>
      <c r="AG15" s="145"/>
      <c r="AH15" s="1251"/>
      <c r="AI15" s="1802"/>
      <c r="AJ15" s="770"/>
      <c r="AK15" s="1252"/>
      <c r="AL15" s="1253"/>
      <c r="AM15" s="1254"/>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7" customFormat="1" ht="15.75" thickBot="1">
      <c r="A16" s="2293" t="s">
        <v>2006</v>
      </c>
      <c r="B16" s="96"/>
      <c r="C16" s="995"/>
      <c r="D16" s="2294"/>
      <c r="E16" s="96"/>
      <c r="F16" s="96"/>
      <c r="G16" s="97">
        <f>ROUND(SUMPRODUCT(G6:G13,K6:K13)/SUMPRODUCT((G6:G13&gt;0)*(K6:K13)),3)</f>
        <v>0.97599999999999998</v>
      </c>
      <c r="H16" s="98">
        <f>ROUND(SUMPRODUCT(H6:H13,K6:K13)/SUMPRODUCT((H6:H13&gt;0)*(K6:K13)),3)</f>
        <v>0.05</v>
      </c>
      <c r="I16" s="99"/>
      <c r="J16" s="99"/>
      <c r="K16" s="100">
        <f>SUM(K6:K15)</f>
        <v>66687.25</v>
      </c>
      <c r="L16" s="101">
        <f>ROUND(M16*10000/SUM(K6:K14),0)</f>
        <v>2200</v>
      </c>
      <c r="M16" s="101">
        <f>SUM(M6:M14)</f>
        <v>14671</v>
      </c>
      <c r="N16" s="102">
        <f>ROUND(SUMPRODUCT(M6:M14,N6:N14)/M16,3)</f>
        <v>0</v>
      </c>
      <c r="O16" s="101">
        <f>SUM(O6:O14)</f>
        <v>0</v>
      </c>
      <c r="P16" s="101">
        <f>SUM(P6:P14)</f>
        <v>14671</v>
      </c>
      <c r="Q16" s="103">
        <f>ROUND(SUMPRODUCT(Q6:Q13,K6:K13)/SUMPRODUCT((Q6:Q13&gt;0)*(K6:K13)),2)</f>
        <v>0.2</v>
      </c>
      <c r="R16" s="1244">
        <f ca="1">SUM(R6:R13)</f>
        <v>19053.5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5" thickBot="1">
      <c r="A17" s="2295"/>
      <c r="B17" s="729"/>
      <c r="C17" s="1569"/>
      <c r="D17" s="2253"/>
      <c r="E17" s="2253"/>
      <c r="F17" s="1569"/>
      <c r="G17" s="1569"/>
      <c r="H17" s="1569"/>
      <c r="I17" s="1569"/>
      <c r="J17" s="1569"/>
      <c r="K17" s="166"/>
      <c r="L17" s="166"/>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7" t="s">
        <v>2007</v>
      </c>
      <c r="B18" s="2260"/>
      <c r="C18" s="2257"/>
      <c r="D18" s="2258"/>
      <c r="E18" s="2257"/>
      <c r="F18" s="2257"/>
      <c r="G18" s="2257"/>
      <c r="H18" s="2257"/>
      <c r="I18" s="2257"/>
      <c r="J18" s="2257"/>
      <c r="K18" s="166"/>
      <c r="L18" s="166"/>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296" t="s">
        <v>2008</v>
      </c>
      <c r="B19" s="111">
        <v>0</v>
      </c>
      <c r="C19" s="2257" t="s">
        <v>2009</v>
      </c>
      <c r="D19" s="2258"/>
      <c r="E19" s="2257"/>
      <c r="F19" s="2257"/>
      <c r="G19" s="2257"/>
      <c r="H19" s="2257"/>
      <c r="I19" s="2257"/>
      <c r="J19" s="2257"/>
      <c r="K19" s="166"/>
      <c r="L19" s="166"/>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row>
    <row r="20" spans="1:67" ht="14.25">
      <c r="A20" s="2297" t="s">
        <v>2010</v>
      </c>
      <c r="B20" s="112">
        <v>3</v>
      </c>
      <c r="C20" s="2257" t="s">
        <v>2011</v>
      </c>
      <c r="D20" s="2258"/>
      <c r="E20" s="2257"/>
      <c r="F20" s="2257"/>
      <c r="G20" s="2257"/>
      <c r="H20" s="2257"/>
      <c r="I20" s="2257"/>
      <c r="J20" s="2257"/>
      <c r="K20" s="166"/>
      <c r="L20" s="166"/>
      <c r="M20" s="1569"/>
      <c r="N20" s="1569"/>
      <c r="O20" s="1569"/>
      <c r="P20" s="1569"/>
      <c r="Q20" s="1569"/>
      <c r="R20" s="1569"/>
      <c r="S20" s="1569"/>
      <c r="T20" s="1569"/>
      <c r="U20" s="3044" t="s">
        <v>4686</v>
      </c>
      <c r="V20" s="3044" t="s">
        <v>4687</v>
      </c>
      <c r="W20" s="3044" t="s">
        <v>4688</v>
      </c>
      <c r="X20" s="1569"/>
      <c r="Y20" s="1569"/>
      <c r="Z20" s="1569"/>
      <c r="AA20" s="1569"/>
      <c r="AB20" s="1569"/>
      <c r="AC20" s="1569"/>
      <c r="AD20" s="1569"/>
      <c r="AE20" s="1569"/>
      <c r="AF20" s="1569"/>
      <c r="AG20" s="1569"/>
      <c r="AH20" s="1569"/>
      <c r="AI20" s="1569"/>
      <c r="AJ20" s="1569"/>
      <c r="AK20" s="1569"/>
      <c r="AL20" s="1569"/>
      <c r="AM20" s="1569"/>
    </row>
    <row r="21" spans="1:67" ht="14.25">
      <c r="A21" s="2298" t="s">
        <v>2012</v>
      </c>
      <c r="B21" s="2936">
        <v>0</v>
      </c>
      <c r="C21" s="2257"/>
      <c r="D21" s="2258"/>
      <c r="E21" s="2257"/>
      <c r="F21" s="2257"/>
      <c r="G21" s="2257"/>
      <c r="H21" s="2257"/>
      <c r="I21" s="2257"/>
      <c r="J21" s="2257"/>
      <c r="K21" s="166"/>
      <c r="L21" s="166"/>
      <c r="M21" s="1569"/>
      <c r="N21" s="1569"/>
      <c r="O21" s="1569"/>
      <c r="P21" s="1569"/>
      <c r="Q21" s="1569"/>
      <c r="R21" s="1569"/>
      <c r="S21" s="1569"/>
      <c r="T21" s="1569"/>
      <c r="U21" s="1569">
        <v>1</v>
      </c>
      <c r="V21" s="1569">
        <v>1</v>
      </c>
      <c r="W21" s="1569">
        <v>3.5</v>
      </c>
      <c r="X21" s="1569"/>
      <c r="Y21" s="1569"/>
      <c r="Z21" s="1569"/>
      <c r="AA21" s="1569"/>
      <c r="AB21" s="1569"/>
      <c r="AC21" s="1569"/>
      <c r="AD21" s="1569"/>
      <c r="AE21" s="1569"/>
      <c r="AF21" s="1569"/>
      <c r="AG21" s="1569"/>
      <c r="AH21" s="1569"/>
      <c r="AI21" s="1569"/>
      <c r="AJ21" s="1569"/>
      <c r="AK21" s="1569"/>
      <c r="AL21" s="1569"/>
      <c r="AM21" s="1569"/>
    </row>
    <row r="22" spans="1:67" ht="14.25">
      <c r="A22" s="2297" t="s">
        <v>2013</v>
      </c>
      <c r="B22" s="113">
        <f>B19+B20</f>
        <v>3</v>
      </c>
      <c r="C22" s="2257"/>
      <c r="D22" s="2258"/>
      <c r="E22" s="2257"/>
      <c r="F22" s="2257"/>
      <c r="G22" s="2257"/>
      <c r="H22" s="2257"/>
      <c r="I22" s="2257"/>
      <c r="J22" s="2257"/>
      <c r="K22" s="166"/>
      <c r="L22" s="166"/>
      <c r="M22" s="1569"/>
      <c r="N22" s="1569"/>
      <c r="O22" s="1569"/>
      <c r="P22" s="1569"/>
      <c r="Q22" s="1569"/>
      <c r="R22" s="1569"/>
      <c r="S22" s="1569"/>
      <c r="T22" s="1569"/>
      <c r="U22" s="1569">
        <v>2</v>
      </c>
      <c r="V22" s="1569">
        <v>0.7</v>
      </c>
      <c r="W22" s="1569">
        <f>ROUND($W$21*V22,1)</f>
        <v>2.5</v>
      </c>
      <c r="X22" s="1569"/>
      <c r="Y22" s="1569"/>
      <c r="Z22" s="1569"/>
      <c r="AA22" s="1569"/>
      <c r="AB22" s="1569"/>
      <c r="AC22" s="1569"/>
      <c r="AD22" s="1569"/>
      <c r="AE22" s="1569"/>
      <c r="AF22" s="1569"/>
      <c r="AG22" s="1569"/>
      <c r="AH22" s="1569"/>
      <c r="AI22" s="1569"/>
      <c r="AJ22" s="1569"/>
      <c r="AK22" s="1569"/>
      <c r="AL22" s="1569"/>
      <c r="AM22" s="1569"/>
    </row>
    <row r="23" spans="1:67" ht="14.25">
      <c r="A23" s="2298" t="s">
        <v>2014</v>
      </c>
      <c r="B23" s="113">
        <f>B19+B21</f>
        <v>0</v>
      </c>
      <c r="C23" s="2257"/>
      <c r="D23" s="2258"/>
      <c r="E23" s="2257"/>
      <c r="F23" s="2257"/>
      <c r="G23" s="2257"/>
      <c r="H23" s="2257"/>
      <c r="I23" s="2257"/>
      <c r="J23" s="2257"/>
      <c r="K23" s="166"/>
      <c r="L23" s="166" t="s">
        <v>4684</v>
      </c>
      <c r="M23" s="3043">
        <f>K16</f>
        <v>66687.25</v>
      </c>
      <c r="N23" s="3042">
        <v>0.1</v>
      </c>
      <c r="O23" s="1569">
        <f>M23*N23</f>
        <v>6668.7250000000004</v>
      </c>
      <c r="P23" s="1569"/>
      <c r="Q23" s="1569"/>
      <c r="R23" s="1569"/>
      <c r="S23" s="1569"/>
      <c r="T23" s="1569"/>
      <c r="U23" s="1569">
        <v>3</v>
      </c>
      <c r="V23" s="1569">
        <v>0.6</v>
      </c>
      <c r="W23" s="1569">
        <f>ROUND($W$21*V23,1)</f>
        <v>2.1</v>
      </c>
      <c r="X23" s="1569"/>
      <c r="Y23" s="1569"/>
      <c r="Z23" s="1569"/>
      <c r="AA23" s="1569"/>
      <c r="AB23" s="1569"/>
      <c r="AC23" s="1569"/>
      <c r="AD23" s="1569"/>
      <c r="AE23" s="1569"/>
      <c r="AF23" s="1569"/>
      <c r="AG23" s="1569"/>
      <c r="AH23" s="1569"/>
      <c r="AI23" s="1569"/>
      <c r="AJ23" s="1569"/>
      <c r="AK23" s="1569"/>
      <c r="AL23" s="1569"/>
      <c r="AM23" s="1569"/>
    </row>
    <row r="24" spans="1:67" ht="15" thickBot="1">
      <c r="A24" s="2299" t="s">
        <v>2015</v>
      </c>
      <c r="B24" s="114">
        <f>B20-B21</f>
        <v>3</v>
      </c>
      <c r="C24" s="2257"/>
      <c r="D24" s="2258"/>
      <c r="E24" s="2257"/>
      <c r="F24" s="2257"/>
      <c r="G24" s="2257"/>
      <c r="H24" s="2257"/>
      <c r="I24" s="2257"/>
      <c r="J24" s="2257"/>
      <c r="K24" s="166"/>
      <c r="L24" s="166"/>
      <c r="M24" s="1569"/>
      <c r="N24" s="1569"/>
      <c r="O24" s="1569">
        <v>2000</v>
      </c>
      <c r="P24" s="1569"/>
      <c r="Q24" s="1569"/>
      <c r="R24" s="1569"/>
      <c r="S24" s="1569"/>
      <c r="T24" s="1569"/>
      <c r="U24" s="1569">
        <v>4</v>
      </c>
      <c r="V24" s="1569">
        <v>0.55000000000000004</v>
      </c>
      <c r="W24" s="1569">
        <f>ROUND($W$21*V24,1)</f>
        <v>1.9</v>
      </c>
      <c r="X24" s="1569"/>
      <c r="Y24" s="1569"/>
      <c r="Z24" s="1569"/>
      <c r="AA24" s="1569"/>
      <c r="AB24" s="1569"/>
      <c r="AC24" s="1569"/>
      <c r="AD24" s="1569"/>
      <c r="AE24" s="1569"/>
      <c r="AF24" s="1569"/>
      <c r="AG24" s="1569"/>
      <c r="AH24" s="1569"/>
      <c r="AI24" s="1569"/>
      <c r="AJ24" s="1569"/>
      <c r="AK24" s="1569"/>
      <c r="AL24" s="1569"/>
      <c r="AM24" s="1569"/>
    </row>
    <row r="25" spans="1:67" ht="15" thickBot="1">
      <c r="A25" s="2015"/>
      <c r="B25" s="2260"/>
      <c r="C25" s="2257"/>
      <c r="D25" s="2258"/>
      <c r="E25" s="2257"/>
      <c r="F25" s="2257"/>
      <c r="G25" s="2257"/>
      <c r="H25" s="2257"/>
      <c r="I25" s="2257"/>
      <c r="J25" s="2257"/>
      <c r="K25" s="166"/>
      <c r="L25" s="166"/>
      <c r="M25" s="1569"/>
      <c r="N25" s="1569"/>
      <c r="O25" s="1569">
        <f>O23*O24</f>
        <v>13337450</v>
      </c>
      <c r="P25" s="1569"/>
      <c r="Q25" s="1569"/>
      <c r="R25" s="1569"/>
      <c r="S25" s="1569"/>
      <c r="T25" s="1569"/>
      <c r="U25" s="1569">
        <v>5</v>
      </c>
      <c r="V25" s="1569">
        <v>0.5</v>
      </c>
      <c r="W25" s="1569">
        <f>ROUND($W$21*V25,1)</f>
        <v>1.8</v>
      </c>
      <c r="X25" s="1569"/>
      <c r="Y25" s="1569"/>
      <c r="Z25" s="1569"/>
      <c r="AA25" s="1569"/>
      <c r="AB25" s="1569"/>
      <c r="AC25" s="1569"/>
      <c r="AD25" s="1569"/>
      <c r="AE25" s="1569"/>
      <c r="AF25" s="1569"/>
      <c r="AG25" s="1569"/>
      <c r="AH25" s="1569"/>
      <c r="AI25" s="1569"/>
      <c r="AJ25" s="1569"/>
      <c r="AK25" s="1569"/>
      <c r="AL25" s="1569"/>
      <c r="AM25" s="1569"/>
    </row>
    <row r="26" spans="1:67" ht="15" thickBot="1">
      <c r="A26" s="2256" t="s">
        <v>2016</v>
      </c>
      <c r="B26" s="2300" t="s">
        <v>2017</v>
      </c>
      <c r="C26" s="2301" t="s">
        <v>2018</v>
      </c>
      <c r="D26" s="2258"/>
      <c r="E26" s="2257"/>
      <c r="F26" s="2257"/>
      <c r="G26" s="2257"/>
      <c r="H26" s="2257"/>
      <c r="I26" s="2257"/>
      <c r="J26" s="2257"/>
      <c r="K26" s="166"/>
      <c r="L26" s="166"/>
      <c r="M26" s="1569"/>
      <c r="N26" s="1569"/>
      <c r="O26" s="1569">
        <f>O25/K16</f>
        <v>200</v>
      </c>
      <c r="P26" s="1569"/>
      <c r="Q26" s="1569"/>
      <c r="R26" s="1569"/>
      <c r="S26" s="1569"/>
      <c r="T26" s="1569"/>
      <c r="U26" s="1569"/>
      <c r="V26" s="1569"/>
      <c r="W26" s="1569">
        <f>ROUND(SUM(W21:W25)/U25,1)</f>
        <v>2.4</v>
      </c>
      <c r="X26" s="1569"/>
      <c r="Y26" s="1569"/>
      <c r="Z26" s="1569"/>
      <c r="AA26" s="1569"/>
      <c r="AB26" s="1569"/>
      <c r="AC26" s="1569"/>
      <c r="AD26" s="1569"/>
      <c r="AE26" s="1569"/>
      <c r="AF26" s="1569"/>
      <c r="AG26" s="1569"/>
      <c r="AH26" s="1569"/>
      <c r="AI26" s="1569"/>
      <c r="AJ26" s="1569"/>
      <c r="AK26" s="1569"/>
      <c r="AL26" s="1569"/>
      <c r="AM26" s="1569"/>
    </row>
    <row r="27" spans="1:67" s="2304" customFormat="1" ht="28.5" thickBot="1">
      <c r="A27" s="2302" t="s">
        <v>2019</v>
      </c>
      <c r="B27" s="2983">
        <v>0</v>
      </c>
      <c r="C27" s="1751" t="s">
        <v>2020</v>
      </c>
      <c r="D27" s="2303"/>
      <c r="E27" s="1416"/>
      <c r="F27" s="1416"/>
      <c r="G27" s="2257"/>
      <c r="H27" s="2257"/>
      <c r="I27" s="2257"/>
      <c r="J27" s="2257"/>
      <c r="K27" s="166" t="s">
        <v>4685</v>
      </c>
      <c r="L27" s="166"/>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04" customFormat="1" ht="27.75">
      <c r="A28" s="2305" t="s">
        <v>2021</v>
      </c>
      <c r="B28" s="2983">
        <v>0</v>
      </c>
      <c r="C28" s="2306"/>
      <c r="D28" s="2303"/>
      <c r="E28" s="1416"/>
      <c r="F28" s="1416"/>
      <c r="G28" s="2257"/>
      <c r="H28" s="2257"/>
      <c r="I28" s="2257"/>
      <c r="J28" s="2257"/>
      <c r="K28" s="166"/>
      <c r="L28" s="166"/>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04" customFormat="1" ht="28.5" thickBot="1">
      <c r="A29" s="2307" t="s">
        <v>2022</v>
      </c>
      <c r="B29" s="119"/>
      <c r="C29" s="1751" t="s">
        <v>2023</v>
      </c>
      <c r="D29" s="2303"/>
      <c r="E29" s="1416"/>
      <c r="F29" s="1416"/>
      <c r="G29" s="2257"/>
      <c r="H29" s="2257"/>
      <c r="I29" s="2257"/>
      <c r="J29" s="2257"/>
      <c r="K29" s="166"/>
      <c r="L29" s="166"/>
      <c r="M29" s="1569"/>
      <c r="N29" s="1569"/>
      <c r="O29" s="1569"/>
      <c r="P29" s="1569"/>
      <c r="Q29" s="1569"/>
      <c r="R29" s="1569"/>
      <c r="S29" s="1569">
        <f ca="1">结果表!H101</f>
        <v>27909</v>
      </c>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04" customFormat="1" ht="27">
      <c r="A30" s="2308" t="s">
        <v>2024</v>
      </c>
      <c r="B30" s="721">
        <v>200</v>
      </c>
      <c r="C30" s="2306"/>
      <c r="D30" s="2303"/>
      <c r="E30" s="1416"/>
      <c r="F30" s="1416"/>
      <c r="G30" s="2257"/>
      <c r="H30" s="2257"/>
      <c r="I30" s="2257"/>
      <c r="J30" s="2257"/>
      <c r="K30" s="166"/>
      <c r="L30" s="166"/>
      <c r="M30" s="1569"/>
      <c r="N30" s="1569"/>
      <c r="O30" s="1569"/>
      <c r="P30" s="1569"/>
      <c r="Q30" s="1569"/>
      <c r="R30" s="1569"/>
      <c r="S30" s="1569">
        <v>27902</v>
      </c>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04" customFormat="1" ht="27">
      <c r="A31" s="2305" t="s">
        <v>2025</v>
      </c>
      <c r="B31" s="118">
        <f>B30-B32</f>
        <v>50</v>
      </c>
      <c r="C31" s="1751"/>
      <c r="D31" s="2303"/>
      <c r="E31" s="1416"/>
      <c r="F31" s="1416"/>
      <c r="G31" s="2257"/>
      <c r="H31" s="2257"/>
      <c r="I31" s="2257"/>
      <c r="J31" s="2257"/>
      <c r="K31" s="166"/>
      <c r="L31" s="166"/>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04" customFormat="1" ht="27.75" thickBot="1">
      <c r="A32" s="2309" t="s">
        <v>2026</v>
      </c>
      <c r="B32" s="722">
        <v>150</v>
      </c>
      <c r="C32" s="2306"/>
      <c r="D32" s="2258"/>
      <c r="E32" s="2257"/>
      <c r="F32" s="2257"/>
      <c r="G32" s="2257"/>
      <c r="H32" s="2257"/>
      <c r="I32" s="2257"/>
      <c r="J32" s="2257"/>
      <c r="K32" s="166"/>
      <c r="L32" s="166"/>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04" customFormat="1" ht="14.25">
      <c r="A33" s="2302" t="s">
        <v>2027</v>
      </c>
      <c r="B33" s="723">
        <v>0.03</v>
      </c>
      <c r="C33" s="1750" t="s">
        <v>2028</v>
      </c>
      <c r="D33" s="2258"/>
      <c r="E33" s="2257"/>
      <c r="F33" s="2257"/>
      <c r="G33" s="2257"/>
      <c r="H33" s="2257"/>
      <c r="I33" s="2257"/>
      <c r="J33" s="2257"/>
      <c r="K33" s="166"/>
      <c r="L33" s="166"/>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04" customFormat="1" ht="14.25">
      <c r="A34" s="2305" t="s">
        <v>2029</v>
      </c>
      <c r="B34" s="120">
        <v>0</v>
      </c>
      <c r="C34" s="1750" t="s">
        <v>2030</v>
      </c>
      <c r="D34" s="2258" t="s">
        <v>2031</v>
      </c>
      <c r="E34" s="729"/>
      <c r="F34" s="2257"/>
      <c r="G34" s="2257"/>
      <c r="H34" s="2257"/>
      <c r="I34" s="2257"/>
      <c r="J34" s="2257"/>
      <c r="K34" s="166"/>
      <c r="L34" s="166"/>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04" customFormat="1" ht="14.25">
      <c r="A35" s="2305" t="s">
        <v>2032</v>
      </c>
      <c r="B35" s="117">
        <f>B30</f>
        <v>200</v>
      </c>
      <c r="C35" s="1750" t="s">
        <v>2033</v>
      </c>
      <c r="D35" s="2303"/>
      <c r="E35" s="1416"/>
      <c r="F35" s="1416"/>
      <c r="G35" s="2257"/>
      <c r="H35" s="2257"/>
      <c r="I35" s="2257"/>
      <c r="J35" s="2257"/>
      <c r="K35" s="166"/>
      <c r="L35" s="166"/>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7" t="s">
        <v>2034</v>
      </c>
      <c r="B36" s="121">
        <v>1.4999999999999999E-2</v>
      </c>
      <c r="C36" s="1750" t="s">
        <v>2035</v>
      </c>
      <c r="D36" s="2258"/>
      <c r="E36" s="2257"/>
      <c r="F36" s="2257"/>
      <c r="G36" s="2257"/>
      <c r="H36" s="2257"/>
      <c r="I36" s="2257"/>
      <c r="J36" s="2257"/>
      <c r="K36" s="166"/>
      <c r="L36" s="166"/>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08" t="s">
        <v>2036</v>
      </c>
      <c r="B37" s="122">
        <v>0.02</v>
      </c>
      <c r="C37" s="1750" t="s">
        <v>2037</v>
      </c>
      <c r="D37" s="2258"/>
      <c r="E37" s="2257"/>
      <c r="F37" s="2257"/>
      <c r="G37" s="2257"/>
      <c r="H37" s="2257"/>
      <c r="I37" s="2257"/>
      <c r="J37" s="2257"/>
      <c r="K37" s="166"/>
      <c r="L37" s="166"/>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05" t="s">
        <v>2038</v>
      </c>
      <c r="B38" s="120">
        <v>0.01</v>
      </c>
      <c r="C38" s="1750" t="s">
        <v>2037</v>
      </c>
      <c r="D38" s="2258"/>
      <c r="E38" s="2257"/>
      <c r="F38" s="2257"/>
      <c r="G38" s="2257"/>
      <c r="H38" s="2257"/>
      <c r="I38" s="2257"/>
      <c r="J38" s="2257"/>
      <c r="K38" s="166"/>
      <c r="L38" s="166"/>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09" t="s">
        <v>2039</v>
      </c>
      <c r="B39" s="360">
        <f ca="1">存贷款利率!I1</f>
        <v>1.4999999999999999E-2</v>
      </c>
      <c r="C39" s="1750"/>
      <c r="D39" s="2258"/>
      <c r="E39" s="2257"/>
      <c r="F39" s="2257"/>
      <c r="G39" s="2257"/>
      <c r="H39" s="2257"/>
      <c r="I39" s="2257"/>
      <c r="J39" s="2257"/>
      <c r="K39" s="166"/>
      <c r="L39" s="166"/>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09" t="s">
        <v>2040</v>
      </c>
      <c r="B40" s="1289">
        <f ca="1">存贷款利率!G1</f>
        <v>4.7500000000000001E-2</v>
      </c>
      <c r="C40" s="1750" t="s">
        <v>2041</v>
      </c>
      <c r="D40" s="1569"/>
      <c r="E40" s="2258"/>
      <c r="F40" s="2257"/>
      <c r="G40" s="2257"/>
      <c r="H40" s="2257"/>
      <c r="I40" s="2257"/>
      <c r="J40" s="2257"/>
      <c r="K40" s="166"/>
      <c r="L40" s="166"/>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02" t="s">
        <v>2042</v>
      </c>
      <c r="B41" s="123">
        <f>B42+B43</f>
        <v>5.6000000000000001E-2</v>
      </c>
      <c r="C41" s="1751"/>
      <c r="D41" s="1569"/>
      <c r="E41" s="2258"/>
      <c r="F41" s="2257"/>
      <c r="G41" s="2257"/>
      <c r="H41" s="2257"/>
      <c r="I41" s="2257"/>
      <c r="J41" s="2257"/>
      <c r="K41" s="166"/>
      <c r="L41" s="166"/>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0" t="s">
        <v>2043</v>
      </c>
      <c r="B42" s="124">
        <v>0.05</v>
      </c>
      <c r="C42" s="2311">
        <f>IF(B2&lt;DATE(2016,5,1),0,B42)</f>
        <v>0.05</v>
      </c>
      <c r="D42" s="2258"/>
      <c r="E42" s="2257"/>
      <c r="F42" s="2257"/>
      <c r="G42" s="2257"/>
      <c r="H42" s="2257"/>
      <c r="I42" s="2257"/>
      <c r="J42" s="2257"/>
      <c r="K42" s="166"/>
      <c r="L42" s="166"/>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0" t="s">
        <v>2044</v>
      </c>
      <c r="B43" s="125">
        <f>B42*(B44+B45+B46)+B47</f>
        <v>6.000000000000001E-3</v>
      </c>
      <c r="C43" s="1751"/>
      <c r="D43" s="2258"/>
      <c r="E43" s="2257"/>
      <c r="F43" s="2257"/>
      <c r="G43" s="2257"/>
      <c r="H43" s="2257"/>
      <c r="I43" s="2257"/>
      <c r="J43" s="2257"/>
      <c r="K43" s="166"/>
      <c r="L43" s="166"/>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12" t="s">
        <v>2045</v>
      </c>
      <c r="B44" s="126">
        <v>7.0000000000000007E-2</v>
      </c>
      <c r="C44" s="1750" t="s">
        <v>2046</v>
      </c>
      <c r="D44" s="2258"/>
      <c r="E44" s="2257"/>
      <c r="F44" s="2257"/>
      <c r="G44" s="2257"/>
      <c r="H44" s="2257"/>
      <c r="I44" s="2257"/>
      <c r="J44" s="2257"/>
      <c r="K44" s="166"/>
      <c r="L44" s="166"/>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12" t="s">
        <v>2047</v>
      </c>
      <c r="B45" s="124">
        <v>0.03</v>
      </c>
      <c r="C45" s="1751" t="s">
        <v>2048</v>
      </c>
      <c r="D45" s="2258"/>
      <c r="E45" s="2257"/>
      <c r="F45" s="2257"/>
      <c r="G45" s="2257"/>
      <c r="H45" s="2257"/>
      <c r="I45" s="2257"/>
      <c r="J45" s="2257"/>
      <c r="K45" s="166"/>
      <c r="L45" s="166"/>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12" t="s">
        <v>2049</v>
      </c>
      <c r="B46" s="124">
        <v>0.02</v>
      </c>
      <c r="C46" s="1751" t="s">
        <v>2050</v>
      </c>
      <c r="D46" s="2258"/>
      <c r="E46" s="2257"/>
      <c r="F46" s="2257"/>
      <c r="G46" s="2257"/>
      <c r="H46" s="2257"/>
      <c r="I46" s="2257"/>
      <c r="J46" s="2257"/>
      <c r="K46" s="166"/>
      <c r="L46" s="166"/>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13" t="s">
        <v>2051</v>
      </c>
      <c r="B47" s="127">
        <v>0</v>
      </c>
      <c r="C47" s="1751" t="s">
        <v>2052</v>
      </c>
      <c r="D47" s="2258"/>
      <c r="E47" s="2257"/>
      <c r="F47" s="2257"/>
      <c r="G47" s="2257"/>
      <c r="H47" s="2257"/>
      <c r="I47" s="2257"/>
      <c r="J47" s="2257"/>
      <c r="K47" s="166"/>
      <c r="L47" s="166"/>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14" t="s">
        <v>2053</v>
      </c>
      <c r="B48" s="128">
        <v>0.03</v>
      </c>
      <c r="C48" s="1758" t="s">
        <v>2054</v>
      </c>
      <c r="D48" s="2258"/>
      <c r="E48" s="2257"/>
      <c r="F48" s="2257"/>
      <c r="G48" s="2257"/>
      <c r="H48" s="2257"/>
      <c r="I48" s="2257"/>
      <c r="J48" s="2257"/>
      <c r="K48" s="166"/>
      <c r="L48" s="166"/>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09" t="s">
        <v>2055</v>
      </c>
      <c r="B49" s="124">
        <v>5.0000000000000001E-4</v>
      </c>
      <c r="C49" s="1758" t="s">
        <v>2056</v>
      </c>
      <c r="D49" s="2258"/>
      <c r="E49" s="2257"/>
      <c r="F49" s="2257"/>
      <c r="G49" s="2257"/>
      <c r="H49" s="2257"/>
      <c r="I49" s="2257"/>
      <c r="J49" s="2257"/>
      <c r="K49" s="166"/>
      <c r="L49" s="166"/>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15" t="s">
        <v>2057</v>
      </c>
      <c r="B50" s="129">
        <v>1.2E-2</v>
      </c>
      <c r="C50" s="1416"/>
      <c r="D50" s="2258"/>
      <c r="E50" s="2257"/>
      <c r="F50" s="2257"/>
      <c r="G50" s="2257"/>
      <c r="H50" s="2257"/>
      <c r="I50" s="2257"/>
      <c r="J50" s="2257"/>
      <c r="K50" s="166"/>
      <c r="L50" s="166"/>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07" t="s">
        <v>2058</v>
      </c>
      <c r="B51" s="130">
        <v>0.12</v>
      </c>
      <c r="C51" s="1416"/>
      <c r="D51" s="2258"/>
      <c r="E51" s="2257"/>
      <c r="F51" s="2257"/>
      <c r="G51" s="2257"/>
      <c r="H51" s="2257"/>
      <c r="I51" s="2257"/>
      <c r="J51" s="2257"/>
      <c r="K51" s="166"/>
      <c r="L51" s="166"/>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15" t="s">
        <v>2059</v>
      </c>
      <c r="B52" s="131">
        <f>SUMIF(A54:A63,B53,B54:B63)</f>
        <v>5</v>
      </c>
      <c r="C52" s="1416"/>
      <c r="D52" s="2258"/>
      <c r="E52" s="2257"/>
      <c r="F52" s="2257"/>
      <c r="G52" s="2257"/>
      <c r="H52" s="2257"/>
      <c r="I52" s="2257"/>
      <c r="J52" s="2257"/>
      <c r="K52" s="166"/>
      <c r="L52" s="166"/>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05" t="s">
        <v>2060</v>
      </c>
      <c r="B53" s="2316" t="s">
        <v>56</v>
      </c>
      <c r="C53" s="1416" t="s">
        <v>2061</v>
      </c>
      <c r="D53" s="2317" t="s">
        <v>2062</v>
      </c>
      <c r="E53" s="2257"/>
      <c r="F53" s="2257"/>
      <c r="G53" s="2257"/>
      <c r="H53" s="2257"/>
      <c r="I53" s="2257"/>
      <c r="J53" s="2257"/>
      <c r="K53" s="166"/>
      <c r="L53" s="166"/>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18" t="s">
        <v>2063</v>
      </c>
      <c r="B54" s="83"/>
      <c r="C54" s="1416">
        <v>30</v>
      </c>
      <c r="D54" s="2258"/>
      <c r="E54" s="2257"/>
      <c r="F54" s="2257"/>
      <c r="G54" s="2257"/>
      <c r="H54" s="2257"/>
      <c r="I54" s="2257"/>
      <c r="J54" s="2257"/>
      <c r="K54" s="166"/>
      <c r="L54" s="166"/>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18" t="s">
        <v>2064</v>
      </c>
      <c r="B55" s="83"/>
      <c r="C55" s="1416">
        <v>24</v>
      </c>
      <c r="D55" s="2258"/>
      <c r="E55" s="2257"/>
      <c r="F55" s="2257"/>
      <c r="G55" s="2257"/>
      <c r="H55" s="2257"/>
      <c r="I55" s="2319"/>
      <c r="J55" s="2257"/>
      <c r="K55" s="166"/>
      <c r="L55" s="166"/>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18" t="s">
        <v>2065</v>
      </c>
      <c r="B56" s="83"/>
      <c r="C56" s="1416">
        <v>18</v>
      </c>
      <c r="D56" s="2258"/>
      <c r="E56" s="2257"/>
      <c r="F56" s="2257"/>
      <c r="G56" s="2257"/>
      <c r="H56" s="2257"/>
      <c r="I56" s="2257"/>
      <c r="J56" s="2257"/>
      <c r="K56" s="166"/>
      <c r="L56" s="166"/>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18" t="s">
        <v>2066</v>
      </c>
      <c r="B57" s="83"/>
      <c r="C57" s="1416">
        <v>12</v>
      </c>
      <c r="D57" s="2258"/>
      <c r="E57" s="2257"/>
      <c r="F57" s="2257"/>
      <c r="G57" s="2257"/>
      <c r="H57" s="2257"/>
      <c r="I57" s="2257"/>
      <c r="J57" s="2257"/>
      <c r="K57" s="166"/>
      <c r="L57" s="166"/>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18" t="s">
        <v>2067</v>
      </c>
      <c r="B58" s="83"/>
      <c r="C58" s="1416">
        <v>3</v>
      </c>
      <c r="D58" s="2258"/>
      <c r="E58" s="2257"/>
      <c r="F58" s="2257"/>
      <c r="G58" s="2257"/>
      <c r="H58" s="2257"/>
      <c r="I58" s="2257"/>
      <c r="J58" s="2257"/>
      <c r="K58" s="166"/>
      <c r="L58" s="166"/>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18" t="s">
        <v>2068</v>
      </c>
      <c r="B59" s="83">
        <v>5</v>
      </c>
      <c r="C59" s="1416">
        <v>1.5</v>
      </c>
      <c r="D59" s="2258"/>
      <c r="E59" s="2257"/>
      <c r="F59" s="2257"/>
      <c r="G59" s="2257"/>
      <c r="H59" s="2257"/>
      <c r="I59" s="2257"/>
      <c r="J59" s="2257"/>
      <c r="K59" s="166"/>
      <c r="L59" s="166"/>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18" t="s">
        <v>2069</v>
      </c>
      <c r="B60" s="83"/>
      <c r="C60" s="2257"/>
      <c r="D60" s="2258"/>
      <c r="E60" s="2257"/>
      <c r="F60" s="2257"/>
      <c r="G60" s="2257"/>
      <c r="H60" s="2257"/>
      <c r="I60" s="2257"/>
      <c r="J60" s="2257"/>
      <c r="K60" s="166"/>
      <c r="L60" s="166"/>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18" t="s">
        <v>2070</v>
      </c>
      <c r="B61" s="83"/>
      <c r="C61" s="2257"/>
      <c r="D61" s="2258"/>
      <c r="E61" s="2257"/>
      <c r="F61" s="2257"/>
      <c r="G61" s="2257"/>
      <c r="H61" s="2257"/>
      <c r="I61" s="2257"/>
      <c r="J61" s="2257"/>
      <c r="K61" s="166"/>
      <c r="L61" s="166"/>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18" t="s">
        <v>2071</v>
      </c>
      <c r="B62" s="83"/>
      <c r="C62" s="2257"/>
      <c r="D62" s="2258"/>
      <c r="E62" s="2257"/>
      <c r="F62" s="2257"/>
      <c r="G62" s="2257"/>
      <c r="H62" s="2257"/>
      <c r="I62" s="2257"/>
      <c r="J62" s="2257"/>
      <c r="K62" s="166"/>
      <c r="L62" s="166"/>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0" t="s">
        <v>2072</v>
      </c>
      <c r="B63" s="132"/>
      <c r="C63" s="2257"/>
      <c r="D63" s="2258"/>
      <c r="E63" s="2257"/>
      <c r="F63" s="2257"/>
      <c r="G63" s="2257"/>
      <c r="H63" s="2257"/>
      <c r="I63" s="2257"/>
      <c r="J63" s="2257"/>
      <c r="K63" s="166"/>
      <c r="L63" s="166"/>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4" customFormat="1">
      <c r="A64" s="2321"/>
      <c r="D64" s="2322"/>
      <c r="K64" s="795"/>
      <c r="L64" s="795"/>
    </row>
    <row r="65" spans="1:12" s="954" customFormat="1">
      <c r="A65" s="2321"/>
      <c r="D65" s="2322"/>
      <c r="K65" s="795"/>
      <c r="L65" s="795"/>
    </row>
    <row r="66" spans="1:12" s="954" customFormat="1">
      <c r="A66" s="2321"/>
      <c r="D66" s="2322"/>
      <c r="K66" s="795"/>
      <c r="L66" s="795"/>
    </row>
    <row r="67" spans="1:12" s="954" customFormat="1">
      <c r="A67" s="2321"/>
      <c r="D67" s="2322"/>
      <c r="K67" s="795"/>
      <c r="L67" s="795"/>
    </row>
    <row r="68" spans="1:12" s="954" customFormat="1">
      <c r="A68" s="2321"/>
      <c r="D68" s="2322"/>
      <c r="K68" s="795"/>
      <c r="L68" s="795"/>
    </row>
    <row r="69" spans="1:12" s="954" customFormat="1">
      <c r="A69" s="2321"/>
      <c r="D69" s="2322"/>
      <c r="K69" s="795"/>
      <c r="L69" s="795"/>
    </row>
    <row r="70" spans="1:12" s="954" customFormat="1">
      <c r="A70" s="2321"/>
      <c r="D70" s="2322"/>
      <c r="K70" s="795"/>
      <c r="L70" s="795"/>
    </row>
    <row r="71" spans="1:12" s="954" customFormat="1">
      <c r="A71" s="2321"/>
      <c r="D71" s="2322"/>
      <c r="K71" s="795"/>
      <c r="L71" s="795"/>
    </row>
    <row r="72" spans="1:12" s="954" customFormat="1">
      <c r="A72" s="2321"/>
      <c r="D72" s="2322"/>
      <c r="K72" s="795"/>
      <c r="L72" s="795"/>
    </row>
    <row r="73" spans="1:12" s="954" customFormat="1">
      <c r="A73" s="2321"/>
      <c r="D73" s="2322"/>
      <c r="K73" s="795"/>
      <c r="L73" s="795"/>
    </row>
    <row r="74" spans="1:12" s="954" customFormat="1">
      <c r="A74" s="2321"/>
      <c r="D74" s="2322"/>
      <c r="K74" s="795"/>
      <c r="L74" s="795"/>
    </row>
    <row r="75" spans="1:12" s="954" customFormat="1">
      <c r="A75" s="2321"/>
      <c r="D75" s="2322"/>
      <c r="K75" s="795"/>
      <c r="L75" s="795"/>
    </row>
    <row r="76" spans="1:12" s="954" customFormat="1">
      <c r="A76" s="2321"/>
      <c r="D76" s="2322"/>
      <c r="K76" s="795"/>
      <c r="L76" s="795"/>
    </row>
    <row r="77" spans="1:12" s="954" customFormat="1">
      <c r="A77" s="2321"/>
      <c r="D77" s="2322"/>
      <c r="K77" s="795"/>
      <c r="L77" s="795"/>
    </row>
    <row r="78" spans="1:12" s="954" customFormat="1">
      <c r="A78" s="2321"/>
      <c r="D78" s="2322"/>
      <c r="K78" s="795"/>
      <c r="L78" s="795"/>
    </row>
    <row r="79" spans="1:12" s="954" customFormat="1">
      <c r="A79" s="2321"/>
      <c r="D79" s="2322"/>
      <c r="K79" s="795"/>
      <c r="L79" s="795"/>
    </row>
    <row r="80" spans="1:12" s="954" customFormat="1">
      <c r="A80" s="2321"/>
      <c r="D80" s="2322"/>
      <c r="K80" s="795"/>
      <c r="L80" s="795"/>
    </row>
    <row r="81" spans="1:12" s="954" customFormat="1">
      <c r="A81" s="2321"/>
      <c r="D81" s="2322"/>
      <c r="K81" s="795"/>
      <c r="L81" s="795"/>
    </row>
    <row r="82" spans="1:12" s="954" customFormat="1">
      <c r="A82" s="2321"/>
      <c r="D82" s="2322"/>
      <c r="K82" s="795"/>
      <c r="L82" s="795"/>
    </row>
    <row r="83" spans="1:12" s="954" customFormat="1">
      <c r="A83" s="2321"/>
      <c r="D83" s="2322"/>
      <c r="K83" s="795"/>
      <c r="L83" s="795"/>
    </row>
    <row r="84" spans="1:12" s="954" customFormat="1">
      <c r="A84" s="2321"/>
      <c r="D84" s="2322"/>
      <c r="K84" s="795"/>
      <c r="L84" s="795"/>
    </row>
    <row r="85" spans="1:12" s="954" customFormat="1">
      <c r="A85" s="2321"/>
      <c r="D85" s="2322"/>
      <c r="K85" s="795"/>
      <c r="L85" s="795"/>
    </row>
    <row r="86" spans="1:12" s="954" customFormat="1">
      <c r="A86" s="2321"/>
      <c r="D86" s="2322"/>
      <c r="K86" s="795"/>
      <c r="L86" s="795"/>
    </row>
    <row r="87" spans="1:12" s="954" customFormat="1">
      <c r="A87" s="2321"/>
      <c r="D87" s="2322"/>
      <c r="K87" s="795"/>
      <c r="L87" s="795"/>
    </row>
    <row r="88" spans="1:12" s="954" customFormat="1">
      <c r="A88" s="2321"/>
      <c r="D88" s="2322"/>
      <c r="K88" s="795"/>
      <c r="L88" s="795"/>
    </row>
    <row r="89" spans="1:12" s="954" customFormat="1">
      <c r="A89" s="2321"/>
      <c r="D89" s="2322"/>
      <c r="K89" s="795"/>
      <c r="L89" s="795"/>
    </row>
    <row r="90" spans="1:12" s="954" customFormat="1">
      <c r="A90" s="2321"/>
      <c r="D90" s="2322"/>
      <c r="K90" s="795"/>
      <c r="L90" s="795"/>
    </row>
    <row r="91" spans="1:12" s="954" customFormat="1">
      <c r="A91" s="2321"/>
      <c r="D91" s="2322"/>
      <c r="K91" s="795"/>
      <c r="L91" s="795"/>
    </row>
    <row r="92" spans="1:12" s="954" customFormat="1">
      <c r="A92" s="2321"/>
      <c r="D92" s="2322"/>
      <c r="K92" s="795"/>
      <c r="L92" s="795"/>
    </row>
    <row r="93" spans="1:12" s="954" customFormat="1">
      <c r="A93" s="2321"/>
      <c r="D93" s="2322"/>
      <c r="K93" s="795"/>
      <c r="L93" s="795"/>
    </row>
    <row r="94" spans="1:12" s="954" customFormat="1">
      <c r="A94" s="2321"/>
      <c r="D94" s="2322"/>
      <c r="K94" s="795"/>
      <c r="L94" s="795"/>
    </row>
    <row r="95" spans="1:12" s="954" customFormat="1">
      <c r="A95" s="2321"/>
      <c r="D95" s="2322"/>
      <c r="K95" s="795"/>
      <c r="L95" s="795"/>
    </row>
    <row r="96" spans="1:12" s="954" customFormat="1">
      <c r="A96" s="2321"/>
      <c r="D96" s="2322"/>
      <c r="K96" s="795"/>
      <c r="L96" s="795"/>
    </row>
    <row r="97" spans="1:12" s="954" customFormat="1">
      <c r="A97" s="2321"/>
      <c r="D97" s="2322"/>
      <c r="K97" s="795"/>
      <c r="L97" s="795"/>
    </row>
    <row r="98" spans="1:12" s="954" customFormat="1">
      <c r="A98" s="2321"/>
      <c r="D98" s="2322"/>
      <c r="K98" s="795"/>
      <c r="L98" s="795"/>
    </row>
    <row r="99" spans="1:12" s="954" customFormat="1">
      <c r="A99" s="2321"/>
      <c r="D99" s="2322"/>
      <c r="K99" s="795"/>
      <c r="L99" s="795"/>
    </row>
    <row r="100" spans="1:12" s="954" customFormat="1">
      <c r="A100" s="2321"/>
      <c r="D100" s="2322"/>
      <c r="K100" s="795"/>
      <c r="L100" s="795"/>
    </row>
    <row r="101" spans="1:12" s="954" customFormat="1">
      <c r="A101" s="2321"/>
      <c r="D101" s="2322"/>
      <c r="K101" s="795"/>
      <c r="L101" s="795"/>
    </row>
    <row r="102" spans="1:12" s="954" customFormat="1">
      <c r="A102" s="2321"/>
      <c r="D102" s="2322"/>
      <c r="K102" s="795"/>
      <c r="L102" s="795"/>
    </row>
    <row r="103" spans="1:12" s="954" customFormat="1">
      <c r="A103" s="2321"/>
      <c r="D103" s="2322"/>
      <c r="K103" s="795"/>
      <c r="L103" s="795"/>
    </row>
    <row r="104" spans="1:12" s="954" customFormat="1">
      <c r="A104" s="2321"/>
      <c r="D104" s="2322"/>
      <c r="K104" s="795"/>
      <c r="L104" s="795"/>
    </row>
    <row r="105" spans="1:12" s="954" customFormat="1">
      <c r="A105" s="2321"/>
      <c r="D105" s="2322"/>
      <c r="K105" s="795"/>
      <c r="L105" s="795"/>
    </row>
    <row r="106" spans="1:12" s="954" customFormat="1">
      <c r="A106" s="2321"/>
      <c r="D106" s="2322"/>
      <c r="K106" s="795"/>
      <c r="L106" s="795"/>
    </row>
    <row r="107" spans="1:12" s="954" customFormat="1">
      <c r="A107" s="2321"/>
      <c r="D107" s="2322"/>
      <c r="K107" s="795"/>
      <c r="L107" s="795"/>
    </row>
    <row r="108" spans="1:12" s="954" customFormat="1">
      <c r="A108" s="2321"/>
      <c r="D108" s="2322"/>
      <c r="K108" s="795"/>
      <c r="L108" s="795"/>
    </row>
    <row r="109" spans="1:12" s="954" customFormat="1">
      <c r="A109" s="2321"/>
      <c r="D109" s="2322"/>
      <c r="K109" s="795"/>
      <c r="L109" s="795"/>
    </row>
    <row r="110" spans="1:12" s="954" customFormat="1">
      <c r="A110" s="2321"/>
      <c r="D110" s="2322"/>
      <c r="K110" s="795"/>
      <c r="L110" s="795"/>
    </row>
    <row r="111" spans="1:12" s="954" customFormat="1">
      <c r="A111" s="2321"/>
      <c r="D111" s="2322"/>
      <c r="K111" s="795"/>
      <c r="L111" s="795"/>
    </row>
    <row r="112" spans="1:12" s="954" customFormat="1">
      <c r="A112" s="2321"/>
      <c r="D112" s="2322"/>
      <c r="K112" s="795"/>
      <c r="L112" s="795"/>
    </row>
    <row r="113" spans="1:12" s="954" customFormat="1">
      <c r="A113" s="2321"/>
      <c r="D113" s="2322"/>
      <c r="K113" s="795"/>
      <c r="L113" s="795"/>
    </row>
    <row r="114" spans="1:12" s="954" customFormat="1">
      <c r="A114" s="2321"/>
      <c r="D114" s="2322"/>
      <c r="K114" s="795"/>
      <c r="L114" s="795"/>
    </row>
    <row r="115" spans="1:12" s="954" customFormat="1">
      <c r="A115" s="2321"/>
      <c r="D115" s="2322"/>
      <c r="K115" s="795"/>
      <c r="L115" s="795"/>
    </row>
    <row r="116" spans="1:12" s="954" customFormat="1">
      <c r="A116" s="2321"/>
      <c r="D116" s="2322"/>
      <c r="K116" s="795"/>
      <c r="L116" s="795"/>
    </row>
    <row r="117" spans="1:12" s="954" customFormat="1">
      <c r="A117" s="2321"/>
      <c r="D117" s="2322"/>
      <c r="K117" s="795"/>
      <c r="L117" s="795"/>
    </row>
    <row r="118" spans="1:12" s="954" customFormat="1">
      <c r="A118" s="2321"/>
      <c r="D118" s="2322"/>
      <c r="K118" s="795"/>
      <c r="L118" s="795"/>
    </row>
    <row r="119" spans="1:12" s="954" customFormat="1">
      <c r="A119" s="2321"/>
      <c r="D119" s="2322"/>
      <c r="K119" s="795"/>
      <c r="L119" s="795"/>
    </row>
    <row r="120" spans="1:12" s="954" customFormat="1">
      <c r="A120" s="2321"/>
      <c r="D120" s="2322"/>
      <c r="K120" s="795"/>
      <c r="L120" s="795"/>
    </row>
    <row r="121" spans="1:12" s="954" customFormat="1">
      <c r="A121" s="2321"/>
      <c r="D121" s="2322"/>
      <c r="K121" s="795"/>
      <c r="L121" s="795"/>
    </row>
    <row r="122" spans="1:12" s="954" customFormat="1">
      <c r="A122" s="2321"/>
      <c r="D122" s="2322"/>
      <c r="K122" s="795"/>
      <c r="L122" s="795"/>
    </row>
    <row r="123" spans="1:12" s="954" customFormat="1">
      <c r="A123" s="2321"/>
      <c r="D123" s="2322"/>
      <c r="K123" s="795"/>
      <c r="L123" s="795"/>
    </row>
    <row r="124" spans="1:12" s="954" customFormat="1">
      <c r="A124" s="2321"/>
      <c r="D124" s="2322"/>
      <c r="K124" s="795"/>
      <c r="L124" s="795"/>
    </row>
    <row r="125" spans="1:12" s="954" customFormat="1">
      <c r="A125" s="2321"/>
      <c r="D125" s="2322"/>
      <c r="K125" s="795"/>
      <c r="L125" s="795"/>
    </row>
    <row r="126" spans="1:12" s="954" customFormat="1">
      <c r="A126" s="2321"/>
      <c r="D126" s="2322"/>
      <c r="K126" s="795"/>
      <c r="L126" s="795"/>
    </row>
    <row r="127" spans="1:12" s="954" customFormat="1">
      <c r="A127" s="2321"/>
      <c r="D127" s="2322"/>
      <c r="K127" s="795"/>
      <c r="L127" s="795"/>
    </row>
    <row r="128" spans="1:12" s="954" customFormat="1">
      <c r="A128" s="2321"/>
      <c r="D128" s="2322"/>
      <c r="K128" s="795"/>
      <c r="L128" s="795"/>
    </row>
    <row r="129" spans="1:12" s="954" customFormat="1">
      <c r="A129" s="2321"/>
      <c r="D129" s="2322"/>
      <c r="K129" s="795"/>
      <c r="L129" s="795"/>
    </row>
    <row r="130" spans="1:12" s="954" customFormat="1">
      <c r="A130" s="2321"/>
      <c r="D130" s="2322"/>
      <c r="K130" s="795"/>
      <c r="L130" s="795"/>
    </row>
    <row r="131" spans="1:12" s="954" customFormat="1">
      <c r="A131" s="2321"/>
      <c r="D131" s="2322"/>
      <c r="K131" s="795"/>
      <c r="L131" s="795"/>
    </row>
    <row r="132" spans="1:12" s="954" customFormat="1">
      <c r="A132" s="2321"/>
      <c r="D132" s="2322"/>
      <c r="K132" s="795"/>
      <c r="L132" s="795"/>
    </row>
    <row r="133" spans="1:12" s="954" customFormat="1">
      <c r="A133" s="2321"/>
      <c r="D133" s="2322"/>
      <c r="K133" s="795"/>
      <c r="L133" s="795"/>
    </row>
    <row r="134" spans="1:12" s="2254" customFormat="1">
      <c r="A134" s="2323"/>
      <c r="D134" s="2324"/>
      <c r="K134" s="26"/>
      <c r="L134" s="26"/>
    </row>
    <row r="135" spans="1:12" s="2254" customFormat="1">
      <c r="A135" s="2323"/>
      <c r="D135" s="2324"/>
      <c r="K135" s="26"/>
      <c r="L135" s="26"/>
    </row>
    <row r="136" spans="1:12" s="2254" customFormat="1">
      <c r="A136" s="2323"/>
      <c r="D136" s="2324"/>
      <c r="K136" s="26"/>
      <c r="L136" s="26"/>
    </row>
    <row r="137" spans="1:12" s="2254" customFormat="1">
      <c r="A137" s="2323"/>
      <c r="D137" s="2324"/>
      <c r="K137" s="26"/>
      <c r="L137" s="26"/>
    </row>
    <row r="138" spans="1:12" s="2254" customFormat="1">
      <c r="A138" s="2323"/>
      <c r="D138" s="2324"/>
      <c r="K138" s="26"/>
      <c r="L138" s="26"/>
    </row>
    <row r="139" spans="1:12" s="2254" customFormat="1">
      <c r="A139" s="2323"/>
      <c r="D139" s="2324"/>
      <c r="K139" s="26"/>
      <c r="L139" s="26"/>
    </row>
    <row r="140" spans="1:12" s="2254" customFormat="1">
      <c r="A140" s="2323"/>
      <c r="D140" s="2324"/>
      <c r="K140" s="26"/>
      <c r="L140" s="26"/>
    </row>
    <row r="141" spans="1:12" s="2254" customFormat="1">
      <c r="A141" s="2323"/>
      <c r="D141" s="2324"/>
      <c r="K141" s="26"/>
      <c r="L141" s="26"/>
    </row>
    <row r="142" spans="1:12" s="2254" customFormat="1">
      <c r="A142" s="2323"/>
      <c r="D142" s="2324"/>
      <c r="K142" s="26"/>
      <c r="L142" s="26"/>
    </row>
    <row r="143" spans="1:12" s="2254" customFormat="1">
      <c r="A143" s="2323"/>
      <c r="D143" s="2324"/>
      <c r="K143" s="26"/>
      <c r="L143" s="26"/>
    </row>
    <row r="144" spans="1:12" s="2254" customFormat="1">
      <c r="A144" s="2323"/>
      <c r="D144" s="2324"/>
      <c r="K144" s="26"/>
      <c r="L144" s="26"/>
    </row>
    <row r="145" spans="1:12" s="2254" customFormat="1">
      <c r="A145" s="2323"/>
      <c r="D145" s="2324"/>
      <c r="K145" s="26"/>
      <c r="L145" s="26"/>
    </row>
    <row r="146" spans="1:12" s="2254" customFormat="1">
      <c r="A146" s="2323"/>
      <c r="D146" s="2324"/>
      <c r="K146" s="26"/>
      <c r="L146" s="26"/>
    </row>
    <row r="147" spans="1:12" s="2254" customFormat="1">
      <c r="A147" s="2323"/>
      <c r="D147" s="2324"/>
      <c r="K147" s="26"/>
      <c r="L147" s="26"/>
    </row>
    <row r="148" spans="1:12" s="2254" customFormat="1">
      <c r="A148" s="2323"/>
      <c r="D148" s="2324"/>
      <c r="K148" s="26"/>
      <c r="L148" s="26"/>
    </row>
    <row r="149" spans="1:12" s="2254" customFormat="1">
      <c r="A149" s="2323"/>
      <c r="D149" s="2324"/>
      <c r="K149" s="26"/>
      <c r="L149" s="26"/>
    </row>
    <row r="150" spans="1:12" s="2254" customFormat="1">
      <c r="A150" s="2323"/>
      <c r="D150" s="2324"/>
      <c r="K150" s="26"/>
      <c r="L150" s="26"/>
    </row>
    <row r="151" spans="1:12" s="2254" customFormat="1">
      <c r="A151" s="2323"/>
      <c r="D151" s="2324"/>
      <c r="K151" s="26"/>
      <c r="L151" s="26"/>
    </row>
    <row r="152" spans="1:12" s="2254" customFormat="1">
      <c r="A152" s="2323"/>
      <c r="D152" s="2324"/>
      <c r="K152" s="26"/>
      <c r="L152" s="26"/>
    </row>
    <row r="153" spans="1:12" s="2254" customFormat="1">
      <c r="A153" s="2323"/>
      <c r="D153" s="2324"/>
      <c r="K153" s="26"/>
      <c r="L153" s="26"/>
    </row>
    <row r="154" spans="1:12" s="2254" customFormat="1">
      <c r="A154" s="2323"/>
      <c r="D154" s="2324"/>
      <c r="K154" s="26"/>
      <c r="L154" s="26"/>
    </row>
    <row r="155" spans="1:12" s="2254" customFormat="1">
      <c r="A155" s="2323"/>
      <c r="D155" s="2324"/>
      <c r="K155" s="26"/>
      <c r="L155" s="26"/>
    </row>
    <row r="156" spans="1:12" s="2254" customFormat="1">
      <c r="A156" s="2323"/>
      <c r="D156" s="2324"/>
      <c r="K156" s="26"/>
      <c r="L156" s="26"/>
    </row>
    <row r="157" spans="1:12" s="2254" customFormat="1">
      <c r="A157" s="2323"/>
      <c r="D157" s="2324"/>
      <c r="K157" s="26"/>
      <c r="L157" s="26"/>
    </row>
    <row r="158" spans="1:12" s="2254" customFormat="1">
      <c r="A158" s="2323"/>
      <c r="D158" s="2324"/>
      <c r="K158" s="26"/>
      <c r="L158" s="26"/>
    </row>
    <row r="159" spans="1:12" s="2254" customFormat="1">
      <c r="A159" s="2323"/>
      <c r="D159" s="2324"/>
      <c r="K159" s="26"/>
      <c r="L159" s="26"/>
    </row>
    <row r="160" spans="1:12" s="2254" customFormat="1">
      <c r="A160" s="2323"/>
      <c r="D160" s="2324"/>
      <c r="K160" s="26"/>
      <c r="L160" s="26"/>
    </row>
    <row r="161" spans="1:12" s="2254" customFormat="1">
      <c r="A161" s="2323"/>
      <c r="D161" s="2324"/>
      <c r="K161" s="26"/>
      <c r="L161" s="26"/>
    </row>
    <row r="162" spans="1:12" s="2254" customFormat="1">
      <c r="A162" s="2323"/>
      <c r="D162" s="2324"/>
      <c r="K162" s="26"/>
      <c r="L162" s="26"/>
    </row>
    <row r="163" spans="1:12" s="2254" customFormat="1">
      <c r="A163" s="2323"/>
      <c r="D163" s="2324"/>
      <c r="K163" s="26"/>
      <c r="L163" s="26"/>
    </row>
    <row r="164" spans="1:12" s="2254" customFormat="1">
      <c r="A164" s="2323"/>
      <c r="D164" s="2324"/>
      <c r="K164" s="26"/>
      <c r="L164" s="26"/>
    </row>
    <row r="165" spans="1:12" s="2254" customFormat="1">
      <c r="A165" s="2323"/>
      <c r="D165" s="2324"/>
      <c r="K165" s="26"/>
      <c r="L165" s="26"/>
    </row>
    <row r="166" spans="1:12" s="2254" customFormat="1">
      <c r="A166" s="2323"/>
      <c r="D166" s="2324"/>
      <c r="K166" s="26"/>
      <c r="L166" s="26"/>
    </row>
    <row r="167" spans="1:12" s="2254" customFormat="1">
      <c r="A167" s="2323"/>
      <c r="D167" s="2324"/>
      <c r="K167" s="26"/>
      <c r="L167" s="26"/>
    </row>
    <row r="168" spans="1:12" s="2254" customFormat="1">
      <c r="A168" s="2323"/>
      <c r="D168" s="2324"/>
      <c r="K168" s="26"/>
      <c r="L168" s="26"/>
    </row>
    <row r="169" spans="1:12" s="2254" customFormat="1">
      <c r="A169" s="2323"/>
      <c r="D169" s="2324"/>
      <c r="K169" s="26"/>
      <c r="L169" s="26"/>
    </row>
    <row r="170" spans="1:12" s="2254" customFormat="1">
      <c r="A170" s="2323"/>
      <c r="D170" s="2324"/>
      <c r="K170" s="26"/>
      <c r="L170" s="26"/>
    </row>
    <row r="171" spans="1:12" s="2254" customFormat="1">
      <c r="A171" s="2323"/>
      <c r="D171" s="2324"/>
      <c r="K171" s="26"/>
      <c r="L171" s="26"/>
    </row>
    <row r="172" spans="1:12" s="2254" customFormat="1">
      <c r="A172" s="2323"/>
      <c r="D172" s="2324"/>
      <c r="K172" s="26"/>
      <c r="L172" s="26"/>
    </row>
    <row r="173" spans="1:12" s="2254" customFormat="1">
      <c r="A173" s="2323"/>
      <c r="D173" s="2324"/>
      <c r="K173" s="26"/>
      <c r="L173" s="26"/>
    </row>
    <row r="174" spans="1:12" s="2254" customFormat="1">
      <c r="A174" s="2323"/>
      <c r="D174" s="232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9" customWidth="1"/>
    <col min="2" max="2" width="24.5" style="2395" customWidth="1"/>
    <col min="3" max="3" width="24.5" style="2394" customWidth="1"/>
    <col min="4" max="4" width="2.625" style="2394" customWidth="1"/>
    <col min="5" max="5" width="5.875" style="2394" customWidth="1"/>
    <col min="6" max="6" width="27" style="2395" customWidth="1"/>
    <col min="7" max="7" width="27" style="2396" customWidth="1"/>
    <col min="8" max="8" width="11.875" style="2374" customWidth="1"/>
    <col min="9" max="9" width="16.75" style="2375" customWidth="1"/>
    <col min="10" max="10" width="2.625" style="2374" customWidth="1"/>
    <col min="11" max="11" width="11.875" style="2374" customWidth="1"/>
    <col min="12" max="12" width="16.75" style="2375" customWidth="1"/>
    <col min="13" max="13" width="2.625" style="2374" customWidth="1"/>
    <col min="14" max="14" width="11.875" style="2374" customWidth="1"/>
    <col min="15" max="15" width="16.75" style="2375" customWidth="1"/>
    <col min="16" max="16" width="2.625" style="2374" customWidth="1"/>
    <col min="17" max="17" width="11.875" style="2374" customWidth="1"/>
    <col min="18" max="18" width="16.75" style="2376" customWidth="1"/>
    <col min="19" max="29" width="9" style="2348"/>
    <col min="30" max="16384" width="9" style="2349"/>
  </cols>
  <sheetData>
    <row r="1" spans="1:29" s="2342" customFormat="1" ht="19.5" thickBot="1">
      <c r="A1" s="3145" t="s">
        <v>2073</v>
      </c>
      <c r="B1" s="3146"/>
      <c r="C1" s="3146"/>
      <c r="D1" s="3146"/>
      <c r="E1" s="3146"/>
      <c r="F1" s="3146"/>
      <c r="G1" s="3146"/>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75" thickBot="1">
      <c r="A2" s="2343"/>
      <c r="B2" s="2344"/>
      <c r="C2" s="2345" t="s">
        <v>2074</v>
      </c>
      <c r="D2" s="2346"/>
      <c r="E2" s="2347"/>
      <c r="F2" s="2266"/>
      <c r="G2" s="2345" t="s">
        <v>2075</v>
      </c>
      <c r="H2" s="2348"/>
      <c r="I2" s="2348"/>
      <c r="J2" s="2348"/>
      <c r="K2" s="2348"/>
      <c r="L2" s="2348"/>
      <c r="M2" s="2348"/>
      <c r="N2" s="2348"/>
      <c r="O2" s="2348"/>
      <c r="P2" s="2348"/>
      <c r="Q2" s="2348"/>
      <c r="R2" s="2348"/>
    </row>
    <row r="3" spans="1:29" ht="42.75">
      <c r="A3" s="413" t="s">
        <v>2076</v>
      </c>
      <c r="B3" s="1257" t="s">
        <v>2077</v>
      </c>
      <c r="C3" s="2937" t="s">
        <v>4461</v>
      </c>
      <c r="D3" s="2350"/>
      <c r="E3" s="428" t="s">
        <v>2076</v>
      </c>
      <c r="F3" s="2351" t="s">
        <v>2078</v>
      </c>
      <c r="G3" s="2352" t="s">
        <v>2079</v>
      </c>
      <c r="H3" s="2348"/>
      <c r="I3" s="2348"/>
      <c r="J3" s="2348"/>
      <c r="K3" s="2348"/>
      <c r="L3" s="2348"/>
      <c r="M3" s="2348"/>
      <c r="N3" s="2348"/>
      <c r="O3" s="2348"/>
      <c r="P3" s="2348"/>
      <c r="Q3" s="2348"/>
      <c r="R3" s="2348"/>
    </row>
    <row r="4" spans="1:29" ht="40.5">
      <c r="A4" s="428"/>
      <c r="B4" s="1782" t="s">
        <v>2080</v>
      </c>
      <c r="C4" s="2938" t="s">
        <v>4462</v>
      </c>
      <c r="D4" s="2350"/>
      <c r="E4" s="2353"/>
      <c r="F4" s="41" t="s">
        <v>2081</v>
      </c>
      <c r="G4" s="2354" t="s">
        <v>2082</v>
      </c>
      <c r="H4" s="2348"/>
      <c r="I4" s="2348"/>
      <c r="J4" s="2348"/>
      <c r="K4" s="2348"/>
      <c r="L4" s="2348"/>
      <c r="M4" s="2348"/>
      <c r="N4" s="2348"/>
      <c r="O4" s="2348"/>
      <c r="P4" s="2348"/>
      <c r="Q4" s="2348"/>
      <c r="R4" s="2348"/>
    </row>
    <row r="5" spans="1:29" ht="27">
      <c r="A5" s="428"/>
      <c r="B5" s="1782" t="s">
        <v>2083</v>
      </c>
      <c r="C5" s="2938" t="s">
        <v>4462</v>
      </c>
      <c r="D5" s="2350"/>
      <c r="E5" s="2353"/>
      <c r="F5" s="1782" t="s">
        <v>2084</v>
      </c>
      <c r="G5" s="2354" t="s">
        <v>2085</v>
      </c>
      <c r="H5" s="2348"/>
      <c r="I5" s="2348"/>
      <c r="J5" s="2348"/>
      <c r="K5" s="2348"/>
      <c r="L5" s="2348"/>
      <c r="M5" s="2348"/>
      <c r="N5" s="2348"/>
      <c r="O5" s="2348"/>
      <c r="P5" s="2348"/>
      <c r="Q5" s="2348"/>
      <c r="R5" s="2348"/>
    </row>
    <row r="6" spans="1:29" ht="15">
      <c r="A6" s="428"/>
      <c r="B6" s="1782" t="s">
        <v>2086</v>
      </c>
      <c r="C6" s="2939" t="s">
        <v>3063</v>
      </c>
      <c r="D6" s="2350"/>
      <c r="E6" s="2353"/>
      <c r="F6" s="1782" t="s">
        <v>2087</v>
      </c>
      <c r="G6" s="2354" t="s">
        <v>2088</v>
      </c>
      <c r="H6" s="2348"/>
      <c r="I6" s="2348"/>
      <c r="J6" s="2348"/>
      <c r="K6" s="2348"/>
      <c r="L6" s="2348"/>
      <c r="M6" s="2348"/>
      <c r="N6" s="2348"/>
      <c r="O6" s="2348"/>
      <c r="P6" s="2348"/>
      <c r="Q6" s="2348"/>
      <c r="R6" s="2348"/>
    </row>
    <row r="7" spans="1:29" ht="41.25" thickBot="1">
      <c r="A7" s="428"/>
      <c r="B7" s="1782" t="s">
        <v>2084</v>
      </c>
      <c r="C7" s="2939" t="s">
        <v>4463</v>
      </c>
      <c r="D7" s="2355"/>
      <c r="E7" s="2356"/>
      <c r="F7" s="2357" t="s">
        <v>2089</v>
      </c>
      <c r="G7" s="2358" t="s">
        <v>2090</v>
      </c>
      <c r="H7" s="2348"/>
      <c r="I7" s="2348"/>
      <c r="J7" s="2348"/>
      <c r="K7" s="2348"/>
      <c r="L7" s="2348"/>
      <c r="M7" s="2348"/>
      <c r="N7" s="2348"/>
      <c r="O7" s="2348"/>
      <c r="P7" s="2348"/>
      <c r="Q7" s="2348"/>
      <c r="R7" s="2348"/>
    </row>
    <row r="8" spans="1:29" ht="15">
      <c r="A8" s="428"/>
      <c r="B8" s="1782" t="s">
        <v>2087</v>
      </c>
      <c r="C8" s="2939" t="s">
        <v>3065</v>
      </c>
      <c r="D8" s="2355"/>
      <c r="E8" s="2355"/>
      <c r="F8" s="1122"/>
      <c r="G8" s="1122"/>
      <c r="H8" s="2348"/>
      <c r="I8" s="2348"/>
      <c r="J8" s="2348"/>
      <c r="K8" s="2348"/>
      <c r="L8" s="2348"/>
      <c r="M8" s="2348"/>
      <c r="N8" s="2348"/>
      <c r="O8" s="2348"/>
      <c r="P8" s="2348"/>
      <c r="Q8" s="2348"/>
      <c r="R8" s="2348"/>
    </row>
    <row r="9" spans="1:29" ht="15">
      <c r="A9" s="428"/>
      <c r="B9" s="1782" t="s">
        <v>2091</v>
      </c>
      <c r="C9" s="2938" t="s">
        <v>3067</v>
      </c>
      <c r="D9" s="2350"/>
      <c r="E9" s="2355"/>
      <c r="F9" s="1122"/>
      <c r="G9" s="1122"/>
      <c r="H9" s="2348"/>
      <c r="I9" s="2348"/>
      <c r="J9" s="2348"/>
      <c r="K9" s="2348"/>
      <c r="L9" s="2348"/>
      <c r="M9" s="2348"/>
      <c r="N9" s="2348"/>
      <c r="O9" s="2348"/>
      <c r="P9" s="2348"/>
      <c r="Q9" s="2348"/>
      <c r="R9" s="2348"/>
    </row>
    <row r="10" spans="1:29" s="115" customFormat="1" ht="15.75" thickBot="1">
      <c r="A10" s="2359"/>
      <c r="B10" s="2360" t="s">
        <v>2092</v>
      </c>
      <c r="C10" s="2361"/>
      <c r="D10" s="2350"/>
      <c r="E10" s="2350"/>
      <c r="F10" s="1122"/>
      <c r="G10" s="1122"/>
      <c r="H10" s="2362"/>
      <c r="I10" s="2363"/>
      <c r="J10" s="2364"/>
      <c r="K10" s="2362"/>
      <c r="L10" s="2363"/>
      <c r="M10" s="2364"/>
      <c r="N10" s="2362"/>
      <c r="O10" s="2363"/>
      <c r="P10" s="2364"/>
      <c r="Q10" s="2362"/>
      <c r="R10" s="2363"/>
      <c r="S10" s="2348"/>
      <c r="T10" s="2348"/>
      <c r="U10" s="2348"/>
      <c r="V10" s="2348"/>
      <c r="W10" s="2348"/>
      <c r="X10" s="2348"/>
      <c r="Y10" s="2348"/>
      <c r="Z10" s="2348"/>
      <c r="AA10" s="2348"/>
      <c r="AB10" s="2348"/>
      <c r="AC10" s="2348"/>
    </row>
    <row r="11" spans="1:29" s="115" customFormat="1" ht="15">
      <c r="A11" s="2365"/>
      <c r="B11" s="2355"/>
      <c r="C11" s="2350"/>
      <c r="D11" s="2350"/>
      <c r="E11" s="2350"/>
      <c r="F11" s="2355"/>
      <c r="G11" s="1140"/>
      <c r="H11" s="2362"/>
      <c r="I11" s="2363"/>
      <c r="J11" s="2364"/>
      <c r="K11" s="2362"/>
      <c r="L11" s="2363"/>
      <c r="M11" s="2364"/>
      <c r="N11" s="2362"/>
      <c r="O11" s="2363"/>
      <c r="P11" s="2364"/>
      <c r="Q11" s="2362"/>
      <c r="R11" s="2363"/>
      <c r="S11" s="2348"/>
      <c r="T11" s="2348"/>
      <c r="U11" s="2348"/>
      <c r="V11" s="2348"/>
      <c r="W11" s="2348"/>
      <c r="X11" s="2348"/>
      <c r="Y11" s="2348"/>
      <c r="Z11" s="2348"/>
      <c r="AA11" s="2348"/>
      <c r="AB11" s="2348"/>
      <c r="AC11" s="2348"/>
    </row>
    <row r="12" spans="1:29" s="2342" customFormat="1" ht="18">
      <c r="A12" s="2365"/>
      <c r="B12" s="2355"/>
      <c r="C12" s="2350"/>
      <c r="D12" s="2366"/>
      <c r="E12" s="2350"/>
      <c r="F12" s="2355"/>
      <c r="G12" s="1140"/>
      <c r="H12" s="2367"/>
      <c r="I12" s="2368"/>
      <c r="J12" s="2367"/>
      <c r="K12" s="2367"/>
      <c r="L12" s="2369"/>
      <c r="M12" s="2367"/>
      <c r="N12" s="2370"/>
      <c r="O12" s="2371"/>
      <c r="P12" s="2370"/>
      <c r="Q12" s="2370"/>
      <c r="R12" s="2340"/>
      <c r="S12" s="2341"/>
      <c r="T12" s="2341"/>
      <c r="U12" s="2341"/>
      <c r="V12" s="2341"/>
      <c r="W12" s="2341"/>
      <c r="X12" s="2341"/>
      <c r="Y12" s="2341"/>
      <c r="Z12" s="2341"/>
      <c r="AA12" s="2341"/>
      <c r="AB12" s="2341"/>
      <c r="AC12" s="2341"/>
    </row>
    <row r="13" spans="1:29" ht="19.5" thickBot="1">
      <c r="A13" s="2372" t="s">
        <v>2093</v>
      </c>
      <c r="B13" s="2366"/>
      <c r="C13" s="2366"/>
      <c r="D13" s="2373"/>
      <c r="E13" s="2366"/>
      <c r="F13" s="2366"/>
      <c r="G13" s="2366"/>
    </row>
    <row r="14" spans="1:29" ht="15.75" thickBot="1">
      <c r="A14" s="2377"/>
      <c r="B14" s="2378"/>
      <c r="C14" s="2379" t="s">
        <v>2094</v>
      </c>
      <c r="D14" s="2350"/>
      <c r="E14" s="2380"/>
      <c r="F14" s="2380"/>
      <c r="G14" s="2345" t="s">
        <v>2095</v>
      </c>
    </row>
    <row r="15" spans="1:29" ht="42.75">
      <c r="A15" s="67" t="s">
        <v>2096</v>
      </c>
      <c r="B15" s="1256" t="s">
        <v>2077</v>
      </c>
      <c r="C15" s="2381" t="str">
        <f>C3</f>
        <v>差</v>
      </c>
      <c r="D15" s="2350"/>
      <c r="E15" s="2382" t="s">
        <v>2097</v>
      </c>
      <c r="F15" s="1256" t="s">
        <v>2098</v>
      </c>
      <c r="G15" s="133" t="str">
        <f>G3</f>
        <v>估价对象位于XX开发区，园区建设成熟度XX，产业集聚程度XX</v>
      </c>
    </row>
    <row r="16" spans="1:29" ht="42.75">
      <c r="A16" s="642"/>
      <c r="B16" s="2383" t="s">
        <v>2080</v>
      </c>
      <c r="C16" s="2384" t="str">
        <f>C4</f>
        <v>差</v>
      </c>
      <c r="D16" s="2350"/>
      <c r="E16" s="2385"/>
      <c r="F16" s="2386" t="s">
        <v>2081</v>
      </c>
      <c r="G16" s="134" t="str">
        <f>G4</f>
        <v>估价对象周边道路状况、公共交通通达情况、停车便捷程度，综合评价交通便捷度较好</v>
      </c>
    </row>
    <row r="17" spans="1:18" ht="15">
      <c r="A17" s="642"/>
      <c r="B17" s="2383" t="s">
        <v>2083</v>
      </c>
      <c r="C17" s="2384" t="str">
        <f>C5</f>
        <v>差</v>
      </c>
      <c r="D17" s="2355"/>
      <c r="E17" s="2385"/>
      <c r="F17" s="2386" t="s">
        <v>2099</v>
      </c>
      <c r="G17" s="1557"/>
    </row>
    <row r="18" spans="1:18" ht="42.75">
      <c r="A18" s="642"/>
      <c r="B18" s="2386" t="s">
        <v>2086</v>
      </c>
      <c r="C18" s="134" t="str">
        <f>C6</f>
        <v>一般</v>
      </c>
      <c r="D18" s="2355"/>
      <c r="E18" s="2385"/>
      <c r="F18" s="2386" t="s">
        <v>2089</v>
      </c>
      <c r="G18" s="134" t="str">
        <f>G7</f>
        <v>该园区内是否有污染型企业，绿化情况，卫生条件，整体环境状况判断</v>
      </c>
    </row>
    <row r="19" spans="1:18" ht="28.5">
      <c r="A19" s="642"/>
      <c r="B19" s="2386" t="s">
        <v>2100</v>
      </c>
      <c r="C19" s="2940" t="s">
        <v>3068</v>
      </c>
      <c r="D19" s="2350"/>
      <c r="E19" s="2385"/>
      <c r="F19" s="1782" t="s">
        <v>2084</v>
      </c>
      <c r="G19" s="134" t="str">
        <f>G5</f>
        <v>估价对象所在区域公共配套设施齐备情况</v>
      </c>
    </row>
    <row r="20" spans="1:18" ht="15">
      <c r="A20" s="642"/>
      <c r="B20" s="2386" t="s">
        <v>2101</v>
      </c>
      <c r="C20" s="2384" t="str">
        <f>C9</f>
        <v>较好</v>
      </c>
      <c r="D20" s="2355"/>
      <c r="E20" s="2385"/>
      <c r="F20" s="1782" t="s">
        <v>2102</v>
      </c>
      <c r="G20" s="134" t="str">
        <f>G6</f>
        <v>估价对象所在区域基础设施水平</v>
      </c>
    </row>
    <row r="21" spans="1:18" ht="15">
      <c r="A21" s="642"/>
      <c r="B21" s="1782" t="s">
        <v>2084</v>
      </c>
      <c r="C21" s="134" t="str">
        <f>C7</f>
        <v>较差</v>
      </c>
      <c r="D21" s="2350"/>
      <c r="E21" s="2385"/>
      <c r="F21" s="2386" t="s">
        <v>2103</v>
      </c>
      <c r="G21" s="2387"/>
    </row>
    <row r="22" spans="1:18" ht="13.5" customHeight="1">
      <c r="A22" s="642"/>
      <c r="B22" s="1782" t="s">
        <v>2087</v>
      </c>
      <c r="C22" s="134" t="str">
        <f>C8</f>
        <v>六通</v>
      </c>
      <c r="D22" s="2350"/>
      <c r="E22" s="2385"/>
      <c r="F22" s="2386" t="s">
        <v>2092</v>
      </c>
      <c r="G22" s="1557"/>
    </row>
    <row r="23" spans="1:18" s="2348" customFormat="1" ht="15.75" thickBot="1">
      <c r="A23" s="642"/>
      <c r="B23" s="2386" t="s">
        <v>2103</v>
      </c>
      <c r="C23" s="2387"/>
      <c r="D23" s="2374"/>
      <c r="E23" s="2388"/>
      <c r="F23" s="2389" t="s">
        <v>2104</v>
      </c>
      <c r="G23" s="2390"/>
      <c r="H23" s="2374"/>
      <c r="I23" s="2375"/>
      <c r="J23" s="2374"/>
      <c r="K23" s="2374"/>
      <c r="L23" s="2375"/>
      <c r="M23" s="2374"/>
      <c r="N23" s="2374"/>
      <c r="O23" s="2375"/>
      <c r="P23" s="2374"/>
      <c r="Q23" s="2374"/>
      <c r="R23" s="2376"/>
    </row>
    <row r="24" spans="1:18" s="2348" customFormat="1" ht="15.75" thickBot="1">
      <c r="A24" s="2391"/>
      <c r="B24" s="2389" t="s">
        <v>2105</v>
      </c>
      <c r="C24" s="135">
        <f>C10</f>
        <v>0</v>
      </c>
      <c r="D24" s="2374"/>
      <c r="E24" s="2392"/>
      <c r="F24" s="2392"/>
      <c r="G24" s="2393"/>
      <c r="H24" s="2374"/>
      <c r="I24" s="2375"/>
      <c r="J24" s="2374"/>
      <c r="K24" s="2374"/>
      <c r="L24" s="2375"/>
      <c r="M24" s="2374"/>
      <c r="N24" s="2374"/>
      <c r="O24" s="2375"/>
      <c r="P24" s="2374"/>
      <c r="Q24" s="2374"/>
      <c r="R24" s="2376"/>
    </row>
    <row r="25" spans="1:18" s="2348" customFormat="1">
      <c r="B25" s="2374"/>
      <c r="C25" s="2374"/>
      <c r="D25" s="2374"/>
      <c r="H25" s="2374"/>
      <c r="I25" s="2375"/>
      <c r="J25" s="2374"/>
      <c r="K25" s="2374"/>
      <c r="L25" s="2375"/>
      <c r="M25" s="2374"/>
      <c r="N25" s="2374"/>
      <c r="O25" s="2375"/>
      <c r="P25" s="2374"/>
      <c r="Q25" s="2374"/>
      <c r="R25" s="2376"/>
    </row>
    <row r="26" spans="1:18" s="2348" customFormat="1">
      <c r="B26" s="2374"/>
      <c r="C26" s="2374"/>
      <c r="D26" s="2374"/>
      <c r="H26" s="2374"/>
      <c r="I26" s="2375"/>
      <c r="J26" s="2374"/>
      <c r="K26" s="2374"/>
      <c r="L26" s="2375"/>
      <c r="M26" s="2374"/>
      <c r="N26" s="2374"/>
      <c r="O26" s="2375"/>
      <c r="P26" s="2374"/>
      <c r="Q26" s="2374"/>
      <c r="R26" s="2376"/>
    </row>
    <row r="27" spans="1:18" s="2348" customFormat="1">
      <c r="B27" s="2374"/>
      <c r="C27" s="2374"/>
      <c r="D27" s="2374"/>
      <c r="H27" s="2374"/>
      <c r="I27" s="2375"/>
      <c r="J27" s="2374"/>
      <c r="K27" s="2374"/>
      <c r="L27" s="2375"/>
      <c r="M27" s="2374"/>
      <c r="N27" s="2374"/>
      <c r="O27" s="2375"/>
      <c r="P27" s="2374"/>
      <c r="Q27" s="2374"/>
      <c r="R27" s="2376"/>
    </row>
    <row r="28" spans="1:18" s="2348" customFormat="1">
      <c r="B28" s="2374"/>
      <c r="C28" s="2374"/>
      <c r="D28" s="2374"/>
      <c r="H28" s="2374"/>
      <c r="I28" s="2375"/>
      <c r="J28" s="2374"/>
      <c r="K28" s="2374"/>
      <c r="L28" s="2375"/>
      <c r="M28" s="2374"/>
      <c r="N28" s="2374"/>
      <c r="O28" s="2375"/>
      <c r="P28" s="2374"/>
      <c r="Q28" s="2374"/>
      <c r="R28" s="2376"/>
    </row>
    <row r="29" spans="1:18" s="2348" customFormat="1">
      <c r="B29" s="2374"/>
      <c r="C29" s="2374"/>
      <c r="D29" s="2374"/>
      <c r="H29" s="2374"/>
      <c r="I29" s="2375"/>
      <c r="J29" s="2374"/>
      <c r="K29" s="2374"/>
      <c r="L29" s="2375"/>
      <c r="M29" s="2374"/>
      <c r="N29" s="2374"/>
      <c r="O29" s="2375"/>
      <c r="P29" s="2374"/>
      <c r="Q29" s="2374"/>
      <c r="R29" s="2376"/>
    </row>
    <row r="30" spans="1:18" s="2348" customFormat="1">
      <c r="B30" s="2374"/>
      <c r="C30" s="2374"/>
      <c r="D30" s="2374"/>
      <c r="H30" s="2374"/>
      <c r="I30" s="2375"/>
      <c r="J30" s="2374"/>
      <c r="K30" s="2374"/>
      <c r="L30" s="2375"/>
      <c r="M30" s="2374"/>
      <c r="N30" s="2374"/>
      <c r="O30" s="2375"/>
      <c r="P30" s="2374"/>
      <c r="Q30" s="2374"/>
      <c r="R30" s="2376"/>
    </row>
    <row r="31" spans="1:18" s="2348" customFormat="1">
      <c r="B31" s="2374"/>
      <c r="C31" s="2374"/>
      <c r="D31" s="2374"/>
      <c r="H31" s="2374"/>
      <c r="I31" s="2375"/>
      <c r="J31" s="2374"/>
      <c r="K31" s="2374"/>
      <c r="L31" s="2375"/>
      <c r="M31" s="2374"/>
      <c r="N31" s="2374"/>
      <c r="O31" s="2375"/>
      <c r="P31" s="2374"/>
      <c r="Q31" s="2374"/>
      <c r="R31" s="2376"/>
    </row>
    <row r="32" spans="1:18" s="2348" customFormat="1">
      <c r="B32" s="2374"/>
      <c r="C32" s="2374"/>
      <c r="D32" s="2374"/>
      <c r="H32" s="2374"/>
      <c r="I32" s="2375"/>
      <c r="J32" s="2374"/>
      <c r="K32" s="2374"/>
      <c r="L32" s="2375"/>
      <c r="M32" s="2374"/>
      <c r="N32" s="2374"/>
      <c r="O32" s="2375"/>
      <c r="P32" s="2374"/>
      <c r="Q32" s="2374"/>
      <c r="R32" s="2376"/>
    </row>
    <row r="33" spans="2:18" s="2348" customFormat="1">
      <c r="B33" s="2374"/>
      <c r="C33" s="2374"/>
      <c r="D33" s="2374"/>
      <c r="H33" s="2374"/>
      <c r="I33" s="2375"/>
      <c r="J33" s="2374"/>
      <c r="K33" s="2374"/>
      <c r="L33" s="2375"/>
      <c r="M33" s="2374"/>
      <c r="N33" s="2374"/>
      <c r="O33" s="2375"/>
      <c r="P33" s="2374"/>
      <c r="Q33" s="2374"/>
      <c r="R33" s="2376"/>
    </row>
    <row r="34" spans="2:18" s="2348" customFormat="1">
      <c r="B34" s="2374"/>
      <c r="C34" s="2374"/>
      <c r="D34" s="2374"/>
      <c r="H34" s="2374"/>
      <c r="I34" s="2375"/>
      <c r="J34" s="2374"/>
      <c r="K34" s="2374"/>
      <c r="L34" s="2375"/>
      <c r="M34" s="2374"/>
      <c r="N34" s="2374"/>
      <c r="O34" s="2375"/>
      <c r="P34" s="2374"/>
      <c r="Q34" s="2374"/>
      <c r="R34" s="2376"/>
    </row>
    <row r="35" spans="2:18" s="2348" customFormat="1">
      <c r="B35" s="2374"/>
      <c r="C35" s="2374"/>
      <c r="D35" s="2374"/>
      <c r="H35" s="2374"/>
      <c r="I35" s="2375"/>
      <c r="J35" s="2374"/>
      <c r="K35" s="2374"/>
      <c r="L35" s="2375"/>
      <c r="M35" s="2374"/>
      <c r="N35" s="2374"/>
      <c r="O35" s="2375"/>
      <c r="P35" s="2374"/>
      <c r="Q35" s="2374"/>
      <c r="R35" s="2376"/>
    </row>
    <row r="36" spans="2:18" s="2348" customFormat="1">
      <c r="B36" s="2374"/>
      <c r="C36" s="2374"/>
      <c r="D36" s="2374"/>
      <c r="H36" s="2374"/>
      <c r="I36" s="2375"/>
      <c r="J36" s="2374"/>
      <c r="K36" s="2374"/>
      <c r="L36" s="2375"/>
      <c r="M36" s="2374"/>
      <c r="N36" s="2374"/>
      <c r="O36" s="2375"/>
      <c r="P36" s="2374"/>
      <c r="Q36" s="2374"/>
      <c r="R36" s="2376"/>
    </row>
    <row r="37" spans="2:18" s="2348" customFormat="1">
      <c r="B37" s="2374"/>
      <c r="C37" s="2374"/>
      <c r="D37" s="2374"/>
      <c r="H37" s="2374"/>
      <c r="I37" s="2375"/>
      <c r="J37" s="2374"/>
      <c r="K37" s="2374"/>
      <c r="L37" s="2375"/>
      <c r="M37" s="2374"/>
      <c r="N37" s="2374"/>
      <c r="O37" s="2375"/>
      <c r="P37" s="2374"/>
      <c r="Q37" s="2374"/>
      <c r="R37" s="2376"/>
    </row>
    <row r="38" spans="2:18" s="2348" customFormat="1">
      <c r="B38" s="2374"/>
      <c r="C38" s="2374"/>
      <c r="D38" s="2374"/>
      <c r="E38" s="2374"/>
      <c r="F38" s="2374"/>
      <c r="G38" s="2375"/>
      <c r="H38" s="2374"/>
      <c r="I38" s="2375"/>
      <c r="J38" s="2374"/>
      <c r="K38" s="2374"/>
      <c r="L38" s="2375"/>
      <c r="M38" s="2374"/>
      <c r="N38" s="2374"/>
      <c r="O38" s="2375"/>
      <c r="P38" s="2374"/>
      <c r="Q38" s="2374"/>
      <c r="R38" s="2376"/>
    </row>
    <row r="39" spans="2:18" s="2348" customFormat="1">
      <c r="B39" s="2374"/>
      <c r="C39" s="2374"/>
      <c r="D39" s="2374"/>
      <c r="E39" s="2374"/>
      <c r="F39" s="2374"/>
      <c r="G39" s="2375"/>
      <c r="H39" s="2374"/>
      <c r="I39" s="2375"/>
      <c r="J39" s="2374"/>
      <c r="K39" s="2374"/>
      <c r="L39" s="2375"/>
      <c r="M39" s="2374"/>
      <c r="N39" s="2374"/>
      <c r="O39" s="2375"/>
      <c r="P39" s="2374"/>
      <c r="Q39" s="2374"/>
      <c r="R39" s="2376"/>
    </row>
    <row r="40" spans="2:18" s="2348" customFormat="1">
      <c r="B40" s="2374"/>
      <c r="C40" s="2374"/>
      <c r="D40" s="2374"/>
      <c r="E40" s="2374"/>
      <c r="F40" s="2374"/>
      <c r="G40" s="2375"/>
      <c r="H40" s="2374"/>
      <c r="I40" s="2375"/>
      <c r="J40" s="2374"/>
      <c r="K40" s="2374"/>
      <c r="L40" s="2375"/>
      <c r="M40" s="2374"/>
      <c r="N40" s="2374"/>
      <c r="O40" s="2375"/>
      <c r="P40" s="2374"/>
      <c r="Q40" s="2374"/>
      <c r="R40" s="2376"/>
    </row>
    <row r="41" spans="2:18" s="2348" customFormat="1">
      <c r="B41" s="2374"/>
      <c r="C41" s="2374"/>
      <c r="D41" s="2374"/>
      <c r="E41" s="2374"/>
      <c r="F41" s="2374"/>
      <c r="G41" s="2375"/>
      <c r="H41" s="2374"/>
      <c r="I41" s="2375"/>
      <c r="J41" s="2374"/>
      <c r="K41" s="2374"/>
      <c r="L41" s="2375"/>
      <c r="M41" s="2374"/>
      <c r="N41" s="2374"/>
      <c r="O41" s="2375"/>
      <c r="P41" s="2374"/>
      <c r="Q41" s="2374"/>
      <c r="R41" s="2376"/>
    </row>
    <row r="42" spans="2:18" s="2348" customFormat="1">
      <c r="B42" s="2374"/>
      <c r="C42" s="2374"/>
      <c r="D42" s="2374"/>
      <c r="E42" s="2374"/>
      <c r="F42" s="2374"/>
      <c r="G42" s="2375"/>
      <c r="H42" s="2374"/>
      <c r="I42" s="2375"/>
      <c r="J42" s="2374"/>
      <c r="K42" s="2374"/>
      <c r="L42" s="2375"/>
      <c r="M42" s="2374"/>
      <c r="N42" s="2374"/>
      <c r="O42" s="2375"/>
      <c r="P42" s="2374"/>
      <c r="Q42" s="2374"/>
      <c r="R42" s="2376"/>
    </row>
    <row r="43" spans="2:18" s="2348" customFormat="1">
      <c r="B43" s="2374"/>
      <c r="C43" s="2374"/>
      <c r="D43" s="2374"/>
      <c r="E43" s="2374"/>
      <c r="F43" s="2374"/>
      <c r="G43" s="2375"/>
      <c r="H43" s="2374"/>
      <c r="I43" s="2375"/>
      <c r="J43" s="2374"/>
      <c r="K43" s="2374"/>
      <c r="L43" s="2375"/>
      <c r="M43" s="2374"/>
      <c r="N43" s="2374"/>
      <c r="O43" s="2375"/>
      <c r="P43" s="2374"/>
      <c r="Q43" s="2374"/>
      <c r="R43" s="2376"/>
    </row>
    <row r="44" spans="2:18" s="2348" customFormat="1">
      <c r="B44" s="2374"/>
      <c r="C44" s="2374"/>
      <c r="D44" s="2374"/>
      <c r="E44" s="2374"/>
      <c r="F44" s="2374"/>
      <c r="G44" s="2375"/>
      <c r="H44" s="2374"/>
      <c r="I44" s="2375"/>
      <c r="J44" s="2374"/>
      <c r="K44" s="2374"/>
      <c r="L44" s="2375"/>
      <c r="M44" s="2374"/>
      <c r="N44" s="2374"/>
      <c r="O44" s="2375"/>
      <c r="P44" s="2374"/>
      <c r="Q44" s="2374"/>
      <c r="R44" s="2376"/>
    </row>
    <row r="45" spans="2:18" s="2348" customFormat="1">
      <c r="B45" s="2374"/>
      <c r="C45" s="2374"/>
      <c r="D45" s="2374"/>
      <c r="E45" s="2374"/>
      <c r="F45" s="2374"/>
      <c r="G45" s="2375"/>
      <c r="H45" s="2374"/>
      <c r="I45" s="2375"/>
      <c r="J45" s="2374"/>
      <c r="K45" s="2374"/>
      <c r="L45" s="2375"/>
      <c r="M45" s="2374"/>
      <c r="N45" s="2374"/>
      <c r="O45" s="2375"/>
      <c r="P45" s="2374"/>
      <c r="Q45" s="2374"/>
      <c r="R45" s="2376"/>
    </row>
    <row r="46" spans="2:18" s="2348" customFormat="1">
      <c r="B46" s="2374"/>
      <c r="C46" s="2374"/>
      <c r="D46" s="2374"/>
      <c r="E46" s="2374"/>
      <c r="F46" s="2374"/>
      <c r="G46" s="2375"/>
      <c r="H46" s="2374"/>
      <c r="I46" s="2375"/>
      <c r="J46" s="2374"/>
      <c r="K46" s="2374"/>
      <c r="L46" s="2375"/>
      <c r="M46" s="2374"/>
      <c r="N46" s="2374"/>
      <c r="O46" s="2375"/>
      <c r="P46" s="2374"/>
      <c r="Q46" s="2374"/>
      <c r="R46" s="2376"/>
    </row>
    <row r="47" spans="2:18" s="2348" customFormat="1">
      <c r="B47" s="2374"/>
      <c r="C47" s="2374"/>
      <c r="D47" s="2374"/>
      <c r="E47" s="2374"/>
      <c r="F47" s="2374"/>
      <c r="G47" s="2375"/>
      <c r="H47" s="2374"/>
      <c r="I47" s="2375"/>
      <c r="J47" s="2374"/>
      <c r="K47" s="2374"/>
      <c r="L47" s="2375"/>
      <c r="M47" s="2374"/>
      <c r="N47" s="2374"/>
      <c r="O47" s="2375"/>
      <c r="P47" s="2374"/>
      <c r="Q47" s="2374"/>
      <c r="R47" s="2376"/>
    </row>
    <row r="48" spans="2:18" s="2348" customFormat="1">
      <c r="B48" s="2374"/>
      <c r="C48" s="2374"/>
      <c r="D48" s="2374"/>
      <c r="E48" s="2374"/>
      <c r="F48" s="2374"/>
      <c r="G48" s="2375"/>
      <c r="H48" s="2374"/>
      <c r="I48" s="2375"/>
      <c r="J48" s="2374"/>
      <c r="K48" s="2374"/>
      <c r="L48" s="2375"/>
      <c r="M48" s="2374"/>
      <c r="N48" s="2374"/>
      <c r="O48" s="2375"/>
      <c r="P48" s="2374"/>
      <c r="Q48" s="2374"/>
      <c r="R48" s="2376"/>
    </row>
    <row r="49" spans="2:18" s="2348" customFormat="1">
      <c r="B49" s="2374"/>
      <c r="C49" s="2374"/>
      <c r="D49" s="2374"/>
      <c r="E49" s="2374"/>
      <c r="F49" s="2374"/>
      <c r="G49" s="2375"/>
      <c r="H49" s="2374"/>
      <c r="I49" s="2375"/>
      <c r="J49" s="2374"/>
      <c r="K49" s="2374"/>
      <c r="L49" s="2375"/>
      <c r="M49" s="2374"/>
      <c r="N49" s="2374"/>
      <c r="O49" s="2375"/>
      <c r="P49" s="2374"/>
      <c r="Q49" s="2374"/>
      <c r="R49" s="2376"/>
    </row>
    <row r="50" spans="2:18" s="2348" customFormat="1">
      <c r="B50" s="2374"/>
      <c r="C50" s="2374"/>
      <c r="D50" s="2374"/>
      <c r="E50" s="2374"/>
      <c r="F50" s="2374"/>
      <c r="G50" s="2375"/>
      <c r="H50" s="2374"/>
      <c r="I50" s="2375"/>
      <c r="J50" s="2374"/>
      <c r="K50" s="2374"/>
      <c r="L50" s="2375"/>
      <c r="M50" s="2374"/>
      <c r="N50" s="2374"/>
      <c r="O50" s="2375"/>
      <c r="P50" s="2374"/>
      <c r="Q50" s="2374"/>
      <c r="R50" s="2376"/>
    </row>
    <row r="51" spans="2:18" s="2348" customFormat="1">
      <c r="B51" s="2374"/>
      <c r="C51" s="2374"/>
      <c r="D51" s="2374"/>
      <c r="E51" s="2374"/>
      <c r="F51" s="2374"/>
      <c r="G51" s="2375"/>
      <c r="H51" s="2374"/>
      <c r="I51" s="2375"/>
      <c r="J51" s="2374"/>
      <c r="K51" s="2374"/>
      <c r="L51" s="2375"/>
      <c r="M51" s="2374"/>
      <c r="N51" s="2374"/>
      <c r="O51" s="2375"/>
      <c r="P51" s="2374"/>
      <c r="Q51" s="2374"/>
      <c r="R51" s="2376"/>
    </row>
    <row r="52" spans="2:18" s="2348" customFormat="1">
      <c r="B52" s="2374"/>
      <c r="C52" s="2374"/>
      <c r="D52" s="2374"/>
      <c r="E52" s="2374"/>
      <c r="F52" s="2374"/>
      <c r="G52" s="2375"/>
      <c r="H52" s="2374"/>
      <c r="I52" s="2375"/>
      <c r="J52" s="2374"/>
      <c r="K52" s="2374"/>
      <c r="L52" s="2375"/>
      <c r="M52" s="2374"/>
      <c r="N52" s="2374"/>
      <c r="O52" s="2375"/>
      <c r="P52" s="2374"/>
      <c r="Q52" s="2374"/>
      <c r="R52" s="2376"/>
    </row>
    <row r="53" spans="2:18" s="2348" customFormat="1">
      <c r="B53" s="2374"/>
      <c r="C53" s="2374"/>
      <c r="D53" s="2374"/>
      <c r="E53" s="2374"/>
      <c r="F53" s="2374"/>
      <c r="G53" s="2375"/>
      <c r="H53" s="2374"/>
      <c r="I53" s="2375"/>
      <c r="J53" s="2374"/>
      <c r="K53" s="2374"/>
      <c r="L53" s="2375"/>
      <c r="M53" s="2374"/>
      <c r="N53" s="2374"/>
      <c r="O53" s="2375"/>
      <c r="P53" s="2374"/>
      <c r="Q53" s="2374"/>
      <c r="R53" s="2376"/>
    </row>
    <row r="54" spans="2:18" s="2348" customFormat="1">
      <c r="B54" s="2374"/>
      <c r="C54" s="2374"/>
      <c r="D54" s="2374"/>
      <c r="E54" s="2374"/>
      <c r="F54" s="2374"/>
      <c r="G54" s="2375"/>
      <c r="H54" s="2374"/>
      <c r="I54" s="2375"/>
      <c r="J54" s="2374"/>
      <c r="K54" s="2374"/>
      <c r="L54" s="2375"/>
      <c r="M54" s="2374"/>
      <c r="N54" s="2374"/>
      <c r="O54" s="2375"/>
      <c r="P54" s="2374"/>
      <c r="Q54" s="2374"/>
      <c r="R54" s="2376"/>
    </row>
    <row r="55" spans="2:18" s="2348" customFormat="1">
      <c r="B55" s="2374"/>
      <c r="C55" s="2374"/>
      <c r="D55" s="2374"/>
      <c r="E55" s="2374"/>
      <c r="F55" s="2374"/>
      <c r="G55" s="2375"/>
      <c r="H55" s="2374"/>
      <c r="I55" s="2375"/>
      <c r="J55" s="2374"/>
      <c r="K55" s="2374"/>
      <c r="L55" s="2375"/>
      <c r="M55" s="2374"/>
      <c r="N55" s="2374"/>
      <c r="O55" s="2375"/>
      <c r="P55" s="2374"/>
      <c r="Q55" s="2374"/>
      <c r="R55" s="2376"/>
    </row>
    <row r="56" spans="2:18" s="2348" customFormat="1">
      <c r="B56" s="2374"/>
      <c r="C56" s="2374"/>
      <c r="D56" s="2374"/>
      <c r="E56" s="2374"/>
      <c r="F56" s="2374"/>
      <c r="G56" s="2375"/>
      <c r="H56" s="2374"/>
      <c r="I56" s="2375"/>
      <c r="J56" s="2374"/>
      <c r="K56" s="2374"/>
      <c r="L56" s="2375"/>
      <c r="M56" s="2374"/>
      <c r="N56" s="2374"/>
      <c r="O56" s="2375"/>
      <c r="P56" s="2374"/>
      <c r="Q56" s="2374"/>
      <c r="R56" s="2376"/>
    </row>
    <row r="57" spans="2:18" s="2348" customFormat="1">
      <c r="B57" s="2374"/>
      <c r="C57" s="2374"/>
      <c r="D57" s="2374"/>
      <c r="E57" s="2374"/>
      <c r="F57" s="2374"/>
      <c r="G57" s="2375"/>
      <c r="H57" s="2374"/>
      <c r="I57" s="2375"/>
      <c r="J57" s="2374"/>
      <c r="K57" s="2374"/>
      <c r="L57" s="2375"/>
      <c r="M57" s="2374"/>
      <c r="N57" s="2374"/>
      <c r="O57" s="2375"/>
      <c r="P57" s="2374"/>
      <c r="Q57" s="2374"/>
      <c r="R57" s="2376"/>
    </row>
    <row r="58" spans="2:18" s="2348" customFormat="1">
      <c r="B58" s="2374"/>
      <c r="C58" s="2374"/>
      <c r="D58" s="2374"/>
      <c r="E58" s="2374"/>
      <c r="F58" s="2374"/>
      <c r="G58" s="2375"/>
      <c r="H58" s="2374"/>
      <c r="I58" s="2375"/>
      <c r="J58" s="2374"/>
      <c r="K58" s="2374"/>
      <c r="L58" s="2375"/>
      <c r="M58" s="2374"/>
      <c r="N58" s="2374"/>
      <c r="O58" s="2375"/>
      <c r="P58" s="2374"/>
      <c r="Q58" s="2374"/>
      <c r="R58" s="2376"/>
    </row>
    <row r="59" spans="2:18" s="2348" customFormat="1">
      <c r="B59" s="2374"/>
      <c r="C59" s="2374"/>
      <c r="D59" s="2374"/>
      <c r="E59" s="2374"/>
      <c r="F59" s="2374"/>
      <c r="G59" s="2375"/>
      <c r="H59" s="2374"/>
      <c r="I59" s="2375"/>
      <c r="J59" s="2374"/>
      <c r="K59" s="2374"/>
      <c r="L59" s="2375"/>
      <c r="M59" s="2374"/>
      <c r="N59" s="2374"/>
      <c r="O59" s="2375"/>
      <c r="P59" s="2374"/>
      <c r="Q59" s="2374"/>
      <c r="R59" s="2376"/>
    </row>
    <row r="60" spans="2:18" s="2348" customFormat="1">
      <c r="B60" s="2374"/>
      <c r="C60" s="2374"/>
      <c r="D60" s="2374"/>
      <c r="E60" s="2374"/>
      <c r="F60" s="2374"/>
      <c r="G60" s="2375"/>
      <c r="H60" s="2374"/>
      <c r="I60" s="2375"/>
      <c r="J60" s="2374"/>
      <c r="K60" s="2374"/>
      <c r="L60" s="2375"/>
      <c r="M60" s="2374"/>
      <c r="N60" s="2374"/>
      <c r="O60" s="2375"/>
      <c r="P60" s="2374"/>
      <c r="Q60" s="2374"/>
      <c r="R60" s="2376"/>
    </row>
    <row r="61" spans="2:18" s="2348" customFormat="1">
      <c r="B61" s="2374"/>
      <c r="C61" s="2374"/>
      <c r="D61" s="2374"/>
      <c r="E61" s="2374"/>
      <c r="F61" s="2374"/>
      <c r="G61" s="2375"/>
      <c r="H61" s="2374"/>
      <c r="I61" s="2375"/>
      <c r="J61" s="2374"/>
      <c r="K61" s="2374"/>
      <c r="L61" s="2375"/>
      <c r="M61" s="2374"/>
      <c r="N61" s="2374"/>
      <c r="O61" s="2375"/>
      <c r="P61" s="2374"/>
      <c r="Q61" s="2374"/>
      <c r="R61" s="2376"/>
    </row>
    <row r="62" spans="2:18" s="2348" customFormat="1">
      <c r="B62" s="2374"/>
      <c r="C62" s="2374"/>
      <c r="D62" s="2374"/>
      <c r="E62" s="2374"/>
      <c r="F62" s="2374"/>
      <c r="G62" s="2375"/>
      <c r="H62" s="2374"/>
      <c r="I62" s="2375"/>
      <c r="J62" s="2374"/>
      <c r="K62" s="2374"/>
      <c r="L62" s="2375"/>
      <c r="M62" s="2374"/>
      <c r="N62" s="2374"/>
      <c r="O62" s="2375"/>
      <c r="P62" s="2374"/>
      <c r="Q62" s="2374"/>
      <c r="R62" s="2376"/>
    </row>
    <row r="63" spans="2:18" s="2348" customFormat="1">
      <c r="B63" s="2374"/>
      <c r="C63" s="2374"/>
      <c r="D63" s="2374"/>
      <c r="E63" s="2374"/>
      <c r="F63" s="2374"/>
      <c r="G63" s="2375"/>
      <c r="H63" s="2374"/>
      <c r="I63" s="2375"/>
      <c r="J63" s="2374"/>
      <c r="K63" s="2374"/>
      <c r="L63" s="2375"/>
      <c r="M63" s="2374"/>
      <c r="N63" s="2374"/>
      <c r="O63" s="2375"/>
      <c r="P63" s="2374"/>
      <c r="Q63" s="2374"/>
      <c r="R63" s="2376"/>
    </row>
    <row r="64" spans="2:18" s="2348" customFormat="1">
      <c r="B64" s="2374"/>
      <c r="C64" s="2374"/>
      <c r="D64" s="2374"/>
      <c r="E64" s="2374"/>
      <c r="F64" s="2374"/>
      <c r="G64" s="2375"/>
      <c r="H64" s="2374"/>
      <c r="I64" s="2375"/>
      <c r="J64" s="2374"/>
      <c r="K64" s="2374"/>
      <c r="L64" s="2375"/>
      <c r="M64" s="2374"/>
      <c r="N64" s="2374"/>
      <c r="O64" s="2375"/>
      <c r="P64" s="2374"/>
      <c r="Q64" s="2374"/>
      <c r="R64" s="2376"/>
    </row>
    <row r="65" spans="2:18" s="2348" customFormat="1">
      <c r="B65" s="2374"/>
      <c r="C65" s="2374"/>
      <c r="D65" s="2374"/>
      <c r="E65" s="2374"/>
      <c r="F65" s="2374"/>
      <c r="G65" s="2375"/>
      <c r="H65" s="2374"/>
      <c r="I65" s="2375"/>
      <c r="J65" s="2374"/>
      <c r="K65" s="2374"/>
      <c r="L65" s="2375"/>
      <c r="M65" s="2374"/>
      <c r="N65" s="2374"/>
      <c r="O65" s="2375"/>
      <c r="P65" s="2374"/>
      <c r="Q65" s="2374"/>
      <c r="R65" s="2376"/>
    </row>
    <row r="66" spans="2:18" s="2348" customFormat="1">
      <c r="B66" s="2374"/>
      <c r="C66" s="2374"/>
      <c r="D66" s="2374"/>
      <c r="E66" s="2374"/>
      <c r="F66" s="2374"/>
      <c r="G66" s="2375"/>
      <c r="H66" s="2374"/>
      <c r="I66" s="2375"/>
      <c r="J66" s="2374"/>
      <c r="K66" s="2374"/>
      <c r="L66" s="2375"/>
      <c r="M66" s="2374"/>
      <c r="N66" s="2374"/>
      <c r="O66" s="2375"/>
      <c r="P66" s="2374"/>
      <c r="Q66" s="2374"/>
      <c r="R66" s="2376"/>
    </row>
    <row r="67" spans="2:18" s="2348" customFormat="1">
      <c r="B67" s="2374"/>
      <c r="C67" s="2374"/>
      <c r="D67" s="2374"/>
      <c r="E67" s="2374"/>
      <c r="F67" s="2374"/>
      <c r="G67" s="2375"/>
      <c r="H67" s="2374"/>
      <c r="I67" s="2375"/>
      <c r="J67" s="2374"/>
      <c r="K67" s="2374"/>
      <c r="L67" s="2375"/>
      <c r="M67" s="2374"/>
      <c r="N67" s="2374"/>
      <c r="O67" s="2375"/>
      <c r="P67" s="2374"/>
      <c r="Q67" s="2374"/>
      <c r="R67" s="2376"/>
    </row>
    <row r="68" spans="2:18" s="2348" customFormat="1">
      <c r="B68" s="2374"/>
      <c r="C68" s="2374"/>
      <c r="D68" s="2374"/>
      <c r="E68" s="2374"/>
      <c r="F68" s="2374"/>
      <c r="G68" s="2375"/>
      <c r="H68" s="2374"/>
      <c r="I68" s="2375"/>
      <c r="J68" s="2374"/>
      <c r="K68" s="2374"/>
      <c r="L68" s="2375"/>
      <c r="M68" s="2374"/>
      <c r="N68" s="2374"/>
      <c r="O68" s="2375"/>
      <c r="P68" s="2374"/>
      <c r="Q68" s="2374"/>
      <c r="R68" s="2376"/>
    </row>
    <row r="69" spans="2:18" s="2348" customFormat="1">
      <c r="B69" s="2374"/>
      <c r="C69" s="2374"/>
      <c r="D69" s="2374"/>
      <c r="E69" s="2374"/>
      <c r="F69" s="2374"/>
      <c r="G69" s="2375"/>
      <c r="H69" s="2374"/>
      <c r="I69" s="2375"/>
      <c r="J69" s="2374"/>
      <c r="K69" s="2374"/>
      <c r="L69" s="2375"/>
      <c r="M69" s="2374"/>
      <c r="N69" s="2374"/>
      <c r="O69" s="2375"/>
      <c r="P69" s="2374"/>
      <c r="Q69" s="2374"/>
      <c r="R69" s="2376"/>
    </row>
    <row r="70" spans="2:18" s="2348" customFormat="1">
      <c r="B70" s="2374"/>
      <c r="C70" s="2374"/>
      <c r="D70" s="2374"/>
      <c r="E70" s="2374"/>
      <c r="F70" s="2374"/>
      <c r="G70" s="2375"/>
      <c r="H70" s="2374"/>
      <c r="I70" s="2375"/>
      <c r="J70" s="2374"/>
      <c r="K70" s="2374"/>
      <c r="L70" s="2375"/>
      <c r="M70" s="2374"/>
      <c r="N70" s="2374"/>
      <c r="O70" s="2375"/>
      <c r="P70" s="2374"/>
      <c r="Q70" s="2374"/>
      <c r="R70" s="2376"/>
    </row>
    <row r="71" spans="2:18" s="2348" customFormat="1">
      <c r="B71" s="2374"/>
      <c r="C71" s="2374"/>
      <c r="D71" s="2374"/>
      <c r="E71" s="2374"/>
      <c r="F71" s="2374"/>
      <c r="G71" s="2375"/>
      <c r="H71" s="2374"/>
      <c r="I71" s="2375"/>
      <c r="J71" s="2374"/>
      <c r="K71" s="2374"/>
      <c r="L71" s="2375"/>
      <c r="M71" s="2374"/>
      <c r="N71" s="2374"/>
      <c r="O71" s="2375"/>
      <c r="P71" s="2374"/>
      <c r="Q71" s="2374"/>
      <c r="R71" s="2376"/>
    </row>
    <row r="72" spans="2:18" s="2348" customFormat="1">
      <c r="B72" s="2374"/>
      <c r="C72" s="2374"/>
      <c r="D72" s="2374"/>
      <c r="E72" s="2374"/>
      <c r="F72" s="2374"/>
      <c r="G72" s="2375"/>
      <c r="H72" s="2374"/>
      <c r="I72" s="2375"/>
      <c r="J72" s="2374"/>
      <c r="K72" s="2374"/>
      <c r="L72" s="2375"/>
      <c r="M72" s="2374"/>
      <c r="N72" s="2374"/>
      <c r="O72" s="2375"/>
      <c r="P72" s="2374"/>
      <c r="Q72" s="2374"/>
      <c r="R72" s="2376"/>
    </row>
    <row r="73" spans="2:18" s="2348" customFormat="1">
      <c r="B73" s="2374"/>
      <c r="C73" s="2374"/>
      <c r="D73" s="2374"/>
      <c r="E73" s="2374"/>
      <c r="F73" s="2374"/>
      <c r="G73" s="2375"/>
      <c r="H73" s="2374"/>
      <c r="I73" s="2375"/>
      <c r="J73" s="2374"/>
      <c r="K73" s="2374"/>
      <c r="L73" s="2375"/>
      <c r="M73" s="2374"/>
      <c r="N73" s="2374"/>
      <c r="O73" s="2375"/>
      <c r="P73" s="2374"/>
      <c r="Q73" s="2374"/>
      <c r="R73" s="2376"/>
    </row>
    <row r="74" spans="2:18" s="2348" customFormat="1">
      <c r="B74" s="2374"/>
      <c r="C74" s="2374"/>
      <c r="D74" s="2374"/>
      <c r="E74" s="2374"/>
      <c r="F74" s="2374"/>
      <c r="G74" s="2375"/>
      <c r="H74" s="2374"/>
      <c r="I74" s="2375"/>
      <c r="J74" s="2374"/>
      <c r="K74" s="2374"/>
      <c r="L74" s="2375"/>
      <c r="M74" s="2374"/>
      <c r="N74" s="2374"/>
      <c r="O74" s="2375"/>
      <c r="P74" s="2374"/>
      <c r="Q74" s="2374"/>
      <c r="R74" s="2376"/>
    </row>
    <row r="75" spans="2:18" s="2348" customFormat="1">
      <c r="B75" s="2374"/>
      <c r="C75" s="2374"/>
      <c r="D75" s="2374"/>
      <c r="E75" s="2374"/>
      <c r="F75" s="2374"/>
      <c r="G75" s="2375"/>
      <c r="H75" s="2374"/>
      <c r="I75" s="2375"/>
      <c r="J75" s="2374"/>
      <c r="K75" s="2374"/>
      <c r="L75" s="2375"/>
      <c r="M75" s="2374"/>
      <c r="N75" s="2374"/>
      <c r="O75" s="2375"/>
      <c r="P75" s="2374"/>
      <c r="Q75" s="2374"/>
      <c r="R75" s="2376"/>
    </row>
    <row r="76" spans="2:18" s="2348" customFormat="1">
      <c r="B76" s="2374"/>
      <c r="C76" s="2374"/>
      <c r="D76" s="2374"/>
      <c r="E76" s="2374"/>
      <c r="F76" s="2374"/>
      <c r="G76" s="2375"/>
      <c r="H76" s="2374"/>
      <c r="I76" s="2375"/>
      <c r="J76" s="2374"/>
      <c r="K76" s="2374"/>
      <c r="L76" s="2375"/>
      <c r="M76" s="2374"/>
      <c r="N76" s="2374"/>
      <c r="O76" s="2375"/>
      <c r="P76" s="2374"/>
      <c r="Q76" s="2374"/>
      <c r="R76" s="2376"/>
    </row>
    <row r="77" spans="2:18" s="2348" customFormat="1">
      <c r="B77" s="2374"/>
      <c r="C77" s="2374"/>
      <c r="D77" s="2374"/>
      <c r="E77" s="2374"/>
      <c r="F77" s="2374"/>
      <c r="G77" s="2375"/>
      <c r="H77" s="2374"/>
      <c r="I77" s="2375"/>
      <c r="J77" s="2374"/>
      <c r="K77" s="2374"/>
      <c r="L77" s="2375"/>
      <c r="M77" s="2374"/>
      <c r="N77" s="2374"/>
      <c r="O77" s="2375"/>
      <c r="P77" s="2374"/>
      <c r="Q77" s="2374"/>
      <c r="R77" s="2376"/>
    </row>
    <row r="78" spans="2:18" s="2348" customFormat="1">
      <c r="B78" s="2374"/>
      <c r="C78" s="2374"/>
      <c r="D78" s="2374"/>
      <c r="E78" s="2374"/>
      <c r="F78" s="2374"/>
      <c r="G78" s="2375"/>
      <c r="H78" s="2374"/>
      <c r="I78" s="2375"/>
      <c r="J78" s="2374"/>
      <c r="K78" s="2374"/>
      <c r="L78" s="2375"/>
      <c r="M78" s="2374"/>
      <c r="N78" s="2374"/>
      <c r="O78" s="2375"/>
      <c r="P78" s="2374"/>
      <c r="Q78" s="2374"/>
      <c r="R78" s="2376"/>
    </row>
    <row r="79" spans="2:18" s="2348" customFormat="1">
      <c r="B79" s="2374"/>
      <c r="C79" s="2374"/>
      <c r="D79" s="2374"/>
      <c r="E79" s="2374"/>
      <c r="F79" s="2374"/>
      <c r="G79" s="2375"/>
      <c r="H79" s="2374"/>
      <c r="I79" s="2375"/>
      <c r="J79" s="2374"/>
      <c r="K79" s="2374"/>
      <c r="L79" s="2375"/>
      <c r="M79" s="2374"/>
      <c r="N79" s="2374"/>
      <c r="O79" s="2375"/>
      <c r="P79" s="2374"/>
      <c r="Q79" s="2374"/>
      <c r="R79" s="2376"/>
    </row>
    <row r="80" spans="2:18" s="2348" customFormat="1">
      <c r="B80" s="2374"/>
      <c r="C80" s="2374"/>
      <c r="D80" s="2374"/>
      <c r="E80" s="2374"/>
      <c r="F80" s="2374"/>
      <c r="G80" s="2375"/>
      <c r="H80" s="2374"/>
      <c r="I80" s="2375"/>
      <c r="J80" s="2374"/>
      <c r="K80" s="2374"/>
      <c r="L80" s="2375"/>
      <c r="M80" s="2374"/>
      <c r="N80" s="2374"/>
      <c r="O80" s="2375"/>
      <c r="P80" s="2374"/>
      <c r="Q80" s="2374"/>
      <c r="R80" s="2376"/>
    </row>
    <row r="81" spans="2:18" s="2348" customFormat="1">
      <c r="B81" s="2374"/>
      <c r="C81" s="2374"/>
      <c r="D81" s="2374"/>
      <c r="E81" s="2374"/>
      <c r="F81" s="2374"/>
      <c r="G81" s="2375"/>
      <c r="H81" s="2374"/>
      <c r="I81" s="2375"/>
      <c r="J81" s="2374"/>
      <c r="K81" s="2374"/>
      <c r="L81" s="2375"/>
      <c r="M81" s="2374"/>
      <c r="N81" s="2374"/>
      <c r="O81" s="2375"/>
      <c r="P81" s="2374"/>
      <c r="Q81" s="2374"/>
      <c r="R81" s="2376"/>
    </row>
    <row r="82" spans="2:18" s="2348" customFormat="1">
      <c r="B82" s="2374"/>
      <c r="C82" s="2374"/>
      <c r="D82" s="2374"/>
      <c r="E82" s="2374"/>
      <c r="F82" s="2374"/>
      <c r="G82" s="2375"/>
      <c r="H82" s="2374"/>
      <c r="I82" s="2375"/>
      <c r="J82" s="2374"/>
      <c r="K82" s="2374"/>
      <c r="L82" s="2375"/>
      <c r="M82" s="2374"/>
      <c r="N82" s="2374"/>
      <c r="O82" s="2375"/>
      <c r="P82" s="2374"/>
      <c r="Q82" s="2374"/>
      <c r="R82" s="2376"/>
    </row>
    <row r="83" spans="2:18" s="2348" customFormat="1">
      <c r="B83" s="2374"/>
      <c r="C83" s="2374"/>
      <c r="D83" s="2374"/>
      <c r="E83" s="2374"/>
      <c r="F83" s="2374"/>
      <c r="G83" s="2375"/>
      <c r="H83" s="2374"/>
      <c r="I83" s="2375"/>
      <c r="J83" s="2374"/>
      <c r="K83" s="2374"/>
      <c r="L83" s="2375"/>
      <c r="M83" s="2374"/>
      <c r="N83" s="2374"/>
      <c r="O83" s="2375"/>
      <c r="P83" s="2374"/>
      <c r="Q83" s="2374"/>
      <c r="R83" s="2376"/>
    </row>
    <row r="84" spans="2:18" s="2348" customFormat="1">
      <c r="B84" s="2374"/>
      <c r="C84" s="2374"/>
      <c r="D84" s="2374"/>
      <c r="E84" s="2374"/>
      <c r="F84" s="2374"/>
      <c r="G84" s="2375"/>
      <c r="H84" s="2374"/>
      <c r="I84" s="2375"/>
      <c r="J84" s="2374"/>
      <c r="K84" s="2374"/>
      <c r="L84" s="2375"/>
      <c r="M84" s="2374"/>
      <c r="N84" s="2374"/>
      <c r="O84" s="2375"/>
      <c r="P84" s="2374"/>
      <c r="Q84" s="2374"/>
      <c r="R84" s="2376"/>
    </row>
    <row r="85" spans="2:18" s="2348" customFormat="1">
      <c r="B85" s="2374"/>
      <c r="C85" s="2374"/>
      <c r="D85" s="2374"/>
      <c r="E85" s="2374"/>
      <c r="F85" s="2374"/>
      <c r="G85" s="2375"/>
      <c r="H85" s="2374"/>
      <c r="I85" s="2375"/>
      <c r="J85" s="2374"/>
      <c r="K85" s="2374"/>
      <c r="L85" s="2375"/>
      <c r="M85" s="2374"/>
      <c r="N85" s="2374"/>
      <c r="O85" s="2375"/>
      <c r="P85" s="2374"/>
      <c r="Q85" s="2374"/>
      <c r="R85" s="2376"/>
    </row>
    <row r="86" spans="2:18" s="2348" customFormat="1">
      <c r="B86" s="2374"/>
      <c r="C86" s="2374"/>
      <c r="D86" s="2374"/>
      <c r="E86" s="2374"/>
      <c r="F86" s="2374"/>
      <c r="G86" s="2375"/>
      <c r="H86" s="2374"/>
      <c r="I86" s="2375"/>
      <c r="J86" s="2374"/>
      <c r="K86" s="2374"/>
      <c r="L86" s="2375"/>
      <c r="M86" s="2374"/>
      <c r="N86" s="2374"/>
      <c r="O86" s="2375"/>
      <c r="P86" s="2374"/>
      <c r="Q86" s="2374"/>
      <c r="R86" s="2376"/>
    </row>
    <row r="87" spans="2:18" s="2348" customFormat="1">
      <c r="B87" s="2374"/>
      <c r="C87" s="2374"/>
      <c r="D87" s="2374"/>
      <c r="E87" s="2374"/>
      <c r="F87" s="2374"/>
      <c r="G87" s="2375"/>
      <c r="H87" s="2374"/>
      <c r="I87" s="2375"/>
      <c r="J87" s="2374"/>
      <c r="K87" s="2374"/>
      <c r="L87" s="2375"/>
      <c r="M87" s="2374"/>
      <c r="N87" s="2374"/>
      <c r="O87" s="2375"/>
      <c r="P87" s="2374"/>
      <c r="Q87" s="2374"/>
      <c r="R87" s="2376"/>
    </row>
    <row r="88" spans="2:18" s="2348" customFormat="1">
      <c r="B88" s="2374"/>
      <c r="C88" s="2374"/>
      <c r="D88" s="2374"/>
      <c r="E88" s="2374"/>
      <c r="F88" s="2374"/>
      <c r="G88" s="2375"/>
      <c r="H88" s="2374"/>
      <c r="I88" s="2375"/>
      <c r="J88" s="2374"/>
      <c r="K88" s="2374"/>
      <c r="L88" s="2375"/>
      <c r="M88" s="2374"/>
      <c r="N88" s="2374"/>
      <c r="O88" s="2375"/>
      <c r="P88" s="2374"/>
      <c r="Q88" s="2374"/>
      <c r="R88" s="2376"/>
    </row>
    <row r="89" spans="2:18" s="2348" customFormat="1">
      <c r="B89" s="2374"/>
      <c r="C89" s="2374"/>
      <c r="D89" s="2374"/>
      <c r="E89" s="2374"/>
      <c r="F89" s="2374"/>
      <c r="G89" s="2375"/>
      <c r="H89" s="2374"/>
      <c r="I89" s="2375"/>
      <c r="J89" s="2374"/>
      <c r="K89" s="2374"/>
      <c r="L89" s="2375"/>
      <c r="M89" s="2374"/>
      <c r="N89" s="2374"/>
      <c r="O89" s="2375"/>
      <c r="P89" s="2374"/>
      <c r="Q89" s="2374"/>
      <c r="R89" s="2376"/>
    </row>
    <row r="90" spans="2:18" s="2348" customFormat="1">
      <c r="B90" s="2374"/>
      <c r="C90" s="2374"/>
      <c r="D90" s="2374"/>
      <c r="E90" s="2374"/>
      <c r="F90" s="2374"/>
      <c r="G90" s="2375"/>
      <c r="H90" s="2374"/>
      <c r="I90" s="2375"/>
      <c r="J90" s="2374"/>
      <c r="K90" s="2374"/>
      <c r="L90" s="2375"/>
      <c r="M90" s="2374"/>
      <c r="N90" s="2374"/>
      <c r="O90" s="2375"/>
      <c r="P90" s="2374"/>
      <c r="Q90" s="2374"/>
      <c r="R90" s="2376"/>
    </row>
    <row r="91" spans="2:18" s="2348" customFormat="1">
      <c r="B91" s="2374"/>
      <c r="C91" s="2374"/>
      <c r="D91" s="2374"/>
      <c r="E91" s="2374"/>
      <c r="F91" s="2374"/>
      <c r="G91" s="2375"/>
      <c r="H91" s="2374"/>
      <c r="I91" s="2375"/>
      <c r="J91" s="2374"/>
      <c r="K91" s="2374"/>
      <c r="L91" s="2375"/>
      <c r="M91" s="2374"/>
      <c r="N91" s="2374"/>
      <c r="O91" s="2375"/>
      <c r="P91" s="2374"/>
      <c r="Q91" s="2374"/>
      <c r="R91" s="2376"/>
    </row>
    <row r="92" spans="2:18" s="2348" customFormat="1">
      <c r="B92" s="2374"/>
      <c r="C92" s="2374"/>
      <c r="D92" s="2374"/>
      <c r="E92" s="2374"/>
      <c r="F92" s="2374"/>
      <c r="G92" s="2375"/>
      <c r="H92" s="2374"/>
      <c r="I92" s="2375"/>
      <c r="J92" s="2374"/>
      <c r="K92" s="2374"/>
      <c r="L92" s="2375"/>
      <c r="M92" s="2374"/>
      <c r="N92" s="2374"/>
      <c r="O92" s="2375"/>
      <c r="P92" s="2374"/>
      <c r="Q92" s="2374"/>
      <c r="R92" s="2376"/>
    </row>
    <row r="93" spans="2:18" s="2348" customFormat="1">
      <c r="B93" s="2374"/>
      <c r="C93" s="2374"/>
      <c r="D93" s="2374"/>
      <c r="E93" s="2374"/>
      <c r="F93" s="2374"/>
      <c r="G93" s="2375"/>
      <c r="H93" s="2374"/>
      <c r="I93" s="2375"/>
      <c r="J93" s="2374"/>
      <c r="K93" s="2374"/>
      <c r="L93" s="2375"/>
      <c r="M93" s="2374"/>
      <c r="N93" s="2374"/>
      <c r="O93" s="2375"/>
      <c r="P93" s="2374"/>
      <c r="Q93" s="2374"/>
      <c r="R93" s="2376"/>
    </row>
    <row r="94" spans="2:18" s="2348" customFormat="1">
      <c r="B94" s="2374"/>
      <c r="C94" s="2374"/>
      <c r="D94" s="2374"/>
      <c r="E94" s="2374"/>
      <c r="F94" s="2374"/>
      <c r="G94" s="2375"/>
      <c r="H94" s="2374"/>
      <c r="I94" s="2375"/>
      <c r="J94" s="2374"/>
      <c r="K94" s="2374"/>
      <c r="L94" s="2375"/>
      <c r="M94" s="2374"/>
      <c r="N94" s="2374"/>
      <c r="O94" s="2375"/>
      <c r="P94" s="2374"/>
      <c r="Q94" s="2374"/>
      <c r="R94" s="2376"/>
    </row>
    <row r="95" spans="2:18" s="2348" customFormat="1">
      <c r="B95" s="2374"/>
      <c r="C95" s="2374"/>
      <c r="D95" s="2374"/>
      <c r="E95" s="2374"/>
      <c r="F95" s="2374"/>
      <c r="G95" s="2375"/>
      <c r="H95" s="2374"/>
      <c r="I95" s="2375"/>
      <c r="J95" s="2374"/>
      <c r="K95" s="2374"/>
      <c r="L95" s="2375"/>
      <c r="M95" s="2374"/>
      <c r="N95" s="2374"/>
      <c r="O95" s="2375"/>
      <c r="P95" s="2374"/>
      <c r="Q95" s="2374"/>
      <c r="R95" s="2376"/>
    </row>
    <row r="96" spans="2:18" s="2348" customFormat="1">
      <c r="B96" s="2374"/>
      <c r="C96" s="2374"/>
      <c r="D96" s="2374"/>
      <c r="E96" s="2374"/>
      <c r="F96" s="2374"/>
      <c r="G96" s="2375"/>
      <c r="H96" s="2374"/>
      <c r="I96" s="2375"/>
      <c r="J96" s="2374"/>
      <c r="K96" s="2374"/>
      <c r="L96" s="2375"/>
      <c r="M96" s="2374"/>
      <c r="N96" s="2374"/>
      <c r="O96" s="2375"/>
      <c r="P96" s="2374"/>
      <c r="Q96" s="2374"/>
      <c r="R96" s="2376"/>
    </row>
    <row r="97" spans="2:18" s="2348" customFormat="1">
      <c r="B97" s="2374"/>
      <c r="C97" s="2374"/>
      <c r="D97" s="2374"/>
      <c r="E97" s="2374"/>
      <c r="F97" s="2374"/>
      <c r="G97" s="2375"/>
      <c r="H97" s="2374"/>
      <c r="I97" s="2375"/>
      <c r="J97" s="2374"/>
      <c r="K97" s="2374"/>
      <c r="L97" s="2375"/>
      <c r="M97" s="2374"/>
      <c r="N97" s="2374"/>
      <c r="O97" s="2375"/>
      <c r="P97" s="2374"/>
      <c r="Q97" s="2374"/>
      <c r="R97" s="2376"/>
    </row>
    <row r="98" spans="2:18" s="2348" customFormat="1">
      <c r="B98" s="2374"/>
      <c r="C98" s="2374"/>
      <c r="D98" s="2374"/>
      <c r="E98" s="2374"/>
      <c r="F98" s="2374"/>
      <c r="G98" s="2375"/>
      <c r="H98" s="2374"/>
      <c r="I98" s="2375"/>
      <c r="J98" s="2374"/>
      <c r="K98" s="2374"/>
      <c r="L98" s="2375"/>
      <c r="M98" s="2374"/>
      <c r="N98" s="2374"/>
      <c r="O98" s="2375"/>
      <c r="P98" s="2374"/>
      <c r="Q98" s="2374"/>
      <c r="R98" s="2376"/>
    </row>
    <row r="99" spans="2:18" s="2348" customFormat="1">
      <c r="B99" s="2374"/>
      <c r="C99" s="2374"/>
      <c r="D99" s="2374"/>
      <c r="E99" s="2374"/>
      <c r="F99" s="2374"/>
      <c r="G99" s="2375"/>
      <c r="H99" s="2374"/>
      <c r="I99" s="2375"/>
      <c r="J99" s="2374"/>
      <c r="K99" s="2374"/>
      <c r="L99" s="2375"/>
      <c r="M99" s="2374"/>
      <c r="N99" s="2374"/>
      <c r="O99" s="2375"/>
      <c r="P99" s="2374"/>
      <c r="Q99" s="2374"/>
      <c r="R99" s="2376"/>
    </row>
    <row r="100" spans="2:18" s="2348" customFormat="1">
      <c r="B100" s="2374"/>
      <c r="C100" s="2374"/>
      <c r="D100" s="2374"/>
      <c r="E100" s="2374"/>
      <c r="F100" s="2374"/>
      <c r="G100" s="2375"/>
      <c r="H100" s="2374"/>
      <c r="I100" s="2375"/>
      <c r="J100" s="2374"/>
      <c r="K100" s="2374"/>
      <c r="L100" s="2375"/>
      <c r="M100" s="2374"/>
      <c r="N100" s="2374"/>
      <c r="O100" s="2375"/>
      <c r="P100" s="2374"/>
      <c r="Q100" s="2374"/>
      <c r="R100" s="2376"/>
    </row>
    <row r="101" spans="2:18" s="2348" customFormat="1">
      <c r="B101" s="2374"/>
      <c r="C101" s="2374"/>
      <c r="D101" s="2374"/>
      <c r="E101" s="2374"/>
      <c r="F101" s="2374"/>
      <c r="G101" s="2375"/>
      <c r="H101" s="2374"/>
      <c r="I101" s="2375"/>
      <c r="J101" s="2374"/>
      <c r="K101" s="2374"/>
      <c r="L101" s="2375"/>
      <c r="M101" s="2374"/>
      <c r="N101" s="2374"/>
      <c r="O101" s="2375"/>
      <c r="P101" s="2374"/>
      <c r="Q101" s="2374"/>
      <c r="R101" s="2376"/>
    </row>
    <row r="102" spans="2:18" s="2348" customFormat="1">
      <c r="B102" s="2374"/>
      <c r="C102" s="2374"/>
      <c r="D102" s="2374"/>
      <c r="E102" s="2374"/>
      <c r="F102" s="2374"/>
      <c r="G102" s="2375"/>
      <c r="H102" s="2374"/>
      <c r="I102" s="2375"/>
      <c r="J102" s="2374"/>
      <c r="K102" s="2374"/>
      <c r="L102" s="2375"/>
      <c r="M102" s="2374"/>
      <c r="N102" s="2374"/>
      <c r="O102" s="2375"/>
      <c r="P102" s="2374"/>
      <c r="Q102" s="2374"/>
      <c r="R102" s="2376"/>
    </row>
    <row r="103" spans="2:18" s="2348" customFormat="1">
      <c r="B103" s="2374"/>
      <c r="C103" s="2374"/>
      <c r="D103" s="2374"/>
      <c r="E103" s="2374"/>
      <c r="F103" s="2374"/>
      <c r="G103" s="2375"/>
      <c r="H103" s="2374"/>
      <c r="I103" s="2375"/>
      <c r="J103" s="2374"/>
      <c r="K103" s="2374"/>
      <c r="L103" s="2375"/>
      <c r="M103" s="2374"/>
      <c r="N103" s="2374"/>
      <c r="O103" s="2375"/>
      <c r="P103" s="2374"/>
      <c r="Q103" s="2374"/>
      <c r="R103" s="2376"/>
    </row>
    <row r="104" spans="2:18" s="2348" customFormat="1">
      <c r="B104" s="2374"/>
      <c r="C104" s="2374"/>
      <c r="D104" s="2374"/>
      <c r="E104" s="2374"/>
      <c r="F104" s="2374"/>
      <c r="G104" s="2375"/>
      <c r="H104" s="2374"/>
      <c r="I104" s="2375"/>
      <c r="J104" s="2374"/>
      <c r="K104" s="2374"/>
      <c r="L104" s="2375"/>
      <c r="M104" s="2374"/>
      <c r="N104" s="2374"/>
      <c r="O104" s="2375"/>
      <c r="P104" s="2374"/>
      <c r="Q104" s="2374"/>
      <c r="R104" s="2376"/>
    </row>
    <row r="105" spans="2:18" s="2348" customFormat="1">
      <c r="B105" s="2374"/>
      <c r="C105" s="2374"/>
      <c r="D105" s="2374"/>
      <c r="E105" s="2374"/>
      <c r="F105" s="2374"/>
      <c r="G105" s="2375"/>
      <c r="H105" s="2374"/>
      <c r="I105" s="2375"/>
      <c r="J105" s="2374"/>
      <c r="K105" s="2374"/>
      <c r="L105" s="2375"/>
      <c r="M105" s="2374"/>
      <c r="N105" s="2374"/>
      <c r="O105" s="2375"/>
      <c r="P105" s="2374"/>
      <c r="Q105" s="2374"/>
      <c r="R105" s="2376"/>
    </row>
    <row r="106" spans="2:18" s="2348" customFormat="1">
      <c r="B106" s="2374"/>
      <c r="C106" s="2374"/>
      <c r="D106" s="2374"/>
      <c r="E106" s="2374"/>
      <c r="F106" s="2374"/>
      <c r="G106" s="2375"/>
      <c r="H106" s="2374"/>
      <c r="I106" s="2375"/>
      <c r="J106" s="2374"/>
      <c r="K106" s="2374"/>
      <c r="L106" s="2375"/>
      <c r="M106" s="2374"/>
      <c r="N106" s="2374"/>
      <c r="O106" s="2375"/>
      <c r="P106" s="2374"/>
      <c r="Q106" s="2374"/>
      <c r="R106" s="2376"/>
    </row>
    <row r="107" spans="2:18" s="2348" customFormat="1">
      <c r="B107" s="2374"/>
      <c r="C107" s="2374"/>
      <c r="D107" s="2374"/>
      <c r="E107" s="2374"/>
      <c r="F107" s="2374"/>
      <c r="G107" s="2375"/>
      <c r="H107" s="2374"/>
      <c r="I107" s="2375"/>
      <c r="J107" s="2374"/>
      <c r="K107" s="2374"/>
      <c r="L107" s="2375"/>
      <c r="M107" s="2374"/>
      <c r="N107" s="2374"/>
      <c r="O107" s="2375"/>
      <c r="P107" s="2374"/>
      <c r="Q107" s="2374"/>
      <c r="R107" s="2376"/>
    </row>
    <row r="108" spans="2:18" s="2348" customFormat="1">
      <c r="B108" s="2374"/>
      <c r="C108" s="2374"/>
      <c r="D108" s="2374"/>
      <c r="E108" s="2374"/>
      <c r="F108" s="2374"/>
      <c r="G108" s="2375"/>
      <c r="H108" s="2374"/>
      <c r="I108" s="2375"/>
      <c r="J108" s="2374"/>
      <c r="K108" s="2374"/>
      <c r="L108" s="2375"/>
      <c r="M108" s="2374"/>
      <c r="N108" s="2374"/>
      <c r="O108" s="2375"/>
      <c r="P108" s="2374"/>
      <c r="Q108" s="2374"/>
      <c r="R108" s="2376"/>
    </row>
    <row r="109" spans="2:18" s="2348" customFormat="1">
      <c r="B109" s="2374"/>
      <c r="C109" s="2374"/>
      <c r="D109" s="2374"/>
      <c r="E109" s="2374"/>
      <c r="F109" s="2374"/>
      <c r="G109" s="2375"/>
      <c r="H109" s="2374"/>
      <c r="I109" s="2375"/>
      <c r="J109" s="2374"/>
      <c r="K109" s="2374"/>
      <c r="L109" s="2375"/>
      <c r="M109" s="2374"/>
      <c r="N109" s="2374"/>
      <c r="O109" s="2375"/>
      <c r="P109" s="2374"/>
      <c r="Q109" s="2374"/>
      <c r="R109" s="2376"/>
    </row>
    <row r="110" spans="2:18" s="2348" customFormat="1">
      <c r="B110" s="2374"/>
      <c r="C110" s="2374"/>
      <c r="D110" s="2374"/>
      <c r="E110" s="2374"/>
      <c r="F110" s="2374"/>
      <c r="G110" s="2375"/>
      <c r="H110" s="2374"/>
      <c r="I110" s="2375"/>
      <c r="J110" s="2374"/>
      <c r="K110" s="2374"/>
      <c r="L110" s="2375"/>
      <c r="M110" s="2374"/>
      <c r="N110" s="2374"/>
      <c r="O110" s="2375"/>
      <c r="P110" s="2374"/>
      <c r="Q110" s="2374"/>
      <c r="R110" s="2376"/>
    </row>
    <row r="111" spans="2:18" s="2348" customFormat="1">
      <c r="B111" s="2374"/>
      <c r="C111" s="2374"/>
      <c r="D111" s="2374"/>
      <c r="E111" s="2374"/>
      <c r="F111" s="2374"/>
      <c r="G111" s="2375"/>
      <c r="H111" s="2374"/>
      <c r="I111" s="2375"/>
      <c r="J111" s="2374"/>
      <c r="K111" s="2374"/>
      <c r="L111" s="2375"/>
      <c r="M111" s="2374"/>
      <c r="N111" s="2374"/>
      <c r="O111" s="2375"/>
      <c r="P111" s="2374"/>
      <c r="Q111" s="2374"/>
      <c r="R111" s="2376"/>
    </row>
    <row r="112" spans="2:18" s="2348" customFormat="1">
      <c r="B112" s="2374"/>
      <c r="C112" s="2374"/>
      <c r="D112" s="2374"/>
      <c r="E112" s="2374"/>
      <c r="F112" s="2374"/>
      <c r="G112" s="2375"/>
      <c r="H112" s="2374"/>
      <c r="I112" s="2375"/>
      <c r="J112" s="2374"/>
      <c r="K112" s="2374"/>
      <c r="L112" s="2375"/>
      <c r="M112" s="2374"/>
      <c r="N112" s="2374"/>
      <c r="O112" s="2375"/>
      <c r="P112" s="2374"/>
      <c r="Q112" s="2374"/>
      <c r="R112" s="2376"/>
    </row>
    <row r="113" spans="2:18" s="2348" customFormat="1">
      <c r="B113" s="2374"/>
      <c r="C113" s="2374"/>
      <c r="D113" s="2374"/>
      <c r="E113" s="2374"/>
      <c r="F113" s="2374"/>
      <c r="G113" s="2375"/>
      <c r="H113" s="2374"/>
      <c r="I113" s="2375"/>
      <c r="J113" s="2374"/>
      <c r="K113" s="2374"/>
      <c r="L113" s="2375"/>
      <c r="M113" s="2374"/>
      <c r="N113" s="2374"/>
      <c r="O113" s="2375"/>
      <c r="P113" s="2374"/>
      <c r="Q113" s="2374"/>
      <c r="R113" s="2376"/>
    </row>
    <row r="114" spans="2:18" s="2348" customFormat="1">
      <c r="B114" s="2374"/>
      <c r="C114" s="2374"/>
      <c r="D114" s="2374"/>
      <c r="E114" s="2374"/>
      <c r="F114" s="2374"/>
      <c r="G114" s="2375"/>
      <c r="H114" s="2374"/>
      <c r="I114" s="2375"/>
      <c r="J114" s="2374"/>
      <c r="K114" s="2374"/>
      <c r="L114" s="2375"/>
      <c r="M114" s="2374"/>
      <c r="N114" s="2374"/>
      <c r="O114" s="2375"/>
      <c r="P114" s="2374"/>
      <c r="Q114" s="2374"/>
      <c r="R114" s="2376"/>
    </row>
    <row r="115" spans="2:18" s="2348" customFormat="1">
      <c r="B115" s="2374"/>
      <c r="C115" s="2374"/>
      <c r="D115" s="2374"/>
      <c r="E115" s="2374"/>
      <c r="F115" s="2374"/>
      <c r="G115" s="2375"/>
      <c r="H115" s="2374"/>
      <c r="I115" s="2375"/>
      <c r="J115" s="2374"/>
      <c r="K115" s="2374"/>
      <c r="L115" s="2375"/>
      <c r="M115" s="2374"/>
      <c r="N115" s="2374"/>
      <c r="O115" s="2375"/>
      <c r="P115" s="2374"/>
      <c r="Q115" s="2374"/>
      <c r="R115" s="2376"/>
    </row>
    <row r="116" spans="2:18" s="2348" customFormat="1">
      <c r="B116" s="2374"/>
      <c r="C116" s="2374"/>
      <c r="D116" s="2374"/>
      <c r="E116" s="2374"/>
      <c r="F116" s="2374"/>
      <c r="G116" s="2375"/>
      <c r="H116" s="2374"/>
      <c r="I116" s="2375"/>
      <c r="J116" s="2374"/>
      <c r="K116" s="2374"/>
      <c r="L116" s="2375"/>
      <c r="M116" s="2374"/>
      <c r="N116" s="2374"/>
      <c r="O116" s="2375"/>
      <c r="P116" s="2374"/>
      <c r="Q116" s="2374"/>
      <c r="R116" s="2376"/>
    </row>
    <row r="117" spans="2:18" s="2348" customFormat="1">
      <c r="B117" s="2374"/>
      <c r="C117" s="2374"/>
      <c r="D117" s="2374"/>
      <c r="E117" s="2374"/>
      <c r="F117" s="2374"/>
      <c r="G117" s="2375"/>
      <c r="H117" s="2374"/>
      <c r="I117" s="2375"/>
      <c r="J117" s="2374"/>
      <c r="K117" s="2374"/>
      <c r="L117" s="2375"/>
      <c r="M117" s="2374"/>
      <c r="N117" s="2374"/>
      <c r="O117" s="2375"/>
      <c r="P117" s="2374"/>
      <c r="Q117" s="2374"/>
      <c r="R117" s="2376"/>
    </row>
    <row r="118" spans="2:18" s="2348" customFormat="1">
      <c r="B118" s="2374"/>
      <c r="C118" s="2374"/>
      <c r="D118" s="2374"/>
      <c r="E118" s="2374"/>
      <c r="F118" s="2374"/>
      <c r="G118" s="2375"/>
      <c r="H118" s="2374"/>
      <c r="I118" s="2375"/>
      <c r="J118" s="2374"/>
      <c r="K118" s="2374"/>
      <c r="L118" s="2375"/>
      <c r="M118" s="2374"/>
      <c r="N118" s="2374"/>
      <c r="O118" s="2375"/>
      <c r="P118" s="2374"/>
      <c r="Q118" s="2374"/>
      <c r="R118" s="2376"/>
    </row>
    <row r="119" spans="2:18" s="2348" customFormat="1">
      <c r="B119" s="2374"/>
      <c r="C119" s="2374"/>
      <c r="D119" s="2374"/>
      <c r="E119" s="2374"/>
      <c r="F119" s="2374"/>
      <c r="G119" s="2375"/>
      <c r="H119" s="2374"/>
      <c r="I119" s="2375"/>
      <c r="J119" s="2374"/>
      <c r="K119" s="2374"/>
      <c r="L119" s="2375"/>
      <c r="M119" s="2374"/>
      <c r="N119" s="2374"/>
      <c r="O119" s="2375"/>
      <c r="P119" s="2374"/>
      <c r="Q119" s="2374"/>
      <c r="R119" s="2376"/>
    </row>
    <row r="120" spans="2:18" s="2348" customFormat="1">
      <c r="B120" s="2374"/>
      <c r="C120" s="2374"/>
      <c r="D120" s="2374"/>
      <c r="E120" s="2374"/>
      <c r="F120" s="2374"/>
      <c r="G120" s="2375"/>
      <c r="H120" s="2374"/>
      <c r="I120" s="2375"/>
      <c r="J120" s="2374"/>
      <c r="K120" s="2374"/>
      <c r="L120" s="2375"/>
      <c r="M120" s="2374"/>
      <c r="N120" s="2374"/>
      <c r="O120" s="2375"/>
      <c r="P120" s="2374"/>
      <c r="Q120" s="2374"/>
      <c r="R120" s="2376"/>
    </row>
    <row r="121" spans="2:18" s="2348" customFormat="1">
      <c r="B121" s="2374"/>
      <c r="C121" s="2374"/>
      <c r="D121" s="2374"/>
      <c r="E121" s="2374"/>
      <c r="F121" s="2374"/>
      <c r="G121" s="2375"/>
      <c r="H121" s="2374"/>
      <c r="I121" s="2375"/>
      <c r="J121" s="2374"/>
      <c r="K121" s="2374"/>
      <c r="L121" s="2375"/>
      <c r="M121" s="2374"/>
      <c r="N121" s="2374"/>
      <c r="O121" s="2375"/>
      <c r="P121" s="2374"/>
      <c r="Q121" s="2374"/>
      <c r="R121" s="2376"/>
    </row>
    <row r="122" spans="2:18" s="2348" customFormat="1">
      <c r="B122" s="2374"/>
      <c r="C122" s="2374"/>
      <c r="D122" s="2374"/>
      <c r="E122" s="2374"/>
      <c r="F122" s="2374"/>
      <c r="G122" s="2375"/>
      <c r="H122" s="2374"/>
      <c r="I122" s="2375"/>
      <c r="J122" s="2374"/>
      <c r="K122" s="2374"/>
      <c r="L122" s="2375"/>
      <c r="M122" s="2374"/>
      <c r="N122" s="2374"/>
      <c r="O122" s="2375"/>
      <c r="P122" s="2374"/>
      <c r="Q122" s="2374"/>
      <c r="R122" s="2376"/>
    </row>
    <row r="123" spans="2:18" s="2348" customFormat="1">
      <c r="B123" s="2374"/>
      <c r="C123" s="2374"/>
      <c r="D123" s="2374"/>
      <c r="E123" s="2374"/>
      <c r="F123" s="2374"/>
      <c r="G123" s="2375"/>
      <c r="H123" s="2374"/>
      <c r="I123" s="2375"/>
      <c r="J123" s="2374"/>
      <c r="K123" s="2374"/>
      <c r="L123" s="2375"/>
      <c r="M123" s="2374"/>
      <c r="N123" s="2374"/>
      <c r="O123" s="2375"/>
      <c r="P123" s="2374"/>
      <c r="Q123" s="2374"/>
      <c r="R123" s="2376"/>
    </row>
    <row r="124" spans="2:18" s="2348" customFormat="1">
      <c r="B124" s="2374"/>
      <c r="C124" s="2374"/>
      <c r="D124" s="2374"/>
      <c r="E124" s="2374"/>
      <c r="F124" s="2374"/>
      <c r="G124" s="2375"/>
      <c r="H124" s="2374"/>
      <c r="I124" s="2375"/>
      <c r="J124" s="2374"/>
      <c r="K124" s="2374"/>
      <c r="L124" s="2375"/>
      <c r="M124" s="2374"/>
      <c r="N124" s="2374"/>
      <c r="O124" s="2375"/>
      <c r="P124" s="2374"/>
      <c r="Q124" s="2374"/>
      <c r="R124" s="2376"/>
    </row>
    <row r="125" spans="2:18" s="2348" customFormat="1">
      <c r="B125" s="2374"/>
      <c r="C125" s="2374"/>
      <c r="D125" s="2374"/>
      <c r="E125" s="2374"/>
      <c r="F125" s="2374"/>
      <c r="G125" s="2375"/>
      <c r="H125" s="2374"/>
      <c r="I125" s="2375"/>
      <c r="J125" s="2374"/>
      <c r="K125" s="2374"/>
      <c r="L125" s="2375"/>
      <c r="M125" s="2374"/>
      <c r="N125" s="2374"/>
      <c r="O125" s="2375"/>
      <c r="P125" s="2374"/>
      <c r="Q125" s="2374"/>
      <c r="R125" s="2376"/>
    </row>
    <row r="126" spans="2:18" s="2348" customFormat="1">
      <c r="B126" s="2374"/>
      <c r="C126" s="2374"/>
      <c r="D126" s="2374"/>
      <c r="E126" s="2374"/>
      <c r="F126" s="2374"/>
      <c r="G126" s="2375"/>
      <c r="H126" s="2374"/>
      <c r="I126" s="2375"/>
      <c r="J126" s="2374"/>
      <c r="K126" s="2374"/>
      <c r="L126" s="2375"/>
      <c r="M126" s="2374"/>
      <c r="N126" s="2374"/>
      <c r="O126" s="2375"/>
      <c r="P126" s="2374"/>
      <c r="Q126" s="2374"/>
      <c r="R126" s="2376"/>
    </row>
    <row r="127" spans="2:18" s="2348" customFormat="1">
      <c r="B127" s="2374"/>
      <c r="C127" s="2374"/>
      <c r="D127" s="2374"/>
      <c r="E127" s="2374"/>
      <c r="F127" s="2374"/>
      <c r="G127" s="2375"/>
      <c r="H127" s="2374"/>
      <c r="I127" s="2375"/>
      <c r="J127" s="2374"/>
      <c r="K127" s="2374"/>
      <c r="L127" s="2375"/>
      <c r="M127" s="2374"/>
      <c r="N127" s="2374"/>
      <c r="O127" s="2375"/>
      <c r="P127" s="2374"/>
      <c r="Q127" s="2374"/>
      <c r="R127" s="2376"/>
    </row>
    <row r="128" spans="2:18" s="2348" customFormat="1">
      <c r="B128" s="2374"/>
      <c r="C128" s="2374"/>
      <c r="D128" s="2374"/>
      <c r="E128" s="2374"/>
      <c r="F128" s="2374"/>
      <c r="G128" s="2375"/>
      <c r="H128" s="2374"/>
      <c r="I128" s="2375"/>
      <c r="J128" s="2374"/>
      <c r="K128" s="2374"/>
      <c r="L128" s="2375"/>
      <c r="M128" s="2374"/>
      <c r="N128" s="2374"/>
      <c r="O128" s="2375"/>
      <c r="P128" s="2374"/>
      <c r="Q128" s="2374"/>
      <c r="R128" s="2376"/>
    </row>
    <row r="129" spans="2:18" s="2348" customFormat="1">
      <c r="B129" s="2374"/>
      <c r="C129" s="2374"/>
      <c r="D129" s="2374"/>
      <c r="E129" s="2374"/>
      <c r="F129" s="2374"/>
      <c r="G129" s="2375"/>
      <c r="H129" s="2374"/>
      <c r="I129" s="2375"/>
      <c r="J129" s="2374"/>
      <c r="K129" s="2374"/>
      <c r="L129" s="2375"/>
      <c r="M129" s="2374"/>
      <c r="N129" s="2374"/>
      <c r="O129" s="2375"/>
      <c r="P129" s="2374"/>
      <c r="Q129" s="2374"/>
      <c r="R129" s="2376"/>
    </row>
    <row r="130" spans="2:18" s="2348" customFormat="1">
      <c r="B130" s="2374"/>
      <c r="C130" s="2374"/>
      <c r="D130" s="2374"/>
      <c r="E130" s="2374"/>
      <c r="F130" s="2374"/>
      <c r="G130" s="2375"/>
      <c r="H130" s="2374"/>
      <c r="I130" s="2375"/>
      <c r="J130" s="2374"/>
      <c r="K130" s="2374"/>
      <c r="L130" s="2375"/>
      <c r="M130" s="2374"/>
      <c r="N130" s="2374"/>
      <c r="O130" s="2375"/>
      <c r="P130" s="2374"/>
      <c r="Q130" s="2374"/>
      <c r="R130" s="2376"/>
    </row>
    <row r="131" spans="2:18" s="2348" customFormat="1">
      <c r="B131" s="2374"/>
      <c r="C131" s="2374"/>
      <c r="D131" s="2374"/>
      <c r="E131" s="2374"/>
      <c r="F131" s="2374"/>
      <c r="G131" s="2375"/>
      <c r="H131" s="2374"/>
      <c r="I131" s="2375"/>
      <c r="J131" s="2374"/>
      <c r="K131" s="2374"/>
      <c r="L131" s="2375"/>
      <c r="M131" s="2374"/>
      <c r="N131" s="2374"/>
      <c r="O131" s="2375"/>
      <c r="P131" s="2374"/>
      <c r="Q131" s="2374"/>
      <c r="R131" s="2376"/>
    </row>
    <row r="132" spans="2:18" s="2348" customFormat="1">
      <c r="B132" s="2374"/>
      <c r="C132" s="2374"/>
      <c r="D132" s="2374"/>
      <c r="E132" s="2374"/>
      <c r="F132" s="2374"/>
      <c r="G132" s="2375"/>
      <c r="H132" s="2374"/>
      <c r="I132" s="2375"/>
      <c r="J132" s="2374"/>
      <c r="K132" s="2374"/>
      <c r="L132" s="2375"/>
      <c r="M132" s="2374"/>
      <c r="N132" s="2374"/>
      <c r="O132" s="2375"/>
      <c r="P132" s="2374"/>
      <c r="Q132" s="2374"/>
      <c r="R132" s="2376"/>
    </row>
    <row r="133" spans="2:18" s="2348" customFormat="1">
      <c r="B133" s="2374"/>
      <c r="C133" s="2374"/>
      <c r="D133" s="2374"/>
      <c r="E133" s="2374"/>
      <c r="F133" s="2374"/>
      <c r="G133" s="2375"/>
      <c r="H133" s="2374"/>
      <c r="I133" s="2375"/>
      <c r="J133" s="2374"/>
      <c r="K133" s="2374"/>
      <c r="L133" s="2375"/>
      <c r="M133" s="2374"/>
      <c r="N133" s="2374"/>
      <c r="O133" s="2375"/>
      <c r="P133" s="2374"/>
      <c r="Q133" s="2374"/>
      <c r="R133" s="2376"/>
    </row>
    <row r="134" spans="2:18" s="2348" customFormat="1">
      <c r="B134" s="2374"/>
      <c r="C134" s="2374"/>
      <c r="D134" s="2374"/>
      <c r="E134" s="2374"/>
      <c r="F134" s="2374"/>
      <c r="G134" s="2375"/>
      <c r="H134" s="2374"/>
      <c r="I134" s="2375"/>
      <c r="J134" s="2374"/>
      <c r="K134" s="2374"/>
      <c r="L134" s="2375"/>
      <c r="M134" s="2374"/>
      <c r="N134" s="2374"/>
      <c r="O134" s="2375"/>
      <c r="P134" s="2374"/>
      <c r="Q134" s="2374"/>
      <c r="R134" s="2376"/>
    </row>
    <row r="135" spans="2:18" s="2348" customFormat="1">
      <c r="B135" s="2374"/>
      <c r="C135" s="2374"/>
      <c r="D135" s="2374"/>
      <c r="E135" s="2374"/>
      <c r="F135" s="2374"/>
      <c r="G135" s="2375"/>
      <c r="H135" s="2374"/>
      <c r="I135" s="2375"/>
      <c r="J135" s="2374"/>
      <c r="K135" s="2374"/>
      <c r="L135" s="2375"/>
      <c r="M135" s="2374"/>
      <c r="N135" s="2374"/>
      <c r="O135" s="2375"/>
      <c r="P135" s="2374"/>
      <c r="Q135" s="2374"/>
      <c r="R135" s="2376"/>
    </row>
    <row r="136" spans="2:18" s="2348" customFormat="1">
      <c r="B136" s="2374"/>
      <c r="C136" s="2374"/>
      <c r="D136" s="2374"/>
      <c r="E136" s="2374"/>
      <c r="F136" s="2374"/>
      <c r="G136" s="2375"/>
      <c r="H136" s="2374"/>
      <c r="I136" s="2375"/>
      <c r="J136" s="2374"/>
      <c r="K136" s="2374"/>
      <c r="L136" s="2375"/>
      <c r="M136" s="2374"/>
      <c r="N136" s="2374"/>
      <c r="O136" s="2375"/>
      <c r="P136" s="2374"/>
      <c r="Q136" s="2374"/>
      <c r="R136" s="2376"/>
    </row>
    <row r="137" spans="2:18" s="2348" customFormat="1">
      <c r="B137" s="2374"/>
      <c r="C137" s="2374"/>
      <c r="D137" s="2374"/>
      <c r="E137" s="2374"/>
      <c r="F137" s="2374"/>
      <c r="G137" s="2375"/>
      <c r="H137" s="2374"/>
      <c r="I137" s="2375"/>
      <c r="J137" s="2374"/>
      <c r="K137" s="2374"/>
      <c r="L137" s="2375"/>
      <c r="M137" s="2374"/>
      <c r="N137" s="2374"/>
      <c r="O137" s="2375"/>
      <c r="P137" s="2374"/>
      <c r="Q137" s="2374"/>
      <c r="R137" s="2376"/>
    </row>
    <row r="138" spans="2:18" s="2348" customFormat="1">
      <c r="B138" s="2374"/>
      <c r="C138" s="2374"/>
      <c r="D138" s="2374"/>
      <c r="E138" s="2374"/>
      <c r="F138" s="2374"/>
      <c r="G138" s="2375"/>
      <c r="H138" s="2374"/>
      <c r="I138" s="2375"/>
      <c r="J138" s="2374"/>
      <c r="K138" s="2374"/>
      <c r="L138" s="2375"/>
      <c r="M138" s="2374"/>
      <c r="N138" s="2374"/>
      <c r="O138" s="2375"/>
      <c r="P138" s="2374"/>
      <c r="Q138" s="2374"/>
      <c r="R138" s="2376"/>
    </row>
    <row r="139" spans="2:18" s="2348" customFormat="1">
      <c r="B139" s="2374"/>
      <c r="C139" s="2374"/>
      <c r="D139" s="2374"/>
      <c r="E139" s="2374"/>
      <c r="F139" s="2374"/>
      <c r="G139" s="2375"/>
      <c r="H139" s="2374"/>
      <c r="I139" s="2375"/>
      <c r="J139" s="2374"/>
      <c r="K139" s="2374"/>
      <c r="L139" s="2375"/>
      <c r="M139" s="2374"/>
      <c r="N139" s="2374"/>
      <c r="O139" s="2375"/>
      <c r="P139" s="2374"/>
      <c r="Q139" s="2374"/>
      <c r="R139" s="2376"/>
    </row>
    <row r="140" spans="2:18" s="2348" customFormat="1">
      <c r="B140" s="2374"/>
      <c r="C140" s="2374"/>
      <c r="D140" s="2374"/>
      <c r="E140" s="2374"/>
      <c r="F140" s="2374"/>
      <c r="G140" s="2375"/>
      <c r="H140" s="2374"/>
      <c r="I140" s="2375"/>
      <c r="J140" s="2374"/>
      <c r="K140" s="2374"/>
      <c r="L140" s="2375"/>
      <c r="M140" s="2374"/>
      <c r="N140" s="2374"/>
      <c r="O140" s="2375"/>
      <c r="P140" s="2374"/>
      <c r="Q140" s="2374"/>
      <c r="R140" s="2376"/>
    </row>
    <row r="141" spans="2:18" s="2348" customFormat="1">
      <c r="B141" s="2374"/>
      <c r="C141" s="2374"/>
      <c r="D141" s="2374"/>
      <c r="E141" s="2374"/>
      <c r="F141" s="2374"/>
      <c r="G141" s="2375"/>
      <c r="H141" s="2374"/>
      <c r="I141" s="2375"/>
      <c r="J141" s="2374"/>
      <c r="K141" s="2374"/>
      <c r="L141" s="2375"/>
      <c r="M141" s="2374"/>
      <c r="N141" s="2374"/>
      <c r="O141" s="2375"/>
      <c r="P141" s="2374"/>
      <c r="Q141" s="2374"/>
      <c r="R141" s="2376"/>
    </row>
    <row r="142" spans="2:18" s="2348" customFormat="1">
      <c r="B142" s="2374"/>
      <c r="C142" s="2374"/>
      <c r="D142" s="2374"/>
      <c r="E142" s="2374"/>
      <c r="F142" s="2374"/>
      <c r="G142" s="2375"/>
      <c r="H142" s="2374"/>
      <c r="I142" s="2375"/>
      <c r="J142" s="2374"/>
      <c r="K142" s="2374"/>
      <c r="L142" s="2375"/>
      <c r="M142" s="2374"/>
      <c r="N142" s="2374"/>
      <c r="O142" s="2375"/>
      <c r="P142" s="2374"/>
      <c r="Q142" s="2374"/>
      <c r="R142" s="2376"/>
    </row>
    <row r="143" spans="2:18" s="2348" customFormat="1">
      <c r="B143" s="2374"/>
      <c r="C143" s="2374"/>
      <c r="D143" s="2374"/>
      <c r="E143" s="2374"/>
      <c r="F143" s="2374"/>
      <c r="G143" s="2375"/>
      <c r="H143" s="2374"/>
      <c r="I143" s="2375"/>
      <c r="J143" s="2374"/>
      <c r="K143" s="2374"/>
      <c r="L143" s="2375"/>
      <c r="M143" s="2374"/>
      <c r="N143" s="2374"/>
      <c r="O143" s="2375"/>
      <c r="P143" s="2374"/>
      <c r="Q143" s="2374"/>
      <c r="R143" s="2376"/>
    </row>
    <row r="144" spans="2:18" s="2348" customFormat="1">
      <c r="B144" s="2374"/>
      <c r="C144" s="2374"/>
      <c r="D144" s="2374"/>
      <c r="E144" s="2374"/>
      <c r="F144" s="2374"/>
      <c r="G144" s="2375"/>
      <c r="H144" s="2374"/>
      <c r="I144" s="2375"/>
      <c r="J144" s="2374"/>
      <c r="K144" s="2374"/>
      <c r="L144" s="2375"/>
      <c r="M144" s="2374"/>
      <c r="N144" s="2374"/>
      <c r="O144" s="2375"/>
      <c r="P144" s="2374"/>
      <c r="Q144" s="2374"/>
      <c r="R144" s="2376"/>
    </row>
    <row r="145" spans="2:18" s="2348" customFormat="1">
      <c r="B145" s="2374"/>
      <c r="C145" s="2374"/>
      <c r="D145" s="2374"/>
      <c r="E145" s="2374"/>
      <c r="F145" s="2374"/>
      <c r="G145" s="2375"/>
      <c r="H145" s="2374"/>
      <c r="I145" s="2375"/>
      <c r="J145" s="2374"/>
      <c r="K145" s="2374"/>
      <c r="L145" s="2375"/>
      <c r="M145" s="2374"/>
      <c r="N145" s="2374"/>
      <c r="O145" s="2375"/>
      <c r="P145" s="2374"/>
      <c r="Q145" s="2374"/>
      <c r="R145" s="2376"/>
    </row>
    <row r="146" spans="2:18" s="2348" customFormat="1">
      <c r="B146" s="2374"/>
      <c r="C146" s="2374"/>
      <c r="D146" s="2374"/>
      <c r="E146" s="2374"/>
      <c r="F146" s="2374"/>
      <c r="G146" s="2375"/>
      <c r="H146" s="2374"/>
      <c r="I146" s="2375"/>
      <c r="J146" s="2374"/>
      <c r="K146" s="2374"/>
      <c r="L146" s="2375"/>
      <c r="M146" s="2374"/>
      <c r="N146" s="2374"/>
      <c r="O146" s="2375"/>
      <c r="P146" s="2374"/>
      <c r="Q146" s="2374"/>
      <c r="R146" s="2376"/>
    </row>
    <row r="147" spans="2:18" s="2348" customFormat="1">
      <c r="B147" s="2374"/>
      <c r="C147" s="2374"/>
      <c r="D147" s="2374"/>
      <c r="E147" s="2374"/>
      <c r="F147" s="2374"/>
      <c r="G147" s="2375"/>
      <c r="H147" s="2374"/>
      <c r="I147" s="2375"/>
      <c r="J147" s="2374"/>
      <c r="K147" s="2374"/>
      <c r="L147" s="2375"/>
      <c r="M147" s="2374"/>
      <c r="N147" s="2374"/>
      <c r="O147" s="2375"/>
      <c r="P147" s="2374"/>
      <c r="Q147" s="2374"/>
      <c r="R147" s="2376"/>
    </row>
    <row r="148" spans="2:18" s="2348" customFormat="1">
      <c r="B148" s="2374"/>
      <c r="C148" s="2374"/>
      <c r="D148" s="2374"/>
      <c r="E148" s="2374"/>
      <c r="F148" s="2374"/>
      <c r="G148" s="2375"/>
      <c r="H148" s="2374"/>
      <c r="I148" s="2375"/>
      <c r="J148" s="2374"/>
      <c r="K148" s="2374"/>
      <c r="L148" s="2375"/>
      <c r="M148" s="2374"/>
      <c r="N148" s="2374"/>
      <c r="O148" s="2375"/>
      <c r="P148" s="2374"/>
      <c r="Q148" s="2374"/>
      <c r="R148" s="2376"/>
    </row>
    <row r="149" spans="2:18" s="2348" customFormat="1">
      <c r="B149" s="2374"/>
      <c r="C149" s="2374"/>
      <c r="D149" s="2374"/>
      <c r="E149" s="2374"/>
      <c r="F149" s="2374"/>
      <c r="G149" s="2375"/>
      <c r="H149" s="2374"/>
      <c r="I149" s="2375"/>
      <c r="J149" s="2374"/>
      <c r="K149" s="2374"/>
      <c r="L149" s="2375"/>
      <c r="M149" s="2374"/>
      <c r="N149" s="2374"/>
      <c r="O149" s="2375"/>
      <c r="P149" s="2374"/>
      <c r="Q149" s="2374"/>
      <c r="R149" s="2376"/>
    </row>
    <row r="150" spans="2:18" s="2348" customFormat="1">
      <c r="B150" s="2374"/>
      <c r="C150" s="2374"/>
      <c r="D150" s="2374"/>
      <c r="E150" s="2374"/>
      <c r="F150" s="2374"/>
      <c r="G150" s="2375"/>
      <c r="H150" s="2374"/>
      <c r="I150" s="2375"/>
      <c r="J150" s="2374"/>
      <c r="K150" s="2374"/>
      <c r="L150" s="2375"/>
      <c r="M150" s="2374"/>
      <c r="N150" s="2374"/>
      <c r="O150" s="2375"/>
      <c r="P150" s="2374"/>
      <c r="Q150" s="2374"/>
      <c r="R150" s="2376"/>
    </row>
    <row r="151" spans="2:18" s="2348" customFormat="1">
      <c r="B151" s="2374"/>
      <c r="C151" s="2374"/>
      <c r="D151" s="2374"/>
      <c r="E151" s="2374"/>
      <c r="F151" s="2374"/>
      <c r="G151" s="2375"/>
      <c r="H151" s="2374"/>
      <c r="I151" s="2375"/>
      <c r="J151" s="2374"/>
      <c r="K151" s="2374"/>
      <c r="L151" s="2375"/>
      <c r="M151" s="2374"/>
      <c r="N151" s="2374"/>
      <c r="O151" s="2375"/>
      <c r="P151" s="2374"/>
      <c r="Q151" s="2374"/>
      <c r="R151" s="2376"/>
    </row>
    <row r="152" spans="2:18" s="2348" customFormat="1">
      <c r="B152" s="2374"/>
      <c r="C152" s="2374"/>
      <c r="D152" s="2374"/>
      <c r="E152" s="2374"/>
      <c r="F152" s="2374"/>
      <c r="G152" s="2375"/>
      <c r="H152" s="2374"/>
      <c r="I152" s="2375"/>
      <c r="J152" s="2374"/>
      <c r="K152" s="2374"/>
      <c r="L152" s="2375"/>
      <c r="M152" s="2374"/>
      <c r="N152" s="2374"/>
      <c r="O152" s="2375"/>
      <c r="P152" s="2374"/>
      <c r="Q152" s="2374"/>
      <c r="R152" s="2376"/>
    </row>
    <row r="153" spans="2:18" s="2348" customFormat="1">
      <c r="B153" s="2374"/>
      <c r="C153" s="2374"/>
      <c r="D153" s="2374"/>
      <c r="E153" s="2374"/>
      <c r="F153" s="2374"/>
      <c r="G153" s="2375"/>
      <c r="H153" s="2374"/>
      <c r="I153" s="2375"/>
      <c r="J153" s="2374"/>
      <c r="K153" s="2374"/>
      <c r="L153" s="2375"/>
      <c r="M153" s="2374"/>
      <c r="N153" s="2374"/>
      <c r="O153" s="2375"/>
      <c r="P153" s="2374"/>
      <c r="Q153" s="2374"/>
      <c r="R153" s="2376"/>
    </row>
    <row r="154" spans="2:18" s="2348" customFormat="1">
      <c r="B154" s="2374"/>
      <c r="C154" s="2374"/>
      <c r="D154" s="2374"/>
      <c r="E154" s="2374"/>
      <c r="F154" s="2374"/>
      <c r="G154" s="2375"/>
      <c r="H154" s="2374"/>
      <c r="I154" s="2375"/>
      <c r="J154" s="2374"/>
      <c r="K154" s="2374"/>
      <c r="L154" s="2375"/>
      <c r="M154" s="2374"/>
      <c r="N154" s="2374"/>
      <c r="O154" s="2375"/>
      <c r="P154" s="2374"/>
      <c r="Q154" s="2374"/>
      <c r="R154" s="2376"/>
    </row>
    <row r="155" spans="2:18" s="2348" customFormat="1">
      <c r="B155" s="2374"/>
      <c r="C155" s="2374"/>
      <c r="D155" s="2374"/>
      <c r="E155" s="2374"/>
      <c r="F155" s="2374"/>
      <c r="G155" s="2375"/>
      <c r="H155" s="2374"/>
      <c r="I155" s="2375"/>
      <c r="J155" s="2374"/>
      <c r="K155" s="2374"/>
      <c r="L155" s="2375"/>
      <c r="M155" s="2374"/>
      <c r="N155" s="2374"/>
      <c r="O155" s="2375"/>
      <c r="P155" s="2374"/>
      <c r="Q155" s="2374"/>
      <c r="R155" s="2376"/>
    </row>
    <row r="156" spans="2:18" s="2348" customFormat="1">
      <c r="B156" s="2374"/>
      <c r="C156" s="2374"/>
      <c r="D156" s="2374"/>
      <c r="E156" s="2374"/>
      <c r="F156" s="2374"/>
      <c r="G156" s="2375"/>
      <c r="H156" s="2374"/>
      <c r="I156" s="2375"/>
      <c r="J156" s="2374"/>
      <c r="K156" s="2374"/>
      <c r="L156" s="2375"/>
      <c r="M156" s="2374"/>
      <c r="N156" s="2374"/>
      <c r="O156" s="2375"/>
      <c r="P156" s="2374"/>
      <c r="Q156" s="2374"/>
      <c r="R156" s="2376"/>
    </row>
    <row r="157" spans="2:18" s="2348" customFormat="1">
      <c r="B157" s="2374"/>
      <c r="C157" s="2374"/>
      <c r="D157" s="2374"/>
      <c r="E157" s="2374"/>
      <c r="F157" s="2374"/>
      <c r="G157" s="2375"/>
      <c r="H157" s="2374"/>
      <c r="I157" s="2375"/>
      <c r="J157" s="2374"/>
      <c r="K157" s="2374"/>
      <c r="L157" s="2375"/>
      <c r="M157" s="2374"/>
      <c r="N157" s="2374"/>
      <c r="O157" s="2375"/>
      <c r="P157" s="2374"/>
      <c r="Q157" s="2374"/>
      <c r="R157" s="2376"/>
    </row>
    <row r="158" spans="2:18" s="2348" customFormat="1">
      <c r="B158" s="2374"/>
      <c r="C158" s="2374"/>
      <c r="D158" s="2374"/>
      <c r="E158" s="2374"/>
      <c r="F158" s="2374"/>
      <c r="G158" s="2375"/>
      <c r="H158" s="2374"/>
      <c r="I158" s="2375"/>
      <c r="J158" s="2374"/>
      <c r="K158" s="2374"/>
      <c r="L158" s="2375"/>
      <c r="M158" s="2374"/>
      <c r="N158" s="2374"/>
      <c r="O158" s="2375"/>
      <c r="P158" s="2374"/>
      <c r="Q158" s="2374"/>
      <c r="R158" s="2376"/>
    </row>
    <row r="159" spans="2:18" s="2348" customFormat="1">
      <c r="B159" s="2374"/>
      <c r="C159" s="2374"/>
      <c r="D159" s="2374"/>
      <c r="E159" s="2374"/>
      <c r="F159" s="2374"/>
      <c r="G159" s="2375"/>
      <c r="H159" s="2374"/>
      <c r="I159" s="2375"/>
      <c r="J159" s="2374"/>
      <c r="K159" s="2374"/>
      <c r="L159" s="2375"/>
      <c r="M159" s="2374"/>
      <c r="N159" s="2374"/>
      <c r="O159" s="2375"/>
      <c r="P159" s="2374"/>
      <c r="Q159" s="2374"/>
      <c r="R159" s="2376"/>
    </row>
    <row r="160" spans="2:18" s="2348" customFormat="1">
      <c r="B160" s="2374"/>
      <c r="C160" s="2374"/>
      <c r="D160" s="2374"/>
      <c r="E160" s="2374"/>
      <c r="F160" s="2374"/>
      <c r="G160" s="2375"/>
      <c r="H160" s="2374"/>
      <c r="I160" s="2375"/>
      <c r="J160" s="2374"/>
      <c r="K160" s="2374"/>
      <c r="L160" s="2375"/>
      <c r="M160" s="2374"/>
      <c r="N160" s="2374"/>
      <c r="O160" s="2375"/>
      <c r="P160" s="2374"/>
      <c r="Q160" s="2374"/>
      <c r="R160" s="2376"/>
    </row>
    <row r="161" spans="2:18" s="2348" customFormat="1">
      <c r="B161" s="2374"/>
      <c r="C161" s="2374"/>
      <c r="D161" s="2374"/>
      <c r="E161" s="2374"/>
      <c r="F161" s="2374"/>
      <c r="G161" s="2375"/>
      <c r="H161" s="2374"/>
      <c r="I161" s="2375"/>
      <c r="J161" s="2374"/>
      <c r="K161" s="2374"/>
      <c r="L161" s="2375"/>
      <c r="M161" s="2374"/>
      <c r="N161" s="2374"/>
      <c r="O161" s="2375"/>
      <c r="P161" s="2374"/>
      <c r="Q161" s="2374"/>
      <c r="R161" s="2376"/>
    </row>
    <row r="162" spans="2:18" s="2348" customFormat="1">
      <c r="B162" s="2374"/>
      <c r="C162" s="2374"/>
      <c r="D162" s="2374"/>
      <c r="E162" s="2374"/>
      <c r="F162" s="2374"/>
      <c r="G162" s="2375"/>
      <c r="H162" s="2374"/>
      <c r="I162" s="2375"/>
      <c r="J162" s="2374"/>
      <c r="K162" s="2374"/>
      <c r="L162" s="2375"/>
      <c r="M162" s="2374"/>
      <c r="N162" s="2374"/>
      <c r="O162" s="2375"/>
      <c r="P162" s="2374"/>
      <c r="Q162" s="2374"/>
      <c r="R162" s="2376"/>
    </row>
    <row r="163" spans="2:18" s="2348" customFormat="1">
      <c r="B163" s="2374"/>
      <c r="C163" s="2374"/>
      <c r="D163" s="2374"/>
      <c r="E163" s="2374"/>
      <c r="F163" s="2374"/>
      <c r="G163" s="2375"/>
      <c r="H163" s="2374"/>
      <c r="I163" s="2375"/>
      <c r="J163" s="2374"/>
      <c r="K163" s="2374"/>
      <c r="L163" s="2375"/>
      <c r="M163" s="2374"/>
      <c r="N163" s="2374"/>
      <c r="O163" s="2375"/>
      <c r="P163" s="2374"/>
      <c r="Q163" s="2374"/>
      <c r="R163" s="2376"/>
    </row>
    <row r="164" spans="2:18" s="2348" customFormat="1">
      <c r="B164" s="2374"/>
      <c r="C164" s="2374"/>
      <c r="D164" s="2374"/>
      <c r="E164" s="2374"/>
      <c r="F164" s="2374"/>
      <c r="G164" s="2375"/>
      <c r="H164" s="2374"/>
      <c r="I164" s="2375"/>
      <c r="J164" s="2374"/>
      <c r="K164" s="2374"/>
      <c r="L164" s="2375"/>
      <c r="M164" s="2374"/>
      <c r="N164" s="2374"/>
      <c r="O164" s="2375"/>
      <c r="P164" s="2374"/>
      <c r="Q164" s="2374"/>
      <c r="R164" s="2376"/>
    </row>
    <row r="165" spans="2:18" s="2348" customFormat="1">
      <c r="B165" s="2374"/>
      <c r="C165" s="2374"/>
      <c r="D165" s="2374"/>
      <c r="E165" s="2374"/>
      <c r="F165" s="2374"/>
      <c r="G165" s="2375"/>
      <c r="H165" s="2374"/>
      <c r="I165" s="2375"/>
      <c r="J165" s="2374"/>
      <c r="K165" s="2374"/>
      <c r="L165" s="2375"/>
      <c r="M165" s="2374"/>
      <c r="N165" s="2374"/>
      <c r="O165" s="2375"/>
      <c r="P165" s="2374"/>
      <c r="Q165" s="2374"/>
      <c r="R165" s="2376"/>
    </row>
    <row r="166" spans="2:18" s="2348" customFormat="1">
      <c r="B166" s="2374"/>
      <c r="C166" s="2374"/>
      <c r="D166" s="2374"/>
      <c r="E166" s="2374"/>
      <c r="F166" s="2374"/>
      <c r="G166" s="2375"/>
      <c r="H166" s="2374"/>
      <c r="I166" s="2375"/>
      <c r="J166" s="2374"/>
      <c r="K166" s="2374"/>
      <c r="L166" s="2375"/>
      <c r="M166" s="2374"/>
      <c r="N166" s="2374"/>
      <c r="O166" s="2375"/>
      <c r="P166" s="2374"/>
      <c r="Q166" s="2374"/>
      <c r="R166" s="2376"/>
    </row>
    <row r="167" spans="2:18" s="2348" customFormat="1">
      <c r="B167" s="2374"/>
      <c r="C167" s="2374"/>
      <c r="D167" s="2374"/>
      <c r="E167" s="2374"/>
      <c r="F167" s="2374"/>
      <c r="G167" s="2375"/>
      <c r="H167" s="2374"/>
      <c r="I167" s="2375"/>
      <c r="J167" s="2374"/>
      <c r="K167" s="2374"/>
      <c r="L167" s="2375"/>
      <c r="M167" s="2374"/>
      <c r="N167" s="2374"/>
      <c r="O167" s="2375"/>
      <c r="P167" s="2374"/>
      <c r="Q167" s="2374"/>
      <c r="R167" s="2376"/>
    </row>
    <row r="168" spans="2:18" s="2348" customFormat="1">
      <c r="B168" s="2374"/>
      <c r="C168" s="2374"/>
      <c r="D168" s="2374"/>
      <c r="E168" s="2374"/>
      <c r="F168" s="2374"/>
      <c r="G168" s="2375"/>
      <c r="H168" s="2374"/>
      <c r="I168" s="2375"/>
      <c r="J168" s="2374"/>
      <c r="K168" s="2374"/>
      <c r="L168" s="2375"/>
      <c r="M168" s="2374"/>
      <c r="N168" s="2374"/>
      <c r="O168" s="2375"/>
      <c r="P168" s="2374"/>
      <c r="Q168" s="2374"/>
      <c r="R168" s="2376"/>
    </row>
    <row r="169" spans="2:18" s="2348" customFormat="1">
      <c r="B169" s="2374"/>
      <c r="C169" s="2374"/>
      <c r="D169" s="2374"/>
      <c r="E169" s="2374"/>
      <c r="F169" s="2374"/>
      <c r="G169" s="2375"/>
      <c r="H169" s="2374"/>
      <c r="I169" s="2375"/>
      <c r="J169" s="2374"/>
      <c r="K169" s="2374"/>
      <c r="L169" s="2375"/>
      <c r="M169" s="2374"/>
      <c r="N169" s="2374"/>
      <c r="O169" s="2375"/>
      <c r="P169" s="2374"/>
      <c r="Q169" s="2374"/>
      <c r="R169" s="2376"/>
    </row>
    <row r="170" spans="2:18" s="2348" customFormat="1">
      <c r="B170" s="2374"/>
      <c r="C170" s="2374"/>
      <c r="D170" s="2374"/>
      <c r="E170" s="2374"/>
      <c r="F170" s="2374"/>
      <c r="G170" s="2375"/>
      <c r="H170" s="2374"/>
      <c r="I170" s="2375"/>
      <c r="J170" s="2374"/>
      <c r="K170" s="2374"/>
      <c r="L170" s="2375"/>
      <c r="M170" s="2374"/>
      <c r="N170" s="2374"/>
      <c r="O170" s="2375"/>
      <c r="P170" s="2374"/>
      <c r="Q170" s="2374"/>
      <c r="R170" s="2376"/>
    </row>
    <row r="171" spans="2:18" s="2348" customFormat="1">
      <c r="B171" s="2374"/>
      <c r="C171" s="2374"/>
      <c r="D171" s="2374"/>
      <c r="E171" s="2374"/>
      <c r="F171" s="2374"/>
      <c r="G171" s="2375"/>
      <c r="H171" s="2374"/>
      <c r="I171" s="2375"/>
      <c r="J171" s="2374"/>
      <c r="K171" s="2374"/>
      <c r="L171" s="2375"/>
      <c r="M171" s="2374"/>
      <c r="N171" s="2374"/>
      <c r="O171" s="2375"/>
      <c r="P171" s="2374"/>
      <c r="Q171" s="2374"/>
      <c r="R171" s="2376"/>
    </row>
    <row r="172" spans="2:18" s="2348" customFormat="1">
      <c r="B172" s="2374"/>
      <c r="C172" s="2374"/>
      <c r="D172" s="2374"/>
      <c r="E172" s="2374"/>
      <c r="F172" s="2374"/>
      <c r="G172" s="2375"/>
      <c r="H172" s="2374"/>
      <c r="I172" s="2375"/>
      <c r="J172" s="2374"/>
      <c r="K172" s="2374"/>
      <c r="L172" s="2375"/>
      <c r="M172" s="2374"/>
      <c r="N172" s="2374"/>
      <c r="O172" s="2375"/>
      <c r="P172" s="2374"/>
      <c r="Q172" s="2374"/>
      <c r="R172" s="2376"/>
    </row>
    <row r="173" spans="2:18" s="2348" customFormat="1">
      <c r="B173" s="2374"/>
      <c r="C173" s="2374"/>
      <c r="D173" s="2374"/>
      <c r="E173" s="2374"/>
      <c r="F173" s="2374"/>
      <c r="G173" s="2375"/>
      <c r="H173" s="2374"/>
      <c r="I173" s="2375"/>
      <c r="J173" s="2374"/>
      <c r="K173" s="2374"/>
      <c r="L173" s="2375"/>
      <c r="M173" s="2374"/>
      <c r="N173" s="2374"/>
      <c r="O173" s="2375"/>
      <c r="P173" s="2374"/>
      <c r="Q173" s="2374"/>
      <c r="R173" s="2376"/>
    </row>
    <row r="174" spans="2:18" s="2348" customFormat="1">
      <c r="B174" s="2374"/>
      <c r="C174" s="2374"/>
      <c r="D174" s="2374"/>
      <c r="E174" s="2374"/>
      <c r="F174" s="2374"/>
      <c r="G174" s="2375"/>
      <c r="H174" s="2374"/>
      <c r="I174" s="2375"/>
      <c r="J174" s="2374"/>
      <c r="K174" s="2374"/>
      <c r="L174" s="2375"/>
      <c r="M174" s="2374"/>
      <c r="N174" s="2374"/>
      <c r="O174" s="2375"/>
      <c r="P174" s="2374"/>
      <c r="Q174" s="2374"/>
      <c r="R174" s="2376"/>
    </row>
    <row r="175" spans="2:18" s="2348" customFormat="1">
      <c r="B175" s="2374"/>
      <c r="C175" s="2374"/>
      <c r="D175" s="2374"/>
      <c r="E175" s="2374"/>
      <c r="F175" s="2374"/>
      <c r="G175" s="2375"/>
      <c r="H175" s="2374"/>
      <c r="I175" s="2375"/>
      <c r="J175" s="2374"/>
      <c r="K175" s="2374"/>
      <c r="L175" s="2375"/>
      <c r="M175" s="2374"/>
      <c r="N175" s="2374"/>
      <c r="O175" s="2375"/>
      <c r="P175" s="2374"/>
      <c r="Q175" s="2374"/>
      <c r="R175" s="2376"/>
    </row>
    <row r="176" spans="2:18" s="2348" customFormat="1">
      <c r="B176" s="2374"/>
      <c r="C176" s="2374"/>
      <c r="D176" s="2374"/>
      <c r="E176" s="2374"/>
      <c r="F176" s="2374"/>
      <c r="G176" s="2375"/>
      <c r="H176" s="2374"/>
      <c r="I176" s="2375"/>
      <c r="J176" s="2374"/>
      <c r="K176" s="2374"/>
      <c r="L176" s="2375"/>
      <c r="M176" s="2374"/>
      <c r="N176" s="2374"/>
      <c r="O176" s="2375"/>
      <c r="P176" s="2374"/>
      <c r="Q176" s="2374"/>
      <c r="R176" s="2376"/>
    </row>
    <row r="177" spans="1:18" s="2348" customFormat="1">
      <c r="B177" s="2374"/>
      <c r="C177" s="2374"/>
      <c r="D177" s="2374"/>
      <c r="E177" s="2374"/>
      <c r="F177" s="2374"/>
      <c r="G177" s="2375"/>
      <c r="H177" s="2374"/>
      <c r="I177" s="2375"/>
      <c r="J177" s="2374"/>
      <c r="K177" s="2374"/>
      <c r="L177" s="2375"/>
      <c r="M177" s="2374"/>
      <c r="N177" s="2374"/>
      <c r="O177" s="2375"/>
      <c r="P177" s="2374"/>
      <c r="Q177" s="2374"/>
      <c r="R177" s="2376"/>
    </row>
    <row r="178" spans="1:18" s="2348" customFormat="1">
      <c r="B178" s="2374"/>
      <c r="C178" s="2374"/>
      <c r="D178" s="2374"/>
      <c r="E178" s="2374"/>
      <c r="F178" s="2374"/>
      <c r="G178" s="2375"/>
      <c r="H178" s="2374"/>
      <c r="I178" s="2375"/>
      <c r="J178" s="2374"/>
      <c r="K178" s="2374"/>
      <c r="L178" s="2375"/>
      <c r="M178" s="2374"/>
      <c r="N178" s="2374"/>
      <c r="O178" s="2375"/>
      <c r="P178" s="2374"/>
      <c r="Q178" s="2374"/>
      <c r="R178" s="2376"/>
    </row>
    <row r="179" spans="1:18" s="2348" customFormat="1">
      <c r="B179" s="2374"/>
      <c r="C179" s="2374"/>
      <c r="D179" s="2374"/>
      <c r="E179" s="2374"/>
      <c r="F179" s="2374"/>
      <c r="G179" s="2375"/>
      <c r="H179" s="2374"/>
      <c r="I179" s="2375"/>
      <c r="J179" s="2374"/>
      <c r="K179" s="2374"/>
      <c r="L179" s="2375"/>
      <c r="M179" s="2374"/>
      <c r="N179" s="2374"/>
      <c r="O179" s="2375"/>
      <c r="P179" s="2374"/>
      <c r="Q179" s="2374"/>
      <c r="R179" s="2376"/>
    </row>
    <row r="180" spans="1:18" s="2348" customFormat="1">
      <c r="B180" s="2374"/>
      <c r="C180" s="2374"/>
      <c r="D180" s="2374"/>
      <c r="E180" s="2374"/>
      <c r="F180" s="2374"/>
      <c r="G180" s="2375"/>
      <c r="H180" s="2374"/>
      <c r="I180" s="2375"/>
      <c r="J180" s="2374"/>
      <c r="K180" s="2374"/>
      <c r="L180" s="2375"/>
      <c r="M180" s="2374"/>
      <c r="N180" s="2374"/>
      <c r="O180" s="2375"/>
      <c r="P180" s="2374"/>
      <c r="Q180" s="2374"/>
      <c r="R180" s="2376"/>
    </row>
    <row r="181" spans="1:18" s="2348" customFormat="1">
      <c r="B181" s="2374"/>
      <c r="C181" s="2374"/>
      <c r="D181" s="2374"/>
      <c r="E181" s="2374"/>
      <c r="F181" s="2374"/>
      <c r="G181" s="2375"/>
      <c r="H181" s="2374"/>
      <c r="I181" s="2375"/>
      <c r="J181" s="2374"/>
      <c r="K181" s="2374"/>
      <c r="L181" s="2375"/>
      <c r="M181" s="2374"/>
      <c r="N181" s="2374"/>
      <c r="O181" s="2375"/>
      <c r="P181" s="2374"/>
      <c r="Q181" s="2374"/>
      <c r="R181" s="2376"/>
    </row>
    <row r="182" spans="1:18" s="2348" customFormat="1">
      <c r="B182" s="2374"/>
      <c r="C182" s="2374"/>
      <c r="D182" s="2374"/>
      <c r="E182" s="2374"/>
      <c r="F182" s="2374"/>
      <c r="G182" s="2375"/>
      <c r="H182" s="2374"/>
      <c r="I182" s="2375"/>
      <c r="J182" s="2374"/>
      <c r="K182" s="2374"/>
      <c r="L182" s="2375"/>
      <c r="M182" s="2374"/>
      <c r="N182" s="2374"/>
      <c r="O182" s="2375"/>
      <c r="P182" s="2374"/>
      <c r="Q182" s="2374"/>
      <c r="R182" s="2376"/>
    </row>
    <row r="183" spans="1:18" s="2348" customFormat="1">
      <c r="B183" s="2374"/>
      <c r="C183" s="2374"/>
      <c r="D183" s="2374"/>
      <c r="E183" s="2374"/>
      <c r="F183" s="2374"/>
      <c r="G183" s="2375"/>
      <c r="H183" s="2374"/>
      <c r="I183" s="2375"/>
      <c r="J183" s="2374"/>
      <c r="K183" s="2374"/>
      <c r="L183" s="2375"/>
      <c r="M183" s="2374"/>
      <c r="N183" s="2374"/>
      <c r="O183" s="2375"/>
      <c r="P183" s="2374"/>
      <c r="Q183" s="2374"/>
      <c r="R183" s="2376"/>
    </row>
    <row r="184" spans="1:18" s="2348" customFormat="1">
      <c r="B184" s="2374"/>
      <c r="C184" s="2374"/>
      <c r="D184" s="2374"/>
      <c r="E184" s="2374"/>
      <c r="F184" s="2374"/>
      <c r="G184" s="2375"/>
      <c r="H184" s="2374"/>
      <c r="I184" s="2375"/>
      <c r="J184" s="2374"/>
      <c r="K184" s="2374"/>
      <c r="L184" s="2375"/>
      <c r="M184" s="2374"/>
      <c r="N184" s="2374"/>
      <c r="O184" s="2375"/>
      <c r="P184" s="2374"/>
      <c r="Q184" s="2374"/>
      <c r="R184" s="2376"/>
    </row>
    <row r="185" spans="1:18" s="2348"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2348"/>
      <c r="B186" s="2374"/>
      <c r="C186" s="2374"/>
      <c r="E186" s="2374"/>
      <c r="F186" s="2374"/>
      <c r="G186" s="2375"/>
    </row>
    <row r="187" spans="1:18">
      <c r="A187" s="2348"/>
      <c r="B187" s="2374"/>
      <c r="C187" s="2374"/>
      <c r="E187" s="2374"/>
      <c r="F187" s="2374"/>
      <c r="G187" s="237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1726" customWidth="1"/>
    <col min="2" max="9" width="15.75" style="1726" customWidth="1"/>
    <col min="10" max="16384" width="9" style="1726"/>
  </cols>
  <sheetData>
    <row r="1" spans="1:10" ht="16.5">
      <c r="A1" s="1731" t="s">
        <v>1361</v>
      </c>
      <c r="B1" s="1731">
        <f>SUM(B14:B23)</f>
        <v>66687.25</v>
      </c>
      <c r="C1" s="1730"/>
      <c r="D1" s="1730"/>
      <c r="E1" s="1730"/>
      <c r="F1" s="1730"/>
      <c r="G1" s="1728"/>
    </row>
    <row r="2" spans="1:10" ht="16.5">
      <c r="A2" s="1731" t="s">
        <v>1349</v>
      </c>
      <c r="B2" s="1731">
        <f>SUM(C14:C23)</f>
        <v>19053.5</v>
      </c>
      <c r="C2" s="1730"/>
      <c r="D2" s="1730"/>
      <c r="E2" s="1730"/>
      <c r="F2" s="1730"/>
      <c r="G2" s="1728"/>
    </row>
    <row r="3" spans="1:10" ht="16.5">
      <c r="A3" s="1731" t="s">
        <v>1358</v>
      </c>
      <c r="B3" s="1732">
        <f>项目基本情况!D3</f>
        <v>43970</v>
      </c>
      <c r="C3" s="1730"/>
      <c r="D3" s="1730"/>
      <c r="E3" s="1730"/>
      <c r="F3" s="1730"/>
      <c r="G3" s="1728"/>
    </row>
    <row r="4" spans="1:10" ht="33">
      <c r="A4" s="1731" t="s">
        <v>1357</v>
      </c>
      <c r="B4" s="1731" t="s">
        <v>1356</v>
      </c>
      <c r="C4" s="1731" t="s">
        <v>1355</v>
      </c>
      <c r="D4" s="1731" t="s">
        <v>1354</v>
      </c>
      <c r="E4" s="1730"/>
      <c r="F4" s="1728"/>
      <c r="G4" s="1728"/>
    </row>
    <row r="5" spans="1:10" ht="16.5">
      <c r="A5" s="1731" t="s">
        <v>1353</v>
      </c>
      <c r="B5" s="1731">
        <f ca="1">SUM(D14:D23)</f>
        <v>27909</v>
      </c>
      <c r="C5" s="1731">
        <f ca="1">ROUND(B5*10000/$B$1,0)</f>
        <v>4185</v>
      </c>
      <c r="D5" s="1731">
        <f ca="1">ROUND(B5*10000/$B$2,0)</f>
        <v>14648</v>
      </c>
      <c r="E5" s="1730"/>
      <c r="F5" s="1728"/>
      <c r="G5" s="1728"/>
    </row>
    <row r="6" spans="1:10" ht="16.5">
      <c r="A6" s="1731" t="s">
        <v>1352</v>
      </c>
      <c r="B6" s="1731">
        <f ca="1">SUM(G14:G23)</f>
        <v>27909</v>
      </c>
      <c r="C6" s="1731">
        <f ca="1">ROUND(B6*10000/$B$1,0)</f>
        <v>4185</v>
      </c>
      <c r="D6" s="1731">
        <f ca="1">ROUND(B6*10000/$B$2,0)</f>
        <v>14648</v>
      </c>
      <c r="E6" s="1730"/>
      <c r="F6" s="1728"/>
      <c r="G6" s="1728"/>
    </row>
    <row r="7" spans="1:10" ht="16.5">
      <c r="A7" s="1731" t="s">
        <v>1360</v>
      </c>
      <c r="B7" s="1731">
        <f>SUM(H14:H23)</f>
        <v>0</v>
      </c>
      <c r="C7" s="1731">
        <f>ROUND(B7*10000/$B$1,0)</f>
        <v>0</v>
      </c>
      <c r="D7" s="1731">
        <f>ROUND(B7*10000/$B$2,0)</f>
        <v>0</v>
      </c>
      <c r="E7" s="1730"/>
      <c r="F7" s="1728"/>
      <c r="G7" s="1728"/>
    </row>
    <row r="8" spans="1:10" ht="16.5">
      <c r="A8" s="1731" t="s">
        <v>1281</v>
      </c>
      <c r="B8" s="1731">
        <f>SUM(I14:I23)</f>
        <v>0</v>
      </c>
      <c r="C8" s="1731">
        <f>ROUND(B8*10000/$B$1,0)</f>
        <v>0</v>
      </c>
      <c r="D8" s="1731">
        <f>ROUND(B8*10000/$B$2,0)</f>
        <v>0</v>
      </c>
      <c r="E8" s="1730"/>
      <c r="F8" s="1728"/>
      <c r="G8" s="1728"/>
    </row>
    <row r="9" spans="1:10" ht="16.5">
      <c r="A9" s="1731" t="s">
        <v>1351</v>
      </c>
      <c r="B9" s="1733"/>
      <c r="C9" s="1730"/>
      <c r="D9" s="1730"/>
      <c r="E9" s="1730"/>
      <c r="F9" s="1728"/>
      <c r="G9" s="1728"/>
    </row>
    <row r="10" spans="1:10" ht="16.5">
      <c r="A10" s="1731" t="s">
        <v>1350</v>
      </c>
      <c r="B10" s="1733"/>
      <c r="C10" s="1730"/>
      <c r="D10" s="1730"/>
      <c r="E10" s="1730"/>
      <c r="F10" s="1728"/>
      <c r="G10" s="1728"/>
    </row>
    <row r="11" spans="1:10" ht="16.5">
      <c r="A11" s="1731" t="s">
        <v>1366</v>
      </c>
      <c r="B11" s="1733"/>
      <c r="C11" s="1730"/>
      <c r="D11" s="1730"/>
      <c r="E11" s="1730"/>
      <c r="F11" s="1728"/>
      <c r="G11" s="1728"/>
    </row>
    <row r="12" spans="1:10" ht="16.5">
      <c r="A12" s="1730"/>
      <c r="B12" s="1730"/>
      <c r="C12" s="1730"/>
      <c r="D12" s="1730"/>
      <c r="E12" s="1730"/>
      <c r="F12" s="1728"/>
      <c r="G12" s="1728"/>
    </row>
    <row r="13" spans="1:10" ht="33">
      <c r="A13" s="1735" t="s">
        <v>1365</v>
      </c>
      <c r="B13" s="1729" t="s">
        <v>1362</v>
      </c>
      <c r="C13" s="1729" t="s">
        <v>1364</v>
      </c>
      <c r="D13" s="1729" t="s">
        <v>1363</v>
      </c>
      <c r="E13" s="1731" t="s">
        <v>1355</v>
      </c>
      <c r="F13" s="1731" t="s">
        <v>1354</v>
      </c>
      <c r="G13" s="1729" t="s">
        <v>1348</v>
      </c>
      <c r="H13" s="1729" t="s">
        <v>1359</v>
      </c>
      <c r="I13" s="1729" t="s">
        <v>1347</v>
      </c>
      <c r="J13" s="1728"/>
    </row>
    <row r="14" spans="1:10" ht="16.5">
      <c r="A14" s="1727" t="s">
        <v>1346</v>
      </c>
      <c r="B14" s="1729">
        <f>结果表!B118</f>
        <v>66687.25</v>
      </c>
      <c r="C14" s="1729">
        <f>结果表!C118</f>
        <v>19053.5</v>
      </c>
      <c r="D14" s="1729">
        <f ca="1">结果表!H118</f>
        <v>27909</v>
      </c>
      <c r="E14" s="1729">
        <f ca="1">ROUND(D14*10000/B14,0)</f>
        <v>4185</v>
      </c>
      <c r="F14" s="1729">
        <f ca="1">ROUND(D14*10000/C14,0)</f>
        <v>14648</v>
      </c>
      <c r="G14" s="1729">
        <f ca="1">结果表!D122</f>
        <v>27909</v>
      </c>
      <c r="H14" s="1729" t="str">
        <f>结果表!D124</f>
        <v>——</v>
      </c>
      <c r="I14" s="1729" t="str">
        <f>结果表!D126</f>
        <v>——</v>
      </c>
      <c r="J14" s="1728"/>
    </row>
    <row r="15" spans="1:10" ht="16.5">
      <c r="A15" s="1727" t="s">
        <v>1345</v>
      </c>
      <c r="B15" s="1734"/>
      <c r="C15" s="1734"/>
      <c r="D15" s="1734"/>
      <c r="E15" s="1729" t="e">
        <f t="shared" ref="E15:E23" si="0">ROUND(D15*10000/B15,0)</f>
        <v>#DIV/0!</v>
      </c>
      <c r="F15" s="1729" t="e">
        <f t="shared" ref="F15:F23" si="1">ROUND(D15*10000/C15,0)</f>
        <v>#DIV/0!</v>
      </c>
      <c r="G15" s="1734"/>
      <c r="H15" s="1734"/>
      <c r="I15" s="1734"/>
      <c r="J15" s="1728"/>
    </row>
    <row r="16" spans="1:10" ht="16.5">
      <c r="A16" s="1727" t="s">
        <v>1344</v>
      </c>
      <c r="B16" s="1734"/>
      <c r="C16" s="1734"/>
      <c r="D16" s="1734"/>
      <c r="E16" s="1729" t="e">
        <f t="shared" si="0"/>
        <v>#DIV/0!</v>
      </c>
      <c r="F16" s="1729" t="e">
        <f t="shared" si="1"/>
        <v>#DIV/0!</v>
      </c>
      <c r="G16" s="1734"/>
      <c r="H16" s="1734"/>
      <c r="I16" s="1734"/>
    </row>
    <row r="17" spans="1:9" ht="16.5">
      <c r="A17" s="1727" t="s">
        <v>1343</v>
      </c>
      <c r="B17" s="1734"/>
      <c r="C17" s="1734"/>
      <c r="D17" s="1734"/>
      <c r="E17" s="1729" t="e">
        <f t="shared" si="0"/>
        <v>#DIV/0!</v>
      </c>
      <c r="F17" s="1729" t="e">
        <f t="shared" si="1"/>
        <v>#DIV/0!</v>
      </c>
      <c r="G17" s="1734"/>
      <c r="H17" s="1734"/>
      <c r="I17" s="1734"/>
    </row>
    <row r="18" spans="1:9" ht="16.5">
      <c r="A18" s="1727" t="s">
        <v>1342</v>
      </c>
      <c r="B18" s="1734"/>
      <c r="C18" s="1734"/>
      <c r="D18" s="1734"/>
      <c r="E18" s="1729" t="e">
        <f t="shared" si="0"/>
        <v>#DIV/0!</v>
      </c>
      <c r="F18" s="1729" t="e">
        <f t="shared" si="1"/>
        <v>#DIV/0!</v>
      </c>
      <c r="G18" s="1734"/>
      <c r="H18" s="1734"/>
      <c r="I18" s="1734"/>
    </row>
    <row r="19" spans="1:9" ht="16.5">
      <c r="A19" s="1727" t="s">
        <v>1341</v>
      </c>
      <c r="B19" s="1734"/>
      <c r="C19" s="1734"/>
      <c r="D19" s="1734"/>
      <c r="E19" s="1729" t="e">
        <f t="shared" si="0"/>
        <v>#DIV/0!</v>
      </c>
      <c r="F19" s="1729" t="e">
        <f t="shared" si="1"/>
        <v>#DIV/0!</v>
      </c>
      <c r="G19" s="1734"/>
      <c r="H19" s="1734"/>
      <c r="I19" s="1734"/>
    </row>
    <row r="20" spans="1:9" ht="16.5">
      <c r="A20" s="1727" t="s">
        <v>1340</v>
      </c>
      <c r="B20" s="1734"/>
      <c r="C20" s="1734"/>
      <c r="D20" s="1734"/>
      <c r="E20" s="1729" t="e">
        <f t="shared" si="0"/>
        <v>#DIV/0!</v>
      </c>
      <c r="F20" s="1729" t="e">
        <f t="shared" si="1"/>
        <v>#DIV/0!</v>
      </c>
      <c r="G20" s="1734"/>
      <c r="H20" s="1734"/>
      <c r="I20" s="1734"/>
    </row>
    <row r="21" spans="1:9" ht="16.5">
      <c r="A21" s="1727" t="s">
        <v>1339</v>
      </c>
      <c r="B21" s="1734"/>
      <c r="C21" s="1734"/>
      <c r="D21" s="1734"/>
      <c r="E21" s="1729" t="e">
        <f t="shared" si="0"/>
        <v>#DIV/0!</v>
      </c>
      <c r="F21" s="1729" t="e">
        <f t="shared" si="1"/>
        <v>#DIV/0!</v>
      </c>
      <c r="G21" s="1734"/>
      <c r="H21" s="1734"/>
      <c r="I21" s="1734"/>
    </row>
    <row r="22" spans="1:9" ht="16.5">
      <c r="A22" s="1727" t="s">
        <v>1338</v>
      </c>
      <c r="B22" s="1734"/>
      <c r="C22" s="1734"/>
      <c r="D22" s="1734"/>
      <c r="E22" s="1729" t="e">
        <f t="shared" si="0"/>
        <v>#DIV/0!</v>
      </c>
      <c r="F22" s="1729" t="e">
        <f t="shared" si="1"/>
        <v>#DIV/0!</v>
      </c>
      <c r="G22" s="1734"/>
      <c r="H22" s="1734"/>
      <c r="I22" s="1734"/>
    </row>
    <row r="23" spans="1:9" ht="16.5">
      <c r="A23" s="1727" t="s">
        <v>1337</v>
      </c>
      <c r="B23" s="1734"/>
      <c r="C23" s="1734"/>
      <c r="D23" s="1734"/>
      <c r="E23" s="1731" t="e">
        <f t="shared" si="0"/>
        <v>#DIV/0!</v>
      </c>
      <c r="F23" s="1731" t="e">
        <f t="shared" si="1"/>
        <v>#DIV/0!</v>
      </c>
      <c r="G23" s="1734"/>
      <c r="H23" s="1734"/>
      <c r="I23" s="173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03" sqref="J103"/>
    </sheetView>
  </sheetViews>
  <sheetFormatPr defaultColWidth="12.625" defaultRowHeight="21.75" customHeight="1"/>
  <cols>
    <col min="1" max="2" width="12.625" style="2403"/>
    <col min="3" max="4" width="12.625" style="2403" customWidth="1"/>
    <col min="5" max="9" width="12.625" style="2403"/>
    <col min="10" max="11" width="12.625" style="792" customWidth="1"/>
    <col min="12" max="12" width="12.625" style="792"/>
    <col min="13" max="13" width="14.125" style="792" bestFit="1" customWidth="1"/>
    <col min="14" max="26" width="12.625" style="792"/>
    <col min="27" max="35" width="12.625" style="2402"/>
    <col min="36" max="16384" width="12.625" style="2403"/>
  </cols>
  <sheetData>
    <row r="1" spans="1:12" ht="21.75" customHeight="1" thickBot="1">
      <c r="A1" s="2206" t="s">
        <v>2106</v>
      </c>
      <c r="B1" s="2397"/>
      <c r="C1" s="2398"/>
      <c r="D1" s="2397"/>
      <c r="E1" s="2397"/>
      <c r="F1" s="2399" t="s">
        <v>2107</v>
      </c>
      <c r="G1" s="2052" t="s">
        <v>4464</v>
      </c>
      <c r="H1" s="2400" t="str">
        <f>IF(G1="现房","——","估价对象范围")</f>
        <v>估价对象范围</v>
      </c>
      <c r="I1" s="2401"/>
    </row>
    <row r="2" spans="1:12" ht="21.75" customHeight="1" thickBot="1">
      <c r="A2" s="3180" t="str">
        <f>项目基本情况!S2</f>
        <v>贵州省贵阳市花溪区贵筑社区尖山村、马洞村出让国有建设用地使用权</v>
      </c>
      <c r="B2" s="3181"/>
      <c r="C2" s="3181"/>
      <c r="D2" s="3181"/>
      <c r="E2" s="3181"/>
      <c r="F2" s="3181"/>
      <c r="G2" s="3181"/>
      <c r="H2" s="3181"/>
      <c r="I2" s="3182"/>
    </row>
    <row r="3" spans="1:12" ht="12.75">
      <c r="A3" s="3184" t="s">
        <v>2108</v>
      </c>
      <c r="B3" s="3185"/>
      <c r="C3" s="3185"/>
      <c r="D3" s="3185"/>
      <c r="E3" s="3185"/>
      <c r="F3" s="3185"/>
      <c r="G3" s="3185"/>
      <c r="H3" s="3185"/>
      <c r="I3" s="3185"/>
    </row>
    <row r="4" spans="1:12" ht="14.25">
      <c r="A4" s="2404" t="s">
        <v>2109</v>
      </c>
      <c r="B4" s="2405" t="s">
        <v>2110</v>
      </c>
      <c r="C4" s="2406" t="s">
        <v>4457</v>
      </c>
      <c r="D4" s="2406" t="s">
        <v>4448</v>
      </c>
      <c r="E4" s="3177" t="s">
        <v>2111</v>
      </c>
      <c r="F4" s="3178"/>
      <c r="G4" s="3178"/>
      <c r="H4" s="3178"/>
      <c r="I4" s="3186"/>
      <c r="K4" s="2407" t="str">
        <f>IF(ISNUMBER(FIND("比较法",结果表!C4)),"比较法",IF(ISNUMBER(FIND("成本法",结果表!C4)),"成本法",IF(ISNUMBER(FIND("假设开发法",结果表!C4)),"假设开发法",IF(ISNUMBER(FIND("收益法",结果表!C4)),"收益法","基准地价系数修正法"))))</f>
        <v>比较法</v>
      </c>
      <c r="L4" s="2407" t="str">
        <f>IF(ISNUMBER(FIND("比较法",结果表!D4)),"比较法",IF(ISNUMBER(FIND("成本法",结果表!D4)),"成本法",IF(ISNUMBER(FIND("假设开发法",结果表!D4)),"假设开发法",IF(ISNUMBER(FIND("收益法",结果表!D4)),"收益法","基准地价系数修正法"))))</f>
        <v>假设开发法</v>
      </c>
    </row>
    <row r="5" spans="1:12" ht="12.75">
      <c r="A5" s="3160" t="s">
        <v>2112</v>
      </c>
      <c r="B5" s="3098">
        <v>25</v>
      </c>
      <c r="C5" s="3163"/>
      <c r="D5" s="3183"/>
      <c r="E5" s="138" t="s">
        <v>2113</v>
      </c>
      <c r="F5" s="2408"/>
      <c r="G5" s="2408"/>
      <c r="H5" s="2408"/>
      <c r="I5" s="1818"/>
    </row>
    <row r="6" spans="1:12" ht="12.75">
      <c r="A6" s="3160"/>
      <c r="B6" s="3098"/>
      <c r="C6" s="3164"/>
      <c r="D6" s="3183"/>
      <c r="E6" s="138" t="s">
        <v>2114</v>
      </c>
      <c r="F6" s="2408"/>
      <c r="G6" s="2408"/>
      <c r="H6" s="2408"/>
      <c r="I6" s="1818"/>
    </row>
    <row r="7" spans="1:12" ht="12.75">
      <c r="A7" s="3160"/>
      <c r="B7" s="3098"/>
      <c r="C7" s="3165"/>
      <c r="D7" s="3183"/>
      <c r="E7" s="138" t="s">
        <v>2115</v>
      </c>
      <c r="F7" s="2408"/>
      <c r="G7" s="2408"/>
      <c r="H7" s="2408"/>
      <c r="I7" s="1818"/>
    </row>
    <row r="8" spans="1:12" ht="12.75">
      <c r="A8" s="3160" t="s">
        <v>2116</v>
      </c>
      <c r="B8" s="3098">
        <v>15</v>
      </c>
      <c r="C8" s="3163"/>
      <c r="D8" s="3183"/>
      <c r="E8" s="138" t="s">
        <v>2117</v>
      </c>
      <c r="F8" s="2408"/>
      <c r="G8" s="2408"/>
      <c r="H8" s="2408"/>
      <c r="I8" s="1818"/>
    </row>
    <row r="9" spans="1:12" ht="12.75">
      <c r="A9" s="3160"/>
      <c r="B9" s="3098"/>
      <c r="C9" s="3165"/>
      <c r="D9" s="3183"/>
      <c r="E9" s="138" t="s">
        <v>2118</v>
      </c>
      <c r="F9" s="2408"/>
      <c r="G9" s="2408"/>
      <c r="H9" s="2408"/>
      <c r="I9" s="1818"/>
    </row>
    <row r="10" spans="1:12" ht="12.75">
      <c r="A10" s="3160" t="s">
        <v>2119</v>
      </c>
      <c r="B10" s="3098">
        <v>15</v>
      </c>
      <c r="C10" s="3163"/>
      <c r="D10" s="3183"/>
      <c r="E10" s="138" t="s">
        <v>2120</v>
      </c>
      <c r="F10" s="2408"/>
      <c r="G10" s="2408"/>
      <c r="H10" s="2408"/>
      <c r="I10" s="1818"/>
    </row>
    <row r="11" spans="1:12" ht="12.75">
      <c r="A11" s="3160"/>
      <c r="B11" s="3098"/>
      <c r="C11" s="3165"/>
      <c r="D11" s="3183"/>
      <c r="E11" s="138" t="s">
        <v>2121</v>
      </c>
      <c r="F11" s="2408"/>
      <c r="G11" s="2408"/>
      <c r="H11" s="2408"/>
      <c r="I11" s="1818"/>
    </row>
    <row r="12" spans="1:12" ht="12.75">
      <c r="A12" s="3160" t="s">
        <v>2122</v>
      </c>
      <c r="B12" s="3098">
        <v>15</v>
      </c>
      <c r="C12" s="3163"/>
      <c r="D12" s="3183"/>
      <c r="E12" s="138" t="s">
        <v>2123</v>
      </c>
      <c r="F12" s="2408"/>
      <c r="G12" s="2408"/>
      <c r="H12" s="2408"/>
      <c r="I12" s="1818"/>
    </row>
    <row r="13" spans="1:12" ht="12.75">
      <c r="A13" s="3160"/>
      <c r="B13" s="3098"/>
      <c r="C13" s="3165"/>
      <c r="D13" s="3183"/>
      <c r="E13" s="138" t="s">
        <v>2124</v>
      </c>
      <c r="F13" s="2408"/>
      <c r="G13" s="2408"/>
      <c r="H13" s="2408"/>
      <c r="I13" s="1818"/>
    </row>
    <row r="14" spans="1:12" ht="12.75">
      <c r="A14" s="3160" t="s">
        <v>2125</v>
      </c>
      <c r="B14" s="3098">
        <v>30</v>
      </c>
      <c r="C14" s="3163">
        <v>6</v>
      </c>
      <c r="D14" s="3183">
        <v>4</v>
      </c>
      <c r="E14" s="138" t="s">
        <v>2126</v>
      </c>
      <c r="F14" s="2408"/>
      <c r="G14" s="2408"/>
      <c r="H14" s="2408"/>
      <c r="I14" s="1818"/>
    </row>
    <row r="15" spans="1:12" ht="12.75">
      <c r="A15" s="3160"/>
      <c r="B15" s="3098"/>
      <c r="C15" s="3164"/>
      <c r="D15" s="3183"/>
      <c r="E15" s="138" t="s">
        <v>2127</v>
      </c>
      <c r="F15" s="2408"/>
      <c r="G15" s="2408"/>
      <c r="H15" s="2408"/>
      <c r="I15" s="1818"/>
    </row>
    <row r="16" spans="1:12" ht="12.75">
      <c r="A16" s="3160"/>
      <c r="B16" s="3098"/>
      <c r="C16" s="3165"/>
      <c r="D16" s="3183"/>
      <c r="E16" s="138" t="s">
        <v>2128</v>
      </c>
      <c r="F16" s="2408"/>
      <c r="G16" s="2408"/>
      <c r="H16" s="2408"/>
      <c r="I16" s="1818"/>
    </row>
    <row r="17" spans="1:35" ht="15">
      <c r="A17" s="2409" t="s">
        <v>2129</v>
      </c>
      <c r="B17" s="63"/>
      <c r="C17" s="139">
        <f>SUM(C5:C16)</f>
        <v>6</v>
      </c>
      <c r="D17" s="139">
        <f>SUM(D5:D16)</f>
        <v>4</v>
      </c>
      <c r="E17" s="136"/>
      <c r="F17" s="136"/>
      <c r="G17" s="136"/>
      <c r="H17" s="136"/>
      <c r="I17" s="136"/>
      <c r="K17" s="2407"/>
      <c r="L17" s="2410" t="s">
        <v>2130</v>
      </c>
      <c r="M17" s="2410" t="s">
        <v>2131</v>
      </c>
    </row>
    <row r="18" spans="1:35" ht="15.75" thickBot="1">
      <c r="A18" s="2411" t="s">
        <v>2132</v>
      </c>
      <c r="B18" s="2412"/>
      <c r="C18" s="140">
        <f>ROUND(C17/SUM(C17:D17),2)</f>
        <v>0.6</v>
      </c>
      <c r="D18" s="140">
        <f>1-C18</f>
        <v>0.4</v>
      </c>
      <c r="E18" s="136"/>
      <c r="F18" s="136"/>
      <c r="G18" s="136"/>
      <c r="H18" s="136"/>
      <c r="I18" s="136"/>
      <c r="K18" s="2407" t="s">
        <v>2133</v>
      </c>
      <c r="L18" s="2407">
        <f>IF(C1="",'数据-汇总表'!E3,SUMIF(项目类型,C1,'数据-汇总表'!E17:E26)+SUMIF(项目类型,C1,'数据-汇总表'!I17:I26))</f>
        <v>66687.25</v>
      </c>
      <c r="M18" s="2407">
        <f>IF(C1="",'数据-汇总表'!E3,SUMIF(项目类型,C1,'数据-汇总表'!E17:E26))</f>
        <v>66687.25</v>
      </c>
    </row>
    <row r="19" spans="1:35" ht="15">
      <c r="A19" s="2413" t="s">
        <v>2134</v>
      </c>
      <c r="B19" s="2414" t="s">
        <v>2135</v>
      </c>
      <c r="C19" s="141">
        <f ca="1">SUMIF(INDIRECT("'"&amp;C4&amp;"'"&amp;"!A:A"),结果表!B19,INDIRECT("'"&amp;C4&amp;"'"&amp;"!B:B"))</f>
        <v>19659</v>
      </c>
      <c r="D19" s="142">
        <f ca="1">SUMIF(INDIRECT("'"&amp;D4&amp;"'"&amp;"!A:A"),结果表!B19,INDIRECT("'"&amp;D4&amp;"'"&amp;"!B:B"))</f>
        <v>40522</v>
      </c>
      <c r="E19" s="2413" t="s">
        <v>2136</v>
      </c>
      <c r="F19" s="2414" t="s">
        <v>2135</v>
      </c>
      <c r="G19" s="143">
        <f ca="1">ROUND(C19*$C$18+D19*$D$18,0)</f>
        <v>28004</v>
      </c>
      <c r="H19" s="2415" t="s">
        <v>2137</v>
      </c>
      <c r="I19" s="136"/>
      <c r="J19" s="3390" t="s">
        <v>4705</v>
      </c>
      <c r="K19" s="2407" t="s">
        <v>2138</v>
      </c>
      <c r="L19" s="2407">
        <f>IF(C1="",'数据-汇总表'!D3,SUMIF(项目类型,C1,'数据-汇总表'!D17:D26)+SUMIF(项目类型,C1,'数据-汇总表'!H17:H27))</f>
        <v>19053.5</v>
      </c>
      <c r="M19" s="2407">
        <f>IF(C1="",'数据-汇总表'!D3,SUMIF(项目类型,C1,'数据-汇总表'!D17:D26))</f>
        <v>19053.5</v>
      </c>
    </row>
    <row r="20" spans="1:35" ht="15">
      <c r="A20" s="2416"/>
      <c r="B20" s="1236" t="s">
        <v>2139</v>
      </c>
      <c r="C20" s="144">
        <f ca="1">SUMIF(INDIRECT("'"&amp;C4&amp;"'"&amp;"!A:A"),结果表!B20,INDIRECT("'"&amp;C4&amp;"'"&amp;"!B:B"))</f>
        <v>2948</v>
      </c>
      <c r="D20" s="145">
        <f ca="1">SUMIF(INDIRECT("'"&amp;D4&amp;"'"&amp;"!A:A"),结果表!B20,INDIRECT("'"&amp;D4&amp;"'"&amp;"!B:B"))</f>
        <v>6076</v>
      </c>
      <c r="E20" s="2416"/>
      <c r="F20" s="1236" t="s">
        <v>2139</v>
      </c>
      <c r="G20" s="146">
        <f ca="1">ROUND(C20*$C$18+D20*$D$18,0)</f>
        <v>4199</v>
      </c>
      <c r="H20" s="970" t="s">
        <v>2140</v>
      </c>
      <c r="I20" s="136"/>
      <c r="J20" s="3391">
        <v>27902</v>
      </c>
    </row>
    <row r="21" spans="1:35" ht="15" customHeight="1" thickBot="1">
      <c r="A21" s="990"/>
      <c r="B21" s="2417" t="s">
        <v>2141</v>
      </c>
      <c r="C21" s="786">
        <f ca="1">ROUND(C19*10000/L19,0)</f>
        <v>10318</v>
      </c>
      <c r="D21" s="787">
        <f ca="1">ROUND(D19*10000/L19,0)</f>
        <v>21267</v>
      </c>
      <c r="E21" s="990"/>
      <c r="F21" s="2417" t="s">
        <v>2141</v>
      </c>
      <c r="G21" s="147">
        <f ca="1">ROUND(G19*10000/L19,0)</f>
        <v>14698</v>
      </c>
      <c r="H21" s="2418" t="s">
        <v>2140</v>
      </c>
      <c r="I21" s="136"/>
    </row>
    <row r="22" spans="1:35" ht="15" thickBot="1">
      <c r="A22" s="2261" t="s">
        <v>2142</v>
      </c>
      <c r="B22" s="2419"/>
      <c r="C22" s="2420"/>
      <c r="D22" s="788">
        <f ca="1">IF(C19&lt;D19,D19/C19-1,C19/D19-1)</f>
        <v>1.0612442138460754</v>
      </c>
      <c r="E22" s="136"/>
      <c r="F22" s="136"/>
      <c r="G22" s="136"/>
      <c r="H22" s="136"/>
      <c r="I22" s="136"/>
    </row>
    <row r="23" spans="1:35" ht="13.5" thickBot="1">
      <c r="A23" s="2397"/>
      <c r="B23" s="2397"/>
      <c r="C23" s="2397"/>
      <c r="D23" s="2397"/>
      <c r="E23" s="136"/>
      <c r="F23" s="136"/>
      <c r="G23" s="136"/>
      <c r="H23" s="136"/>
      <c r="I23" s="136"/>
    </row>
    <row r="24" spans="1:35" ht="14.25">
      <c r="A24" s="3154" t="s">
        <v>2143</v>
      </c>
      <c r="B24" s="2414" t="s">
        <v>2135</v>
      </c>
      <c r="C24" s="143">
        <f>IF(B30=0,0,D30)</f>
        <v>95</v>
      </c>
      <c r="D24" s="2421"/>
      <c r="E24" s="136"/>
      <c r="F24" s="136"/>
      <c r="G24" s="136"/>
      <c r="H24" s="136"/>
      <c r="I24" s="136"/>
    </row>
    <row r="25" spans="1:35" ht="14.25">
      <c r="A25" s="3155"/>
      <c r="B25" s="1236" t="s">
        <v>2139</v>
      </c>
      <c r="C25" s="148">
        <f>IF(B30=0,0,C30)</f>
        <v>50</v>
      </c>
      <c r="D25" s="2422"/>
      <c r="E25" s="136"/>
      <c r="F25" s="136"/>
      <c r="G25" s="136"/>
      <c r="H25" s="136"/>
      <c r="I25" s="136"/>
    </row>
    <row r="26" spans="1:35" ht="13.5" customHeight="1">
      <c r="A26" s="2423" t="s">
        <v>2144</v>
      </c>
      <c r="B26" s="149" t="s">
        <v>2145</v>
      </c>
      <c r="C26" s="149" t="s">
        <v>2146</v>
      </c>
      <c r="D26" s="150" t="s">
        <v>2147</v>
      </c>
      <c r="E26" s="136"/>
      <c r="F26" s="136"/>
      <c r="G26" s="136"/>
      <c r="H26" s="136"/>
      <c r="I26" s="136"/>
    </row>
    <row r="27" spans="1:35" ht="14.25">
      <c r="A27" s="2980" t="s">
        <v>4454</v>
      </c>
      <c r="B27" s="149">
        <f>'数据-基础表'!A3</f>
        <v>19053.5</v>
      </c>
      <c r="C27" s="2981">
        <v>50</v>
      </c>
      <c r="D27" s="150">
        <f>ROUND(C27*B27/10000,0)</f>
        <v>95</v>
      </c>
      <c r="E27" s="136"/>
      <c r="F27" s="136"/>
      <c r="G27" s="136"/>
      <c r="H27" s="136"/>
      <c r="I27" s="136"/>
    </row>
    <row r="28" spans="1:35" ht="14.25">
      <c r="A28" s="2423"/>
      <c r="B28" s="149"/>
      <c r="C28" s="149"/>
      <c r="D28" s="150"/>
      <c r="E28" s="136"/>
      <c r="F28" s="136"/>
      <c r="G28" s="136"/>
      <c r="H28" s="136"/>
      <c r="I28" s="136"/>
    </row>
    <row r="29" spans="1:35" ht="14.25">
      <c r="A29" s="2423"/>
      <c r="B29" s="149"/>
      <c r="C29" s="149"/>
      <c r="D29" s="150"/>
      <c r="E29" s="136"/>
      <c r="F29" s="136"/>
      <c r="G29" s="136"/>
      <c r="H29" s="136"/>
      <c r="I29" s="136"/>
    </row>
    <row r="30" spans="1:35" ht="14.25">
      <c r="A30" s="149" t="s">
        <v>2148</v>
      </c>
      <c r="B30" s="149">
        <f>B27</f>
        <v>19053.5</v>
      </c>
      <c r="C30" s="149">
        <f>C27</f>
        <v>50</v>
      </c>
      <c r="D30" s="149">
        <f>D27</f>
        <v>95</v>
      </c>
      <c r="E30" s="2893" t="s">
        <v>3016</v>
      </c>
      <c r="F30" s="136"/>
      <c r="G30" s="136"/>
      <c r="H30" s="136"/>
      <c r="I30" s="136"/>
    </row>
    <row r="31" spans="1:35" s="2425" customFormat="1" ht="15" thickBot="1">
      <c r="A31" s="2424"/>
      <c r="B31" s="2424"/>
      <c r="C31" s="2424"/>
      <c r="D31" s="2424"/>
      <c r="E31" s="136"/>
      <c r="F31" s="136"/>
      <c r="G31" s="136"/>
      <c r="H31" s="136"/>
      <c r="I31" s="136"/>
      <c r="J31" s="792"/>
      <c r="K31" s="792"/>
      <c r="L31" s="792"/>
      <c r="M31" s="792"/>
      <c r="N31" s="792"/>
      <c r="O31" s="792"/>
      <c r="P31" s="792"/>
      <c r="Q31" s="792"/>
      <c r="R31" s="792"/>
      <c r="S31" s="792"/>
      <c r="T31" s="792"/>
      <c r="U31" s="792"/>
      <c r="V31" s="792"/>
      <c r="W31" s="792"/>
      <c r="X31" s="792"/>
      <c r="Y31" s="792"/>
      <c r="Z31" s="792"/>
      <c r="AA31" s="2402"/>
      <c r="AB31" s="2402"/>
      <c r="AC31" s="2402"/>
      <c r="AD31" s="2402"/>
      <c r="AE31" s="2402"/>
      <c r="AF31" s="2402"/>
      <c r="AG31" s="2402"/>
      <c r="AH31" s="2402"/>
      <c r="AI31" s="2402"/>
    </row>
    <row r="32" spans="1:35" ht="15.75" thickBot="1">
      <c r="A32" s="2426" t="s">
        <v>2149</v>
      </c>
      <c r="B32" s="2427"/>
      <c r="C32" s="151">
        <f ca="1">IF(D32="总价",G19-C24,G20-C25)</f>
        <v>27909</v>
      </c>
      <c r="D32" s="2428" t="s">
        <v>4697</v>
      </c>
      <c r="E32" s="136"/>
      <c r="F32" s="136"/>
      <c r="G32" s="136"/>
      <c r="H32" s="136"/>
      <c r="I32" s="136"/>
    </row>
    <row r="33" spans="1:15" ht="15">
      <c r="A33" s="947" t="s">
        <v>2150</v>
      </c>
      <c r="B33" s="2429"/>
      <c r="C33" s="2430" t="s">
        <v>4455</v>
      </c>
      <c r="D33" s="2431" t="s">
        <v>4447</v>
      </c>
      <c r="E33" s="2432" t="s">
        <v>2151</v>
      </c>
      <c r="F33" s="2433" t="str">
        <f>IF(D32="楼面单价","取值（单价）","取值（总价）")</f>
        <v>取值（总价）</v>
      </c>
      <c r="G33" s="136"/>
      <c r="H33" s="136"/>
      <c r="I33" s="136"/>
    </row>
    <row r="34" spans="1:15" ht="15">
      <c r="A34" s="2434"/>
      <c r="B34" s="2435" t="s">
        <v>2152</v>
      </c>
      <c r="C34" s="155">
        <f ca="1">IF(C33="自定义",F34,C32-C35)</f>
        <v>27909</v>
      </c>
      <c r="D34" s="1044">
        <f ca="1">IF(C33="自定义",ROUND(C34/C32,3),IF(C33="收益比率",SUMIF(INDIRECT("'"&amp;D33&amp;"'"&amp;"!b:b"),"土地收益比率",INDIRECT("'"&amp;D33&amp;"'"&amp;"!c:c")),SUMIF(INDIRECT("'"&amp;D33&amp;"'"&amp;"!b:b"),"土地成本比率",INDIRECT("'"&amp;D33&amp;"'"&amp;"!c:c"))))</f>
        <v>1</v>
      </c>
      <c r="E34" s="2436" t="s">
        <v>2153</v>
      </c>
      <c r="F34" s="1724"/>
      <c r="G34" s="136"/>
      <c r="H34" s="136"/>
      <c r="I34" s="136"/>
    </row>
    <row r="35" spans="1:15" ht="15.75" thickBot="1">
      <c r="A35" s="2437"/>
      <c r="B35" s="2438" t="s">
        <v>2154</v>
      </c>
      <c r="C35" s="1430">
        <f ca="1">IF(C33="自定义",F35,ROUND(C32*D35,0))</f>
        <v>0</v>
      </c>
      <c r="D35" s="1431">
        <f ca="1">IF(C33="自定义",ROUND(C35/C32,3),IF(C33="收益比率",SUMIF(INDIRECT("'"&amp;D33&amp;"'"&amp;"!b:b"),"建筑物收益比率",INDIRECT("'"&amp;D33&amp;"'"&amp;"!c:c")),SUMIF(INDIRECT("'"&amp;D33&amp;"'"&amp;"!b:b"),"建筑物成本比率",INDIRECT("'"&amp;D33&amp;"'"&amp;"!c:c"))))</f>
        <v>0</v>
      </c>
      <c r="E35" s="2439" t="s">
        <v>2155</v>
      </c>
      <c r="F35" s="161"/>
      <c r="G35" s="136"/>
      <c r="H35" s="136"/>
      <c r="I35" s="136"/>
    </row>
    <row r="36" spans="1:15" ht="15.75" thickBot="1">
      <c r="A36" s="3172" t="s">
        <v>2156</v>
      </c>
      <c r="B36" s="2440" t="s">
        <v>2157</v>
      </c>
      <c r="C36" s="152"/>
      <c r="D36" s="2441"/>
      <c r="E36" s="2442"/>
      <c r="F36" s="2443"/>
      <c r="G36" s="136"/>
      <c r="H36" s="136"/>
      <c r="I36" s="136"/>
    </row>
    <row r="37" spans="1:15" ht="15.75" thickBot="1">
      <c r="A37" s="3173"/>
      <c r="B37" s="2247" t="s">
        <v>2158</v>
      </c>
      <c r="C37" s="154"/>
      <c r="D37" s="1381"/>
      <c r="E37" s="1381"/>
      <c r="F37" s="2443"/>
      <c r="G37" s="136"/>
      <c r="H37" s="136"/>
      <c r="I37" s="136"/>
    </row>
    <row r="38" spans="1:15" ht="15.75" thickBot="1">
      <c r="A38" s="3174"/>
      <c r="B38" s="2444" t="s">
        <v>2159</v>
      </c>
      <c r="C38" s="724"/>
      <c r="D38" s="2445" t="s">
        <v>2160</v>
      </c>
      <c r="E38" s="1381"/>
      <c r="F38" s="2443"/>
      <c r="G38" s="136"/>
      <c r="H38" s="136"/>
      <c r="I38" s="136"/>
    </row>
    <row r="39" spans="1:15" ht="15">
      <c r="A39" s="2416" t="s">
        <v>2161</v>
      </c>
      <c r="B39" s="2446" t="s">
        <v>2162</v>
      </c>
      <c r="C39" s="2447" t="s">
        <v>2163</v>
      </c>
      <c r="D39" s="2447" t="s">
        <v>2164</v>
      </c>
      <c r="E39" s="2448" t="s">
        <v>2165</v>
      </c>
      <c r="F39" s="2443"/>
      <c r="G39" s="136"/>
      <c r="H39" s="136"/>
      <c r="I39" s="136"/>
    </row>
    <row r="40" spans="1:15" ht="14.25">
      <c r="A40" s="2449" t="s">
        <v>2166</v>
      </c>
      <c r="B40" s="156"/>
      <c r="C40" s="157"/>
      <c r="D40" s="157"/>
      <c r="E40" s="158"/>
      <c r="F40" s="2443"/>
      <c r="G40" s="136"/>
      <c r="H40" s="136"/>
      <c r="I40" s="136"/>
    </row>
    <row r="41" spans="1:15" ht="14.25">
      <c r="A41" s="2449" t="s">
        <v>2167</v>
      </c>
      <c r="B41" s="156"/>
      <c r="C41" s="157"/>
      <c r="D41" s="157"/>
      <c r="E41" s="158"/>
      <c r="F41" s="2443"/>
      <c r="G41" s="136"/>
      <c r="H41" s="136"/>
      <c r="I41" s="136"/>
    </row>
    <row r="42" spans="1:15" ht="46.5" customHeight="1" thickBot="1">
      <c r="A42" s="2450"/>
      <c r="B42" s="159"/>
      <c r="C42" s="160"/>
      <c r="D42" s="160"/>
      <c r="E42" s="161"/>
      <c r="F42" s="2443"/>
      <c r="G42" s="136"/>
      <c r="H42" s="136"/>
      <c r="I42" s="136"/>
    </row>
    <row r="43" spans="1:15" ht="12.75">
      <c r="A43" s="2146"/>
      <c r="B43" s="2146"/>
      <c r="C43" s="2146"/>
      <c r="D43" s="2146"/>
      <c r="E43" s="2146"/>
      <c r="F43" s="2451"/>
      <c r="G43" s="2451"/>
      <c r="H43" s="2451"/>
      <c r="I43" s="2452"/>
    </row>
    <row r="44" spans="1:15" ht="18.75" hidden="1">
      <c r="A44" s="2453" t="s">
        <v>2168</v>
      </c>
      <c r="B44" s="2454"/>
      <c r="C44" s="2454"/>
      <c r="D44" s="2455"/>
      <c r="E44" s="2455"/>
      <c r="F44" s="2456"/>
      <c r="G44" s="2456"/>
      <c r="H44" s="2456"/>
      <c r="I44" s="2456"/>
      <c r="J44" s="2457" t="s">
        <v>2169</v>
      </c>
      <c r="K44" s="2458"/>
      <c r="L44" s="2458"/>
      <c r="M44" s="2458"/>
      <c r="N44" s="2458"/>
      <c r="O44" s="2458"/>
    </row>
    <row r="45" spans="1:15" ht="14.25" hidden="1" customHeight="1" thickBot="1">
      <c r="A45" s="3151" t="s">
        <v>2170</v>
      </c>
      <c r="B45" s="3152"/>
      <c r="C45" s="3153"/>
      <c r="D45" s="162">
        <f ca="1">ROUND(H101*F45,0)</f>
        <v>27909</v>
      </c>
      <c r="E45" s="163" t="s">
        <v>2171</v>
      </c>
      <c r="F45" s="164">
        <v>1</v>
      </c>
      <c r="G45" s="165" t="s">
        <v>2172</v>
      </c>
      <c r="H45" s="136"/>
      <c r="I45" s="136"/>
      <c r="J45" s="3211" t="s">
        <v>2173</v>
      </c>
      <c r="K45" s="3211"/>
      <c r="L45" s="3211"/>
      <c r="M45" s="3211"/>
      <c r="N45" s="3211"/>
      <c r="O45" s="3211"/>
    </row>
    <row r="46" spans="1:15" ht="14.25" hidden="1" customHeight="1">
      <c r="A46" s="3148" t="s">
        <v>2174</v>
      </c>
      <c r="B46" s="3149"/>
      <c r="C46" s="3149"/>
      <c r="D46" s="3149"/>
      <c r="E46" s="3149"/>
      <c r="F46" s="3149"/>
      <c r="G46" s="3150"/>
      <c r="H46" s="2459"/>
      <c r="I46" s="166"/>
      <c r="J46" s="1796">
        <v>1</v>
      </c>
      <c r="K46" s="3211" t="s">
        <v>2175</v>
      </c>
      <c r="L46" s="3211"/>
      <c r="M46" s="3231"/>
      <c r="N46" s="3231"/>
      <c r="O46" s="3231"/>
    </row>
    <row r="47" spans="1:15" ht="12" hidden="1" customHeight="1">
      <c r="A47" s="167" t="s">
        <v>2176</v>
      </c>
      <c r="B47" s="168"/>
      <c r="C47" s="169"/>
      <c r="D47" s="170" t="s">
        <v>2177</v>
      </c>
      <c r="E47" s="23" t="s">
        <v>2178</v>
      </c>
      <c r="F47" s="171" t="s">
        <v>2179</v>
      </c>
      <c r="G47" s="172" t="s">
        <v>2180</v>
      </c>
      <c r="H47" s="2459"/>
      <c r="I47" s="166"/>
      <c r="J47" s="1796">
        <v>2</v>
      </c>
      <c r="K47" s="3211" t="s">
        <v>2181</v>
      </c>
      <c r="L47" s="3211"/>
      <c r="M47" s="3232">
        <f>'数据-取费表'!B2</f>
        <v>43970</v>
      </c>
      <c r="N47" s="3232"/>
      <c r="O47" s="3232"/>
    </row>
    <row r="48" spans="1:15" ht="25.5" hidden="1">
      <c r="A48" s="3179" t="s">
        <v>2182</v>
      </c>
      <c r="B48" s="3162"/>
      <c r="C48" s="3162"/>
      <c r="D48" s="138">
        <f ca="1">IF(H48="情况1",0,IF(H48="情况2",D52,IF(H48="情况3",D53,IF(H48="情况4",D54))))</f>
        <v>1488</v>
      </c>
      <c r="E48" s="1785" t="str">
        <f>IF(H48="情况4","(销售额-原购置价)×税（费）率","销售额×税（费）率")</f>
        <v>销售额×税（费）率</v>
      </c>
      <c r="F48" s="173">
        <f>IF(H48="情况1","免征",'数据-取费表'!B41)</f>
        <v>5.6000000000000001E-2</v>
      </c>
      <c r="G48" s="2460" t="s">
        <v>2183</v>
      </c>
      <c r="H48" s="2461" t="s">
        <v>4698</v>
      </c>
      <c r="I48" s="2459"/>
      <c r="J48" s="1796">
        <v>3</v>
      </c>
      <c r="K48" s="3211" t="s">
        <v>2184</v>
      </c>
      <c r="L48" s="3211"/>
      <c r="M48" s="3233">
        <f ca="1">H101</f>
        <v>27909</v>
      </c>
      <c r="N48" s="3233"/>
      <c r="O48" s="3233"/>
    </row>
    <row r="49" spans="1:35" ht="25.5" hidden="1" customHeight="1">
      <c r="A49" s="174" t="s">
        <v>2185</v>
      </c>
      <c r="B49" s="3147" t="s">
        <v>2186</v>
      </c>
      <c r="C49" s="3147"/>
      <c r="D49" s="175">
        <v>0</v>
      </c>
      <c r="E49" s="22" t="s">
        <v>2187</v>
      </c>
      <c r="F49" s="27" t="s">
        <v>34</v>
      </c>
      <c r="G49" s="3217"/>
      <c r="H49" s="136"/>
      <c r="I49" s="2462"/>
      <c r="J49" s="1796">
        <v>4</v>
      </c>
      <c r="K49" s="3211" t="str">
        <f>IF(项目基本情况!E8="房地产抵押价值","房地产抵押价值","抵押担保权已注销时的房地产抵押价值")</f>
        <v>房地产抵押价值</v>
      </c>
      <c r="L49" s="3211"/>
      <c r="M49" s="3233">
        <f ca="1">IF(项目基本情况!E8="房地产抵押价值",H107,H109)</f>
        <v>27909</v>
      </c>
      <c r="N49" s="3233"/>
      <c r="O49" s="3233"/>
    </row>
    <row r="50" spans="1:35" ht="25.5" hidden="1" customHeight="1">
      <c r="A50" s="176"/>
      <c r="B50" s="3147" t="s">
        <v>2188</v>
      </c>
      <c r="C50" s="3147"/>
      <c r="D50" s="177"/>
      <c r="E50" s="30"/>
      <c r="F50" s="178"/>
      <c r="G50" s="3218"/>
      <c r="H50" s="136"/>
      <c r="I50" s="2462"/>
      <c r="J50" s="3211" t="s">
        <v>2189</v>
      </c>
      <c r="K50" s="3211"/>
      <c r="L50" s="3211"/>
      <c r="M50" s="3211"/>
      <c r="N50" s="3211"/>
      <c r="O50" s="3211"/>
    </row>
    <row r="51" spans="1:35" ht="12" hidden="1" customHeight="1">
      <c r="A51" s="179"/>
      <c r="B51" s="3147" t="s">
        <v>2190</v>
      </c>
      <c r="C51" s="3147"/>
      <c r="D51" s="180"/>
      <c r="E51" s="29"/>
      <c r="F51" s="178"/>
      <c r="G51" s="3219"/>
      <c r="H51" s="136"/>
      <c r="I51" s="2462"/>
      <c r="J51" s="2463" t="s">
        <v>2191</v>
      </c>
      <c r="K51" s="3211" t="s">
        <v>2192</v>
      </c>
      <c r="L51" s="3211"/>
      <c r="M51" s="2463" t="s">
        <v>2193</v>
      </c>
      <c r="N51" s="2463" t="s">
        <v>2194</v>
      </c>
      <c r="O51" s="2463" t="s">
        <v>2195</v>
      </c>
    </row>
    <row r="52" spans="1:35" ht="24" hidden="1" customHeight="1">
      <c r="A52" s="181" t="s">
        <v>2196</v>
      </c>
      <c r="B52" s="3147" t="s">
        <v>2197</v>
      </c>
      <c r="C52" s="3147"/>
      <c r="D52" s="180">
        <f ca="1">ROUND(D45*'数据-取费表'!B41/(1+'数据-取费表'!C42),0)</f>
        <v>1488</v>
      </c>
      <c r="E52" s="11" t="s">
        <v>2198</v>
      </c>
      <c r="F52" s="182">
        <f>'数据-取费表'!B41</f>
        <v>5.6000000000000001E-2</v>
      </c>
      <c r="G52" s="2464"/>
      <c r="H52" s="136"/>
      <c r="I52" s="2462"/>
      <c r="J52" s="1796">
        <v>1</v>
      </c>
      <c r="K52" s="3212" t="s">
        <v>2199</v>
      </c>
      <c r="L52" s="3212"/>
      <c r="M52" s="1738">
        <f ca="1">D48</f>
        <v>1488</v>
      </c>
      <c r="N52" s="1796" t="str">
        <f>E48</f>
        <v>销售额×税（费）率</v>
      </c>
      <c r="O52" s="1739">
        <f>F48</f>
        <v>5.6000000000000001E-2</v>
      </c>
    </row>
    <row r="53" spans="1:35" ht="12" hidden="1" customHeight="1">
      <c r="A53" s="181" t="s">
        <v>2200</v>
      </c>
      <c r="B53" s="3170" t="s">
        <v>2201</v>
      </c>
      <c r="C53" s="3171"/>
      <c r="D53" s="180">
        <f ca="1">ROUND(D45*'数据-取费表'!B41/(1+'数据-取费表'!C42),0)</f>
        <v>1488</v>
      </c>
      <c r="E53" s="11" t="s">
        <v>2198</v>
      </c>
      <c r="F53" s="182">
        <f>'数据-取费表'!B41</f>
        <v>5.6000000000000001E-2</v>
      </c>
      <c r="G53" s="2464"/>
      <c r="H53" s="136"/>
      <c r="I53" s="2462"/>
      <c r="J53" s="1796">
        <v>2</v>
      </c>
      <c r="K53" s="3212" t="s">
        <v>2202</v>
      </c>
      <c r="L53" s="3212"/>
      <c r="M53" s="1738">
        <f t="shared" ref="M53:O54" ca="1" si="0">D55</f>
        <v>14</v>
      </c>
      <c r="N53" s="1796" t="str">
        <f t="shared" si="0"/>
        <v>销售额×税（费）率</v>
      </c>
      <c r="O53" s="1739">
        <f t="shared" si="0"/>
        <v>5.0000000000000001E-4</v>
      </c>
    </row>
    <row r="54" spans="1:35" ht="12" hidden="1" customHeight="1">
      <c r="A54" s="181" t="s">
        <v>2203</v>
      </c>
      <c r="B54" s="3170" t="s">
        <v>2204</v>
      </c>
      <c r="C54" s="3171"/>
      <c r="D54" s="180">
        <f ca="1">C68</f>
        <v>1488</v>
      </c>
      <c r="E54" s="29" t="s">
        <v>2205</v>
      </c>
      <c r="F54" s="182">
        <f>'数据-取费表'!B41</f>
        <v>5.6000000000000001E-2</v>
      </c>
      <c r="G54" s="2464"/>
      <c r="H54" s="2465"/>
      <c r="I54" s="2462"/>
      <c r="J54" s="1796">
        <v>3</v>
      </c>
      <c r="K54" s="3212" t="s">
        <v>2206</v>
      </c>
      <c r="L54" s="3212"/>
      <c r="M54" s="1738">
        <f t="shared" ca="1" si="0"/>
        <v>11841</v>
      </c>
      <c r="N54" s="1796" t="str">
        <f t="shared" si="0"/>
        <v>增值额×税（费）率</v>
      </c>
      <c r="O54" s="1740" t="str">
        <f t="shared" si="0"/>
        <v>——</v>
      </c>
    </row>
    <row r="55" spans="1:35" ht="24" hidden="1" customHeight="1">
      <c r="A55" s="3161" t="s">
        <v>2207</v>
      </c>
      <c r="B55" s="3162"/>
      <c r="C55" s="3162"/>
      <c r="D55" s="183">
        <f ca="1">IF(H55="个人住宅",0,ROUND(D45*I55,0))</f>
        <v>14</v>
      </c>
      <c r="E55" s="11" t="s">
        <v>2208</v>
      </c>
      <c r="F55" s="182">
        <f>IF(H55="正常",I55,"免征")</f>
        <v>5.0000000000000001E-4</v>
      </c>
      <c r="G55" s="2464"/>
      <c r="H55" s="2461" t="s">
        <v>2209</v>
      </c>
      <c r="I55" s="184">
        <f>'数据-取费表'!B49</f>
        <v>5.0000000000000001E-4</v>
      </c>
      <c r="J55" s="1796" t="str">
        <f>IF(H59="非个人房产","",4)</f>
        <v/>
      </c>
      <c r="K55" s="3212" t="str">
        <f>IF(H59="非个人房产","——","个人所得税")</f>
        <v>——</v>
      </c>
      <c r="L55" s="3212"/>
      <c r="M55" s="1741" t="str">
        <f>D59</f>
        <v>——</v>
      </c>
      <c r="N55" s="1794" t="str">
        <f>E59</f>
        <v>——</v>
      </c>
      <c r="O55" s="1742" t="str">
        <f>F59</f>
        <v>——</v>
      </c>
    </row>
    <row r="56" spans="1:35" ht="24.75" hidden="1">
      <c r="A56" s="3161" t="s">
        <v>2210</v>
      </c>
      <c r="B56" s="3162"/>
      <c r="C56" s="3162"/>
      <c r="D56" s="183">
        <f ca="1">IF(H56="个人住宅",D57,D58)</f>
        <v>11841</v>
      </c>
      <c r="E56" s="11" t="s">
        <v>2211</v>
      </c>
      <c r="F56" s="182" t="str">
        <f>IF(H56="正常",F58,"免征")</f>
        <v>——</v>
      </c>
      <c r="G56" s="2466" t="s">
        <v>2212</v>
      </c>
      <c r="H56" s="2467" t="s">
        <v>2209</v>
      </c>
      <c r="I56" s="2468"/>
      <c r="J56" s="1796" t="str">
        <f>IF(项目基本情况!K6="上海银行",IF(J55="",4,J55+1),"")</f>
        <v/>
      </c>
      <c r="K56" s="3235" t="str">
        <f>IF(项目基本情况!K6="上海银行","其他处置费用","")</f>
        <v/>
      </c>
      <c r="L56" s="3236"/>
      <c r="M56" s="1738" t="str">
        <f>IF(项目基本情况!K6="上海银行",M69,"")</f>
        <v/>
      </c>
      <c r="N56" s="3238" t="str">
        <f>IF(项目基本情况!K6="上海银行","包含处置中涉及的律师、诉讼、拍卖、评估等费用","")</f>
        <v/>
      </c>
      <c r="O56" s="3239"/>
    </row>
    <row r="57" spans="1:35" ht="12.75" hidden="1">
      <c r="A57" s="181" t="s">
        <v>2185</v>
      </c>
      <c r="B57" s="3177" t="s">
        <v>2213</v>
      </c>
      <c r="C57" s="3186"/>
      <c r="D57" s="185">
        <v>0</v>
      </c>
      <c r="E57" s="22" t="s">
        <v>2187</v>
      </c>
      <c r="F57" s="153"/>
      <c r="G57" s="2464"/>
      <c r="H57" s="2468"/>
      <c r="I57" s="2468"/>
      <c r="J57" s="3212">
        <f>IF(AND(J55="",J56=""),4,IF(项目基本情况!K6="上海银行",结果表!J56+1,结果表!J55+1))</f>
        <v>4</v>
      </c>
      <c r="K57" s="3212" t="s">
        <v>2214</v>
      </c>
      <c r="L57" s="2469" t="s">
        <v>2215</v>
      </c>
      <c r="M57" s="1743"/>
      <c r="N57" s="1744">
        <f ca="1">SUMIF(M52:M56,"&lt;9e307")</f>
        <v>13343</v>
      </c>
      <c r="O57" s="2470"/>
      <c r="P57" s="1737">
        <f ca="1">N57/M49</f>
        <v>0.47808950517754129</v>
      </c>
    </row>
    <row r="58" spans="1:35" ht="24.75" hidden="1">
      <c r="A58" s="181" t="s">
        <v>2196</v>
      </c>
      <c r="B58" s="3177" t="s">
        <v>2216</v>
      </c>
      <c r="C58" s="3178"/>
      <c r="D58" s="183">
        <f ca="1">IF(H58="转让取得",C81,C97)</f>
        <v>11841</v>
      </c>
      <c r="E58" s="11" t="s">
        <v>2211</v>
      </c>
      <c r="F58" s="23" t="s">
        <v>34</v>
      </c>
      <c r="G58" s="2464"/>
      <c r="H58" s="2467" t="s">
        <v>2217</v>
      </c>
      <c r="I58" s="2468"/>
      <c r="J58" s="3212"/>
      <c r="K58" s="3212"/>
      <c r="L58" s="2469" t="s">
        <v>2218</v>
      </c>
      <c r="M58" s="1745"/>
      <c r="N58" s="2471" t="str">
        <f ca="1">NUMBERSTRING(INT(N57*10000),2)&amp;"元整"</f>
        <v>壹亿叁仟叁佰肆拾叁万元整</v>
      </c>
      <c r="O58" s="2472"/>
    </row>
    <row r="59" spans="1:35" ht="24.75" hidden="1" thickBot="1">
      <c r="A59" s="3215" t="s">
        <v>2219</v>
      </c>
      <c r="B59" s="3216"/>
      <c r="C59" s="3216"/>
      <c r="D59" s="186" t="str">
        <f>IF(H59="非个人房产","——",IF(H59="个人住宅",0,ROUND(D45*I59,0)))</f>
        <v>——</v>
      </c>
      <c r="E59" s="187" t="str">
        <f>IF(H59="非个人房产","——","销售额×税（费）率")</f>
        <v>——</v>
      </c>
      <c r="F59" s="188" t="str">
        <f>IF(H59="非个人房产","——",IF(H59="个人住宅","免征",I59))</f>
        <v>——</v>
      </c>
      <c r="G59" s="2473" t="s">
        <v>2212</v>
      </c>
      <c r="H59" s="2467" t="s">
        <v>2220</v>
      </c>
      <c r="I59" s="189">
        <v>0.01</v>
      </c>
      <c r="J59" s="3213">
        <f>J57+1</f>
        <v>5</v>
      </c>
      <c r="K59" s="3212" t="s">
        <v>2221</v>
      </c>
      <c r="L59" s="1796" t="s">
        <v>2215</v>
      </c>
      <c r="M59" s="1746"/>
      <c r="N59" s="1747">
        <f ca="1">M49-N57</f>
        <v>14566</v>
      </c>
      <c r="O59" s="2474"/>
    </row>
    <row r="60" spans="1:35" ht="12" hidden="1" customHeight="1">
      <c r="A60" s="2475"/>
      <c r="B60" s="2397"/>
      <c r="C60" s="2397"/>
      <c r="D60" s="2397"/>
      <c r="E60" s="2147"/>
      <c r="F60" s="2468"/>
      <c r="G60" s="2468"/>
      <c r="H60" s="2476"/>
      <c r="I60" s="136"/>
      <c r="J60" s="3214"/>
      <c r="K60" s="3212"/>
      <c r="L60" s="2469" t="s">
        <v>2218</v>
      </c>
      <c r="M60" s="1745"/>
      <c r="N60" s="2471" t="str">
        <f ca="1">NUMBERSTRING(INT(N59*10000),2)&amp;"元整"</f>
        <v>壹亿肆仟伍佰陆拾陆万元整</v>
      </c>
      <c r="O60" s="2472"/>
    </row>
    <row r="61" spans="1:35" ht="13.5" hidden="1" thickBot="1">
      <c r="A61" s="3159" t="s">
        <v>2222</v>
      </c>
      <c r="B61" s="3159"/>
      <c r="C61" s="3159"/>
      <c r="D61" s="3159"/>
      <c r="E61" s="3159"/>
      <c r="F61" s="2468"/>
      <c r="G61" s="2468"/>
      <c r="H61" s="2476"/>
      <c r="I61" s="136"/>
      <c r="J61" s="1796">
        <f>J59+1</f>
        <v>6</v>
      </c>
      <c r="K61" s="3212" t="s">
        <v>2223</v>
      </c>
      <c r="L61" s="3212"/>
      <c r="M61" s="1748"/>
      <c r="N61" s="1749">
        <f ca="1">ROUND(N59*10000/'数据-汇总表'!E3,0)</f>
        <v>2184</v>
      </c>
      <c r="O61" s="2477"/>
    </row>
    <row r="62" spans="1:35" ht="12.75" hidden="1">
      <c r="A62" s="3175" t="s">
        <v>2224</v>
      </c>
      <c r="B62" s="3176"/>
      <c r="C62" s="1788"/>
      <c r="D62" s="1788" t="s">
        <v>2225</v>
      </c>
      <c r="E62" s="190" t="s">
        <v>2226</v>
      </c>
      <c r="F62" s="2468"/>
      <c r="G62" s="2468"/>
      <c r="H62" s="2476"/>
      <c r="I62" s="136"/>
    </row>
    <row r="63" spans="1:35" ht="12.75" hidden="1">
      <c r="A63" s="201" t="s">
        <v>775</v>
      </c>
      <c r="B63" s="191" t="s">
        <v>2227</v>
      </c>
      <c r="C63" s="192">
        <f ca="1">ROUND((C64+C65)/(1+'数据-取费表'!C42),0)</f>
        <v>26580</v>
      </c>
      <c r="D63" s="193"/>
      <c r="E63" s="194"/>
      <c r="F63" s="2468"/>
      <c r="G63" s="2468"/>
      <c r="H63" s="2476"/>
      <c r="I63" s="136"/>
      <c r="J63" s="3237" t="s">
        <v>2228</v>
      </c>
      <c r="K63" s="2478" t="s">
        <v>2229</v>
      </c>
      <c r="L63" s="1736">
        <f ca="1">IF(M49&gt;10000,M49*0.5%,IF(AND(M49&gt;1000,M49&lt;=10000),M49*1%,IF(AND(M49&gt;100,M49&lt;=1000),M49*3%,IF(AND(M49&gt;10,M49&lt;=100),M49*5%,M49*8%))))</f>
        <v>139.54500000000002</v>
      </c>
      <c r="M63" s="23">
        <f ca="1">ROUND(L63,1)</f>
        <v>139.5</v>
      </c>
      <c r="Z63" s="2402"/>
      <c r="AI63" s="2403"/>
    </row>
    <row r="64" spans="1:35" ht="14.25" hidden="1" customHeight="1">
      <c r="A64" s="195" t="s">
        <v>770</v>
      </c>
      <c r="B64" s="196" t="s">
        <v>2230</v>
      </c>
      <c r="C64" s="197">
        <f ca="1">D45</f>
        <v>27909</v>
      </c>
      <c r="D64" s="198" t="s">
        <v>32</v>
      </c>
      <c r="E64" s="199"/>
      <c r="F64" s="2468"/>
      <c r="G64" s="2468"/>
      <c r="H64" s="2476"/>
      <c r="I64" s="136"/>
      <c r="J64" s="3237"/>
      <c r="K64" s="2478" t="s">
        <v>2231</v>
      </c>
      <c r="L64" s="1736">
        <f ca="1">IF(M49&gt;2000,M49*0.5%,IF(AND(M49&gt;1000,M49&lt;=2000),M49*0.6%,IF(AND(M49&gt;500,M49&lt;=1000),M49*0.7%,IF(AND(M49&gt;200,M49&lt;=500),M49*0.8%,IF(AND(M49&gt;100,M49&lt;=200),M49*0.9%,IF(AND(M49&gt;50,M49&lt;=100),M49*1%,IF(AND(M49&gt;20,M49&lt;=50),M49*1.5%,IF(AND(M49&gt;10,M49&lt;=20),M49*2%,IF(AND(M49&gt;1,M49&lt;=10),M49*2.5%)))))))))</f>
        <v>139.54500000000002</v>
      </c>
      <c r="M64" s="23">
        <f t="shared" ref="M64:M65" ca="1" si="1">ROUND(L64,1)</f>
        <v>139.5</v>
      </c>
      <c r="N64" s="136" t="s">
        <v>2232</v>
      </c>
      <c r="Z64" s="2402"/>
      <c r="AI64" s="2403"/>
    </row>
    <row r="65" spans="1:35" ht="14.25" hidden="1" customHeight="1">
      <c r="A65" s="195" t="s">
        <v>771</v>
      </c>
      <c r="B65" s="196" t="s">
        <v>2233</v>
      </c>
      <c r="C65" s="200"/>
      <c r="D65" s="198"/>
      <c r="E65" s="199"/>
      <c r="F65" s="2468"/>
      <c r="G65" s="2468"/>
      <c r="H65" s="2476"/>
      <c r="I65" s="136"/>
      <c r="J65" s="3237"/>
      <c r="K65" s="2478" t="s">
        <v>2234</v>
      </c>
      <c r="L65" s="1736">
        <f ca="1">IF(M49&gt;1000,M49*0.1%,IF(AND(M49&gt;500,M49&lt;=1000),M49*0.5%,IF(AND(M49&gt;50,M49&lt;=500),M49*1%,IF(AND(M49&gt;1,M49&lt;=50),M49*1.5%))))</f>
        <v>27.908999999999999</v>
      </c>
      <c r="M65" s="23">
        <f t="shared" ca="1" si="1"/>
        <v>27.9</v>
      </c>
      <c r="N65" s="136" t="s">
        <v>2232</v>
      </c>
      <c r="Z65" s="2402"/>
      <c r="AI65" s="2403"/>
    </row>
    <row r="66" spans="1:35" ht="14.25" hidden="1" customHeight="1">
      <c r="A66" s="201" t="s">
        <v>772</v>
      </c>
      <c r="B66" s="202" t="s">
        <v>2235</v>
      </c>
      <c r="C66" s="203"/>
      <c r="D66" s="204" t="s">
        <v>32</v>
      </c>
      <c r="E66" s="1760" t="s">
        <v>1367</v>
      </c>
      <c r="F66" s="2468"/>
      <c r="G66" s="2468"/>
      <c r="H66" s="2476"/>
      <c r="I66" s="136"/>
      <c r="J66" s="3237"/>
      <c r="K66" s="2478" t="s">
        <v>2236</v>
      </c>
      <c r="L66" s="1736">
        <f ca="1">M49*0.5%</f>
        <v>139.54500000000002</v>
      </c>
      <c r="M66" s="23">
        <f ca="1">IF(L66&gt;0.5,0.5,ROUND(L66,0))</f>
        <v>0.5</v>
      </c>
      <c r="N66" s="136" t="s">
        <v>2237</v>
      </c>
      <c r="Z66" s="2402"/>
      <c r="AI66" s="2403"/>
    </row>
    <row r="67" spans="1:35" ht="14.25" hidden="1" customHeight="1">
      <c r="A67" s="201" t="s">
        <v>773</v>
      </c>
      <c r="B67" s="202" t="s">
        <v>2238</v>
      </c>
      <c r="C67" s="205">
        <f ca="1">C63-C66</f>
        <v>26580</v>
      </c>
      <c r="D67" s="198" t="s">
        <v>32</v>
      </c>
      <c r="E67" s="199"/>
      <c r="F67" s="2468"/>
      <c r="G67" s="2468"/>
      <c r="H67" s="2476"/>
      <c r="I67" s="136"/>
      <c r="J67" s="3237"/>
      <c r="K67" s="2478" t="s">
        <v>2239</v>
      </c>
      <c r="L67" s="1736">
        <f ca="1">IF(M49&gt;=10000,(8.25+(M49-10000)*0.01%),IF(AND(M49&gt;=8000,M49&lt;10000),(7.85+(M49-8000)*0.02%),IF(AND(M49&gt;=5000,M49&lt;8000),(6.65+(M49-5000)*0.04%),IF(AND(M49&gt;=2000,M49&lt;5000),(4.25+(PM49-2000)*0.08%),IF(AND(M49&gt;=1000,M49&lt;2000),(2.75+(M49-1000)*0.15%),IF(AND(M49&gt;=100,M49&lt;1000),(0.5+(M49-100)*0.25%),IF(AND(M49&gt;0,M49&lt;100),M49*0.5%)))))))</f>
        <v>10.040900000000001</v>
      </c>
      <c r="M67" s="23">
        <f ca="1">ROUND(L67*0.9,1)</f>
        <v>9</v>
      </c>
      <c r="Z67" s="2402"/>
      <c r="AI67" s="2403"/>
    </row>
    <row r="68" spans="1:35" ht="14.25" hidden="1" customHeight="1" thickBot="1">
      <c r="A68" s="206" t="s">
        <v>774</v>
      </c>
      <c r="B68" s="207" t="s">
        <v>2240</v>
      </c>
      <c r="C68" s="208">
        <f ca="1">IF(C67&lt;=0,0,ROUND(C67*D68,0))</f>
        <v>1488</v>
      </c>
      <c r="D68" s="209">
        <f>'数据-取费表'!B41</f>
        <v>5.6000000000000001E-2</v>
      </c>
      <c r="E68" s="210"/>
      <c r="F68" s="2468"/>
      <c r="G68" s="2468"/>
      <c r="H68" s="2476"/>
      <c r="I68" s="136"/>
      <c r="J68" s="3237"/>
      <c r="K68" s="2478" t="s">
        <v>2241</v>
      </c>
      <c r="L68" s="1736">
        <f ca="1">IF(M49&gt;10000,M49*0.5%,IF(AND(M49&gt;5000,M49&lt;=10000),M49*1%,IF(AND(M49&gt;1000,M49&lt;=5000),M49*2%,IF(AND(M49&gt;200,M49&lt;=1000),M49*3%,M49*5%))))</f>
        <v>139.54500000000002</v>
      </c>
      <c r="M68" s="23">
        <f ca="1">ROUND(L68,1)</f>
        <v>139.5</v>
      </c>
      <c r="Z68" s="2402"/>
      <c r="AI68" s="2403"/>
    </row>
    <row r="69" spans="1:35" s="2425" customFormat="1" ht="16.5" hidden="1" customHeight="1">
      <c r="A69" s="2479"/>
      <c r="B69" s="2480"/>
      <c r="C69" s="2481"/>
      <c r="D69" s="2482"/>
      <c r="E69" s="2483"/>
      <c r="F69" s="2147"/>
      <c r="G69" s="2147"/>
      <c r="H69" s="2146"/>
      <c r="I69" s="2397"/>
      <c r="J69" s="3237"/>
      <c r="K69" s="2478" t="s">
        <v>2242</v>
      </c>
      <c r="L69" s="2484"/>
      <c r="M69" s="23">
        <f ca="1">ROUND(SUM(M63:M68),0)</f>
        <v>456</v>
      </c>
      <c r="N69" s="1737">
        <f ca="1">M69/M49</f>
        <v>1.6338815435880897E-2</v>
      </c>
      <c r="O69" s="792"/>
      <c r="P69" s="792"/>
      <c r="Q69" s="792"/>
      <c r="R69" s="792"/>
      <c r="S69" s="792"/>
      <c r="T69" s="792"/>
      <c r="U69" s="792"/>
      <c r="V69" s="792"/>
      <c r="W69" s="792"/>
      <c r="X69" s="792"/>
      <c r="Y69" s="792"/>
      <c r="Z69" s="2402"/>
      <c r="AA69" s="2402"/>
      <c r="AB69" s="2402"/>
      <c r="AC69" s="2402"/>
      <c r="AD69" s="2402"/>
      <c r="AE69" s="2402"/>
      <c r="AF69" s="2402"/>
      <c r="AG69" s="2402"/>
      <c r="AH69" s="2402"/>
    </row>
    <row r="70" spans="1:35" s="2486" customFormat="1" ht="15" hidden="1" thickBot="1">
      <c r="A70" s="3196" t="s">
        <v>2243</v>
      </c>
      <c r="B70" s="3197"/>
      <c r="C70" s="3197"/>
      <c r="D70" s="3197"/>
      <c r="E70" s="3197"/>
      <c r="F70" s="3197"/>
      <c r="G70" s="3197"/>
      <c r="H70" s="3197"/>
      <c r="I70" s="2485"/>
      <c r="N70" s="2487"/>
      <c r="O70" s="2487"/>
      <c r="P70" s="2487"/>
      <c r="Q70" s="2487"/>
      <c r="R70" s="2487"/>
      <c r="S70" s="2487"/>
      <c r="T70" s="2487"/>
      <c r="U70" s="2487"/>
      <c r="V70" s="2487"/>
      <c r="W70" s="2487"/>
      <c r="X70" s="2487"/>
      <c r="Y70" s="2487"/>
      <c r="Z70" s="2487"/>
      <c r="AA70" s="2488"/>
      <c r="AB70" s="2488"/>
      <c r="AC70" s="2488"/>
      <c r="AD70" s="2488"/>
      <c r="AE70" s="2488"/>
      <c r="AF70" s="2488"/>
      <c r="AG70" s="2488"/>
      <c r="AH70" s="2488"/>
      <c r="AI70" s="2488"/>
    </row>
    <row r="71" spans="1:35" s="2486" customFormat="1" ht="14.25" hidden="1">
      <c r="A71" s="3175" t="s">
        <v>2224</v>
      </c>
      <c r="B71" s="3176"/>
      <c r="C71" s="1788"/>
      <c r="D71" s="1788" t="s">
        <v>2225</v>
      </c>
      <c r="E71" s="211" t="s">
        <v>2226</v>
      </c>
      <c r="F71" s="212"/>
      <c r="G71" s="212"/>
      <c r="H71" s="213"/>
      <c r="I71" s="2489"/>
      <c r="N71" s="2487"/>
      <c r="O71" s="2487"/>
      <c r="P71" s="2487"/>
      <c r="Q71" s="2487"/>
      <c r="R71" s="2487"/>
      <c r="S71" s="2487"/>
      <c r="T71" s="2487"/>
      <c r="U71" s="2487"/>
      <c r="V71" s="2487"/>
      <c r="W71" s="2487"/>
      <c r="X71" s="2487"/>
      <c r="Y71" s="2487"/>
      <c r="Z71" s="2487"/>
      <c r="AA71" s="2488"/>
      <c r="AB71" s="2488"/>
      <c r="AC71" s="2488"/>
      <c r="AD71" s="2488"/>
      <c r="AE71" s="2488"/>
      <c r="AF71" s="2488"/>
      <c r="AG71" s="2488"/>
      <c r="AH71" s="2488"/>
      <c r="AI71" s="2488"/>
    </row>
    <row r="72" spans="1:35" s="2486" customFormat="1" ht="14.25" hidden="1">
      <c r="A72" s="201" t="s">
        <v>775</v>
      </c>
      <c r="B72" s="202" t="s">
        <v>2244</v>
      </c>
      <c r="C72" s="205">
        <f ca="1">ROUND(D45/(1+'数据-取费表'!C42),0)</f>
        <v>26580</v>
      </c>
      <c r="D72" s="198" t="s">
        <v>32</v>
      </c>
      <c r="E72" s="1787"/>
      <c r="F72" s="1781"/>
      <c r="G72" s="1781"/>
      <c r="H72" s="214"/>
      <c r="I72" s="2489"/>
      <c r="N72" s="2487"/>
      <c r="O72" s="2487"/>
      <c r="P72" s="2487"/>
      <c r="Q72" s="2487"/>
      <c r="R72" s="2487"/>
      <c r="S72" s="2487"/>
      <c r="T72" s="2487"/>
      <c r="U72" s="2487"/>
      <c r="V72" s="2487"/>
      <c r="W72" s="2487"/>
      <c r="X72" s="2487"/>
      <c r="Y72" s="2487"/>
      <c r="Z72" s="2487"/>
      <c r="AA72" s="2488"/>
      <c r="AB72" s="2488"/>
      <c r="AC72" s="2488"/>
      <c r="AD72" s="2488"/>
      <c r="AE72" s="2488"/>
      <c r="AF72" s="2488"/>
      <c r="AG72" s="2488"/>
      <c r="AH72" s="2488"/>
      <c r="AI72" s="2488"/>
    </row>
    <row r="73" spans="1:35" s="2486" customFormat="1" ht="14.25" hidden="1">
      <c r="A73" s="201" t="s">
        <v>772</v>
      </c>
      <c r="B73" s="171" t="s">
        <v>2245</v>
      </c>
      <c r="C73" s="205">
        <f ca="1">C74+C78</f>
        <v>159</v>
      </c>
      <c r="D73" s="198" t="s">
        <v>32</v>
      </c>
      <c r="E73" s="1787"/>
      <c r="F73" s="1781"/>
      <c r="G73" s="1781"/>
      <c r="H73" s="214"/>
      <c r="I73" s="2489"/>
      <c r="J73" s="2487"/>
      <c r="K73" s="2487"/>
      <c r="L73" s="2487"/>
      <c r="M73" s="2487"/>
      <c r="N73" s="2487"/>
      <c r="O73" s="2487"/>
      <c r="P73" s="2487"/>
      <c r="Q73" s="2487"/>
      <c r="R73" s="2487"/>
      <c r="S73" s="2487"/>
      <c r="T73" s="2487"/>
      <c r="U73" s="2487"/>
      <c r="V73" s="2487"/>
      <c r="W73" s="2487"/>
      <c r="X73" s="2487"/>
      <c r="Y73" s="2487"/>
      <c r="Z73" s="2487"/>
      <c r="AA73" s="2488"/>
      <c r="AB73" s="2488"/>
      <c r="AC73" s="2488"/>
      <c r="AD73" s="2488"/>
      <c r="AE73" s="2488"/>
      <c r="AF73" s="2488"/>
      <c r="AG73" s="2488"/>
      <c r="AH73" s="2488"/>
      <c r="AI73" s="2488"/>
    </row>
    <row r="74" spans="1:35" s="2486" customFormat="1" ht="24" hidden="1">
      <c r="A74" s="215" t="s">
        <v>770</v>
      </c>
      <c r="B74" s="196" t="s">
        <v>2246</v>
      </c>
      <c r="C74" s="198">
        <f>ROUND(IF(G77="2016年5月1日后购买",C75/(1+'数据-取费表'!C42)+C76+C77,C75+C76+C77),0)</f>
        <v>0</v>
      </c>
      <c r="D74" s="198" t="s">
        <v>32</v>
      </c>
      <c r="E74" s="1787"/>
      <c r="F74" s="1781"/>
      <c r="G74" s="1781"/>
      <c r="H74" s="214"/>
      <c r="I74" s="2489"/>
      <c r="J74" s="2487"/>
      <c r="K74" s="2487"/>
      <c r="L74" s="2487"/>
      <c r="M74" s="2487"/>
      <c r="N74" s="2487"/>
      <c r="O74" s="2487"/>
      <c r="P74" s="2487"/>
      <c r="Q74" s="2487"/>
      <c r="R74" s="2487"/>
      <c r="S74" s="2487"/>
      <c r="T74" s="2487"/>
      <c r="U74" s="2487"/>
      <c r="V74" s="2487"/>
      <c r="W74" s="2487"/>
      <c r="X74" s="2487"/>
      <c r="Y74" s="2487"/>
      <c r="Z74" s="2487"/>
      <c r="AA74" s="2488"/>
      <c r="AB74" s="2488"/>
      <c r="AC74" s="2488"/>
      <c r="AD74" s="2488"/>
      <c r="AE74" s="2488"/>
      <c r="AF74" s="2488"/>
      <c r="AG74" s="2488"/>
      <c r="AH74" s="2488"/>
      <c r="AI74" s="2488"/>
    </row>
    <row r="75" spans="1:35" s="2486" customFormat="1" ht="14.25" hidden="1">
      <c r="A75" s="215" t="s">
        <v>776</v>
      </c>
      <c r="B75" s="196" t="s">
        <v>2247</v>
      </c>
      <c r="C75" s="216"/>
      <c r="D75" s="198" t="s">
        <v>32</v>
      </c>
      <c r="E75" s="217" t="s">
        <v>2248</v>
      </c>
      <c r="F75" s="2490" t="s">
        <v>2249</v>
      </c>
      <c r="G75" s="217" t="s">
        <v>2250</v>
      </c>
      <c r="H75" s="218"/>
      <c r="I75" s="2491"/>
      <c r="J75" s="2487"/>
      <c r="K75" s="2487"/>
      <c r="L75" s="2487"/>
      <c r="M75" s="2487"/>
      <c r="N75" s="2487"/>
      <c r="O75" s="2487"/>
      <c r="P75" s="2487"/>
      <c r="Q75" s="2487"/>
      <c r="R75" s="2487"/>
      <c r="S75" s="2487"/>
      <c r="T75" s="2487"/>
      <c r="U75" s="2487"/>
      <c r="V75" s="2487"/>
      <c r="W75" s="2487"/>
      <c r="X75" s="2487"/>
      <c r="Y75" s="2487"/>
      <c r="Z75" s="2487"/>
      <c r="AA75" s="2488"/>
      <c r="AB75" s="2488"/>
      <c r="AC75" s="2488"/>
      <c r="AD75" s="2488"/>
      <c r="AE75" s="2488"/>
      <c r="AF75" s="2488"/>
      <c r="AG75" s="2488"/>
      <c r="AH75" s="2488"/>
      <c r="AI75" s="2488"/>
    </row>
    <row r="76" spans="1:35" s="2486" customFormat="1" ht="24.75" hidden="1" customHeight="1">
      <c r="A76" s="215" t="s">
        <v>777</v>
      </c>
      <c r="B76" s="219" t="s">
        <v>2251</v>
      </c>
      <c r="C76" s="198">
        <f>IF(F75="购房发票",ROUND(C75*H75*D76,0),0)</f>
        <v>0</v>
      </c>
      <c r="D76" s="220">
        <v>0.05</v>
      </c>
      <c r="E76" s="3170" t="s">
        <v>2252</v>
      </c>
      <c r="F76" s="3147"/>
      <c r="G76" s="3147"/>
      <c r="H76" s="3195"/>
      <c r="I76" s="2489"/>
      <c r="J76" s="2487"/>
      <c r="K76" s="2487"/>
      <c r="L76" s="2487"/>
      <c r="M76" s="2487"/>
      <c r="N76" s="2487"/>
      <c r="O76" s="2487"/>
      <c r="P76" s="2487"/>
      <c r="Q76" s="2487"/>
      <c r="R76" s="2487"/>
      <c r="S76" s="2487"/>
      <c r="T76" s="2487"/>
      <c r="U76" s="2487"/>
      <c r="V76" s="2487"/>
      <c r="W76" s="2487"/>
      <c r="X76" s="2487"/>
      <c r="Y76" s="2487"/>
      <c r="Z76" s="2487"/>
      <c r="AA76" s="2488"/>
      <c r="AB76" s="2488"/>
      <c r="AC76" s="2488"/>
      <c r="AD76" s="2488"/>
      <c r="AE76" s="2488"/>
      <c r="AF76" s="2488"/>
      <c r="AG76" s="2488"/>
      <c r="AH76" s="2488"/>
      <c r="AI76" s="2488"/>
    </row>
    <row r="77" spans="1:35" s="2486" customFormat="1" ht="24.75" hidden="1" customHeight="1">
      <c r="A77" s="215" t="s">
        <v>778</v>
      </c>
      <c r="B77" s="196" t="s">
        <v>2253</v>
      </c>
      <c r="C77" s="198">
        <f>ROUND(IF(G77="个人住宅",0,IF(G77="2016年5月1日前购买",C75*D77,C75*D77/(1+'数据-取费表'!C42))),0)</f>
        <v>0</v>
      </c>
      <c r="D77" s="221">
        <f>'数据-取费表'!B48+'数据-取费表'!B49</f>
        <v>3.0499999999999999E-2</v>
      </c>
      <c r="E77" s="14" t="s">
        <v>2254</v>
      </c>
      <c r="F77" s="222"/>
      <c r="G77" s="2492" t="s">
        <v>2255</v>
      </c>
      <c r="H77" s="1792" t="str">
        <f>IF(G77="个人买卖住房","免征印花税"," ")</f>
        <v xml:space="preserve"> </v>
      </c>
      <c r="I77" s="2489"/>
      <c r="J77" s="2487"/>
      <c r="K77" s="2487"/>
      <c r="L77" s="2487"/>
      <c r="M77" s="2487"/>
      <c r="N77" s="2487"/>
      <c r="O77" s="2487"/>
      <c r="P77" s="2487"/>
      <c r="Q77" s="2487"/>
      <c r="R77" s="2487"/>
      <c r="S77" s="2487"/>
      <c r="T77" s="2487"/>
      <c r="U77" s="2487"/>
      <c r="V77" s="2487"/>
      <c r="W77" s="2487"/>
      <c r="X77" s="2487"/>
      <c r="Y77" s="2487"/>
      <c r="Z77" s="2487"/>
      <c r="AA77" s="2488"/>
      <c r="AB77" s="2488"/>
      <c r="AC77" s="2488"/>
      <c r="AD77" s="2488"/>
      <c r="AE77" s="2488"/>
      <c r="AF77" s="2488"/>
      <c r="AG77" s="2488"/>
      <c r="AH77" s="2488"/>
      <c r="AI77" s="2488"/>
    </row>
    <row r="78" spans="1:35" s="2486" customFormat="1" ht="24.75" hidden="1" customHeight="1">
      <c r="A78" s="215" t="s">
        <v>771</v>
      </c>
      <c r="B78" s="196" t="s">
        <v>2256</v>
      </c>
      <c r="C78" s="223">
        <f ca="1">ROUND(D45*D78/(1+'数据-取费表'!C42),0)</f>
        <v>159</v>
      </c>
      <c r="D78" s="224">
        <f>'数据-取费表'!B43</f>
        <v>6.000000000000001E-3</v>
      </c>
      <c r="E78" s="3156" t="s">
        <v>2257</v>
      </c>
      <c r="F78" s="3157"/>
      <c r="G78" s="3157"/>
      <c r="H78" s="3166"/>
      <c r="I78" s="2493"/>
      <c r="J78" s="2487"/>
      <c r="K78" s="2487"/>
      <c r="L78" s="2487"/>
      <c r="M78" s="2487"/>
      <c r="N78" s="2487"/>
      <c r="O78" s="2487"/>
      <c r="P78" s="2487"/>
      <c r="Q78" s="2487"/>
      <c r="R78" s="2487"/>
      <c r="S78" s="2487"/>
      <c r="T78" s="2487"/>
      <c r="U78" s="2487"/>
      <c r="V78" s="2487"/>
      <c r="W78" s="2487"/>
      <c r="X78" s="2487"/>
      <c r="Y78" s="2487"/>
      <c r="Z78" s="2487"/>
      <c r="AA78" s="2488"/>
      <c r="AB78" s="2488"/>
      <c r="AC78" s="2488"/>
      <c r="AD78" s="2488"/>
      <c r="AE78" s="2488"/>
      <c r="AF78" s="2488"/>
      <c r="AG78" s="2488"/>
      <c r="AH78" s="2488"/>
      <c r="AI78" s="2488"/>
    </row>
    <row r="79" spans="1:35" s="2486" customFormat="1" ht="14.25" hidden="1">
      <c r="A79" s="2494" t="s">
        <v>779</v>
      </c>
      <c r="B79" s="202" t="s">
        <v>2258</v>
      </c>
      <c r="C79" s="205">
        <f ca="1">C72-C73</f>
        <v>26421</v>
      </c>
      <c r="D79" s="198" t="s">
        <v>32</v>
      </c>
      <c r="E79" s="1787"/>
      <c r="F79" s="1781"/>
      <c r="G79" s="1781"/>
      <c r="H79" s="214"/>
      <c r="I79" s="2489"/>
      <c r="J79" s="2487"/>
      <c r="K79" s="2487"/>
      <c r="L79" s="2487"/>
      <c r="M79" s="2487"/>
      <c r="N79" s="2487"/>
      <c r="O79" s="2487"/>
      <c r="P79" s="2487"/>
      <c r="Q79" s="2487"/>
      <c r="R79" s="2487"/>
      <c r="S79" s="2487"/>
      <c r="T79" s="2487"/>
      <c r="U79" s="2487"/>
      <c r="V79" s="2487"/>
      <c r="W79" s="2487"/>
      <c r="X79" s="2487"/>
      <c r="Y79" s="2487"/>
      <c r="Z79" s="2487"/>
      <c r="AA79" s="2488"/>
      <c r="AB79" s="2488"/>
      <c r="AC79" s="2488"/>
      <c r="AD79" s="2488"/>
      <c r="AE79" s="2488"/>
      <c r="AF79" s="2488"/>
      <c r="AG79" s="2488"/>
      <c r="AH79" s="2488"/>
      <c r="AI79" s="2488"/>
    </row>
    <row r="80" spans="1:35" s="2486" customFormat="1" ht="24" hidden="1">
      <c r="A80" s="2494" t="s">
        <v>780</v>
      </c>
      <c r="B80" s="202" t="s">
        <v>2259</v>
      </c>
      <c r="C80" s="225">
        <f ca="1">IF(C79&lt;=0,0,C79/C73)</f>
        <v>166.16981132075472</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14"/>
      <c r="I80" s="2489"/>
      <c r="J80" s="2487"/>
      <c r="K80" s="2487"/>
      <c r="L80" s="2487"/>
      <c r="M80" s="2487"/>
      <c r="N80" s="2487"/>
      <c r="O80" s="2487"/>
      <c r="P80" s="2487"/>
      <c r="Q80" s="2487"/>
      <c r="R80" s="2487"/>
      <c r="S80" s="2487"/>
      <c r="T80" s="2487"/>
      <c r="U80" s="2487"/>
      <c r="V80" s="2487"/>
      <c r="W80" s="2487"/>
      <c r="X80" s="2487"/>
      <c r="Y80" s="2487"/>
      <c r="Z80" s="2487"/>
      <c r="AA80" s="2488"/>
      <c r="AB80" s="2488"/>
      <c r="AC80" s="2488"/>
      <c r="AD80" s="2488"/>
      <c r="AE80" s="2488"/>
      <c r="AF80" s="2488"/>
      <c r="AG80" s="2488"/>
      <c r="AH80" s="2488"/>
      <c r="AI80" s="2488"/>
    </row>
    <row r="81" spans="1:35" s="2486" customFormat="1" ht="24.75" hidden="1" thickBot="1">
      <c r="A81" s="2495" t="s">
        <v>781</v>
      </c>
      <c r="B81" s="207" t="s">
        <v>2260</v>
      </c>
      <c r="C81" s="226">
        <f ca="1">ROUND(IF(C79&lt;=0,0,IF(C80&gt;=200%,C79*60%-C73*35%,IF(C80&gt;=100%,C79*50%-C73*15%,IF(C80&gt;=50%,C79*40%-C73*5%,IF(C80&lt;50%,C79*30%,0))))),0)</f>
        <v>15797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89"/>
      <c r="J81" s="2487"/>
      <c r="K81" s="2487"/>
      <c r="L81" s="2487"/>
      <c r="M81" s="2487"/>
      <c r="N81" s="2487"/>
      <c r="O81" s="2487"/>
      <c r="P81" s="2487"/>
      <c r="Q81" s="2487"/>
      <c r="R81" s="2487"/>
      <c r="S81" s="2487"/>
      <c r="T81" s="2487"/>
      <c r="U81" s="2487"/>
      <c r="V81" s="2487"/>
      <c r="W81" s="2487"/>
      <c r="X81" s="2487"/>
      <c r="Y81" s="2487"/>
      <c r="Z81" s="2487"/>
      <c r="AA81" s="2488"/>
      <c r="AB81" s="2488"/>
      <c r="AC81" s="2488"/>
      <c r="AD81" s="2488"/>
      <c r="AE81" s="2488"/>
      <c r="AF81" s="2488"/>
      <c r="AG81" s="2488"/>
      <c r="AH81" s="2488"/>
      <c r="AI81" s="2488"/>
    </row>
    <row r="82" spans="1:35" s="2486" customFormat="1" ht="7.5" hidden="1" customHeight="1">
      <c r="A82" s="730"/>
      <c r="B82" s="731"/>
      <c r="C82" s="7"/>
      <c r="D82" s="7"/>
      <c r="E82" s="731"/>
      <c r="F82" s="731"/>
      <c r="G82" s="731"/>
      <c r="H82" s="732"/>
      <c r="I82" s="2493"/>
      <c r="J82" s="2487"/>
      <c r="K82" s="2487"/>
      <c r="L82" s="2487"/>
      <c r="M82" s="2487"/>
      <c r="N82" s="2487"/>
      <c r="O82" s="2487"/>
      <c r="P82" s="2487"/>
      <c r="Q82" s="2487"/>
      <c r="R82" s="2487"/>
      <c r="S82" s="2487"/>
      <c r="T82" s="2487"/>
      <c r="U82" s="2487"/>
      <c r="V82" s="2487"/>
      <c r="W82" s="2487"/>
      <c r="X82" s="2487"/>
      <c r="Y82" s="2487"/>
      <c r="Z82" s="2487"/>
      <c r="AA82" s="2488"/>
      <c r="AB82" s="2488"/>
      <c r="AC82" s="2488"/>
      <c r="AD82" s="2488"/>
      <c r="AE82" s="2488"/>
      <c r="AF82" s="2488"/>
      <c r="AG82" s="2488"/>
      <c r="AH82" s="2488"/>
      <c r="AI82" s="2488"/>
    </row>
    <row r="83" spans="1:35" s="2486" customFormat="1" ht="15" hidden="1" thickBot="1">
      <c r="A83" s="3196" t="s">
        <v>2261</v>
      </c>
      <c r="B83" s="3197"/>
      <c r="C83" s="3197"/>
      <c r="D83" s="3197"/>
      <c r="E83" s="3197"/>
      <c r="F83" s="3197"/>
      <c r="G83" s="3197"/>
      <c r="H83" s="3197"/>
      <c r="I83" s="2491"/>
      <c r="J83" s="2487"/>
      <c r="K83" s="2487"/>
      <c r="L83" s="2487"/>
      <c r="M83" s="2487"/>
      <c r="N83" s="2487"/>
      <c r="O83" s="2487"/>
      <c r="P83" s="2487"/>
      <c r="Q83" s="2487"/>
      <c r="R83" s="2487"/>
      <c r="S83" s="2487"/>
      <c r="T83" s="2487"/>
      <c r="U83" s="2487"/>
      <c r="V83" s="2487"/>
      <c r="W83" s="2487"/>
      <c r="X83" s="2487"/>
      <c r="Y83" s="2487"/>
      <c r="Z83" s="2487"/>
      <c r="AA83" s="2488"/>
      <c r="AB83" s="2488"/>
      <c r="AC83" s="2488"/>
      <c r="AD83" s="2488"/>
      <c r="AE83" s="2488"/>
      <c r="AF83" s="2488"/>
      <c r="AG83" s="2488"/>
      <c r="AH83" s="2488"/>
      <c r="AI83" s="2488"/>
    </row>
    <row r="84" spans="1:35" s="2486" customFormat="1" ht="14.25" hidden="1">
      <c r="A84" s="3175" t="s">
        <v>2224</v>
      </c>
      <c r="B84" s="3176"/>
      <c r="C84" s="1788"/>
      <c r="D84" s="1788" t="s">
        <v>2225</v>
      </c>
      <c r="E84" s="211" t="s">
        <v>2226</v>
      </c>
      <c r="F84" s="212"/>
      <c r="G84" s="212"/>
      <c r="H84" s="231"/>
      <c r="I84" s="2491"/>
      <c r="J84" s="2487"/>
      <c r="K84" s="2487"/>
      <c r="L84" s="2487"/>
      <c r="M84" s="2487"/>
      <c r="N84" s="2487"/>
      <c r="O84" s="2487"/>
      <c r="P84" s="2487"/>
      <c r="Q84" s="2487"/>
      <c r="R84" s="2487"/>
      <c r="S84" s="2487"/>
      <c r="T84" s="2487"/>
      <c r="U84" s="2487"/>
      <c r="V84" s="2487"/>
      <c r="W84" s="2487"/>
      <c r="X84" s="2487"/>
      <c r="Y84" s="2487"/>
      <c r="Z84" s="2487"/>
      <c r="AA84" s="2488"/>
      <c r="AB84" s="2488"/>
      <c r="AC84" s="2488"/>
      <c r="AD84" s="2488"/>
      <c r="AE84" s="2488"/>
      <c r="AF84" s="2488"/>
      <c r="AG84" s="2488"/>
      <c r="AH84" s="2488"/>
      <c r="AI84" s="2488"/>
    </row>
    <row r="85" spans="1:35" s="2486" customFormat="1" ht="14.25" hidden="1">
      <c r="A85" s="201" t="s">
        <v>775</v>
      </c>
      <c r="B85" s="202" t="s">
        <v>2244</v>
      </c>
      <c r="C85" s="205">
        <f ca="1">ROUND(D45/(1+'数据-取费表'!C42),0)</f>
        <v>26580</v>
      </c>
      <c r="D85" s="198" t="s">
        <v>32</v>
      </c>
      <c r="E85" s="1787"/>
      <c r="F85" s="1781"/>
      <c r="G85" s="1781"/>
      <c r="H85" s="232"/>
      <c r="I85" s="2491"/>
      <c r="J85" s="2487"/>
      <c r="K85" s="2487"/>
      <c r="L85" s="2487"/>
      <c r="M85" s="2487"/>
      <c r="N85" s="2487"/>
      <c r="O85" s="2487"/>
      <c r="P85" s="2487"/>
      <c r="Q85" s="2487"/>
      <c r="R85" s="2487"/>
      <c r="S85" s="2487"/>
      <c r="T85" s="2487"/>
      <c r="U85" s="2487"/>
      <c r="V85" s="2487"/>
      <c r="W85" s="2487"/>
      <c r="X85" s="2487"/>
      <c r="Y85" s="2487"/>
      <c r="Z85" s="2487"/>
      <c r="AA85" s="2488"/>
      <c r="AB85" s="2488"/>
      <c r="AC85" s="2488"/>
      <c r="AD85" s="2488"/>
      <c r="AE85" s="2488"/>
      <c r="AF85" s="2488"/>
      <c r="AG85" s="2488"/>
      <c r="AH85" s="2488"/>
      <c r="AI85" s="2488"/>
    </row>
    <row r="86" spans="1:35" s="2486" customFormat="1" ht="14.25" hidden="1">
      <c r="A86" s="201" t="s">
        <v>772</v>
      </c>
      <c r="B86" s="171" t="s">
        <v>2245</v>
      </c>
      <c r="C86" s="205">
        <f ca="1">IF(H88="仅含出让金",C87+C90+C91+C92+C93+C94,C87+C91+C92+C93+C94)</f>
        <v>4323</v>
      </c>
      <c r="D86" s="233"/>
      <c r="E86" s="1787"/>
      <c r="F86" s="1781"/>
      <c r="G86" s="1781"/>
      <c r="H86" s="232"/>
      <c r="I86" s="2491"/>
      <c r="J86" s="2487"/>
      <c r="K86" s="2487"/>
      <c r="L86" s="2487"/>
      <c r="M86" s="2487"/>
      <c r="N86" s="2487"/>
      <c r="O86" s="2487"/>
      <c r="P86" s="2487"/>
      <c r="Q86" s="2487"/>
      <c r="R86" s="2487"/>
      <c r="S86" s="2487"/>
      <c r="T86" s="2487"/>
      <c r="U86" s="2487"/>
      <c r="V86" s="2487"/>
      <c r="W86" s="2487"/>
      <c r="X86" s="2487"/>
      <c r="Y86" s="2487"/>
      <c r="Z86" s="2487"/>
      <c r="AA86" s="2488"/>
      <c r="AB86" s="2488"/>
      <c r="AC86" s="2488"/>
      <c r="AD86" s="2488"/>
      <c r="AE86" s="2488"/>
      <c r="AF86" s="2488"/>
      <c r="AG86" s="2488"/>
      <c r="AH86" s="2488"/>
      <c r="AI86" s="2488"/>
    </row>
    <row r="87" spans="1:35" s="2486" customFormat="1" ht="14.25" hidden="1">
      <c r="A87" s="215" t="s">
        <v>770</v>
      </c>
      <c r="B87" s="196" t="s">
        <v>2262</v>
      </c>
      <c r="C87" s="223">
        <f>C88+C89</f>
        <v>3785</v>
      </c>
      <c r="D87" s="224"/>
      <c r="E87" s="1783"/>
      <c r="F87" s="1784"/>
      <c r="G87" s="1784"/>
      <c r="H87" s="1786"/>
      <c r="I87" s="2491"/>
      <c r="J87" s="2487"/>
      <c r="K87" s="2487"/>
      <c r="L87" s="2487"/>
      <c r="M87" s="2487"/>
      <c r="N87" s="2487"/>
      <c r="O87" s="2487"/>
      <c r="P87" s="2487"/>
      <c r="Q87" s="2487"/>
      <c r="R87" s="2487"/>
      <c r="S87" s="2487"/>
      <c r="T87" s="2487"/>
      <c r="U87" s="2487"/>
      <c r="V87" s="2487"/>
      <c r="W87" s="2487"/>
      <c r="X87" s="2487"/>
      <c r="Y87" s="2487"/>
      <c r="Z87" s="2487"/>
      <c r="AA87" s="2488"/>
      <c r="AB87" s="2488"/>
      <c r="AC87" s="2488"/>
      <c r="AD87" s="2488"/>
      <c r="AE87" s="2488"/>
      <c r="AF87" s="2488"/>
      <c r="AG87" s="2488"/>
      <c r="AH87" s="2488"/>
      <c r="AI87" s="2488"/>
    </row>
    <row r="88" spans="1:35" s="2486" customFormat="1" ht="14.25" hidden="1">
      <c r="A88" s="215" t="s">
        <v>776</v>
      </c>
      <c r="B88" s="196" t="s">
        <v>2263</v>
      </c>
      <c r="C88" s="234">
        <f>ROUND(M88*M90/M89,0)</f>
        <v>3673</v>
      </c>
      <c r="D88" s="224"/>
      <c r="E88" s="235" t="s">
        <v>2264</v>
      </c>
      <c r="F88" s="1784"/>
      <c r="G88" s="236" t="s">
        <v>2265</v>
      </c>
      <c r="H88" s="2496" t="s">
        <v>4704</v>
      </c>
      <c r="I88" s="2491"/>
      <c r="J88" s="2487"/>
      <c r="K88" s="2487" t="s">
        <v>4699</v>
      </c>
      <c r="L88" s="2487" t="s">
        <v>4700</v>
      </c>
      <c r="M88" s="2487">
        <v>31423.261500000001</v>
      </c>
      <c r="N88" s="2487"/>
      <c r="O88" s="2487"/>
      <c r="P88" s="2487"/>
      <c r="Q88" s="2487"/>
      <c r="R88" s="2487"/>
      <c r="S88" s="2487"/>
      <c r="T88" s="2487"/>
      <c r="U88" s="2487"/>
      <c r="V88" s="2487"/>
      <c r="W88" s="2487"/>
      <c r="X88" s="2487"/>
      <c r="Y88" s="2487"/>
      <c r="Z88" s="2487"/>
      <c r="AA88" s="2488"/>
      <c r="AB88" s="2488"/>
      <c r="AC88" s="2488"/>
      <c r="AD88" s="2488"/>
      <c r="AE88" s="2488"/>
      <c r="AF88" s="2488"/>
      <c r="AG88" s="2488"/>
      <c r="AH88" s="2488"/>
      <c r="AI88" s="2488"/>
    </row>
    <row r="89" spans="1:35" s="2486" customFormat="1" ht="14.25" hidden="1">
      <c r="A89" s="215" t="s">
        <v>777</v>
      </c>
      <c r="B89" s="196" t="s">
        <v>2253</v>
      </c>
      <c r="C89" s="223">
        <f>ROUND(C88*D89,0)</f>
        <v>112</v>
      </c>
      <c r="D89" s="224">
        <f>'数据-取费表'!B48+'数据-取费表'!B49</f>
        <v>3.0499999999999999E-2</v>
      </c>
      <c r="E89" s="235" t="s">
        <v>2266</v>
      </c>
      <c r="F89" s="1784"/>
      <c r="G89" s="1784"/>
      <c r="H89" s="1786"/>
      <c r="I89" s="2491"/>
      <c r="J89" s="2487"/>
      <c r="K89" s="2487"/>
      <c r="L89" s="2487" t="s">
        <v>4701</v>
      </c>
      <c r="M89" s="2487">
        <v>163026</v>
      </c>
      <c r="N89" s="2487"/>
      <c r="O89" s="2487"/>
      <c r="P89" s="2487"/>
      <c r="Q89" s="2487"/>
      <c r="R89" s="2487"/>
      <c r="S89" s="2487"/>
      <c r="T89" s="2487"/>
      <c r="U89" s="2487"/>
      <c r="V89" s="2487"/>
      <c r="W89" s="2487"/>
      <c r="X89" s="2487"/>
      <c r="Y89" s="2487"/>
      <c r="Z89" s="2487"/>
      <c r="AA89" s="2488"/>
      <c r="AB89" s="2488"/>
      <c r="AC89" s="2488"/>
      <c r="AD89" s="2488"/>
      <c r="AE89" s="2488"/>
      <c r="AF89" s="2488"/>
      <c r="AG89" s="2488"/>
      <c r="AH89" s="2488"/>
      <c r="AI89" s="2488"/>
    </row>
    <row r="90" spans="1:35" s="2486" customFormat="1" ht="14.25" hidden="1">
      <c r="A90" s="215" t="s">
        <v>771</v>
      </c>
      <c r="B90" s="196" t="s">
        <v>2267</v>
      </c>
      <c r="C90" s="234"/>
      <c r="D90" s="224"/>
      <c r="E90" s="235" t="str">
        <f>IF(H88="-","土地取得成本中已包含该笔费用"," ")</f>
        <v xml:space="preserve"> </v>
      </c>
      <c r="F90" s="1784"/>
      <c r="G90" s="1784"/>
      <c r="H90" s="1786"/>
      <c r="I90" s="2491"/>
      <c r="J90" s="2487"/>
      <c r="K90" s="2487"/>
      <c r="L90" s="2487" t="s">
        <v>4702</v>
      </c>
      <c r="M90" s="2487">
        <v>19053.5</v>
      </c>
      <c r="N90" s="2487"/>
      <c r="O90" s="2487"/>
      <c r="P90" s="2487"/>
      <c r="Q90" s="2487"/>
      <c r="R90" s="2487"/>
      <c r="S90" s="2487"/>
      <c r="T90" s="2487"/>
      <c r="U90" s="2487"/>
      <c r="V90" s="2487"/>
      <c r="W90" s="2487"/>
      <c r="X90" s="2487"/>
      <c r="Y90" s="2487"/>
      <c r="Z90" s="2487"/>
      <c r="AA90" s="2488"/>
      <c r="AB90" s="2488"/>
      <c r="AC90" s="2488"/>
      <c r="AD90" s="2488"/>
      <c r="AE90" s="2488"/>
      <c r="AF90" s="2488"/>
      <c r="AG90" s="2488"/>
      <c r="AH90" s="2488"/>
      <c r="AI90" s="2488"/>
    </row>
    <row r="91" spans="1:35" s="2486" customFormat="1" ht="27.75" hidden="1" customHeight="1">
      <c r="A91" s="215" t="s">
        <v>2268</v>
      </c>
      <c r="B91" s="196" t="s">
        <v>2269</v>
      </c>
      <c r="C91" s="223">
        <f ca="1">IF(H91="——",成本法!C33,I91)</f>
        <v>0</v>
      </c>
      <c r="D91" s="224"/>
      <c r="E91" s="3156" t="s">
        <v>2270</v>
      </c>
      <c r="F91" s="3157"/>
      <c r="G91" s="3157"/>
      <c r="H91" s="2497" t="s">
        <v>70</v>
      </c>
      <c r="I91" s="2498"/>
      <c r="J91" s="2487"/>
      <c r="K91" s="2487"/>
      <c r="L91" s="2487" t="s">
        <v>4703</v>
      </c>
      <c r="M91" s="2487">
        <v>66687.25</v>
      </c>
      <c r="N91" s="2487"/>
      <c r="O91" s="2487"/>
      <c r="P91" s="2487"/>
      <c r="Q91" s="2487"/>
      <c r="R91" s="2487"/>
      <c r="S91" s="2487"/>
      <c r="T91" s="2487"/>
      <c r="U91" s="2487"/>
      <c r="V91" s="2487"/>
      <c r="W91" s="2487"/>
      <c r="X91" s="2487"/>
      <c r="Y91" s="2487"/>
      <c r="Z91" s="2487"/>
      <c r="AA91" s="2488"/>
      <c r="AB91" s="2488"/>
      <c r="AC91" s="2488"/>
      <c r="AD91" s="2488"/>
      <c r="AE91" s="2488"/>
      <c r="AF91" s="2488"/>
      <c r="AG91" s="2488"/>
      <c r="AH91" s="2488"/>
      <c r="AI91" s="2488"/>
    </row>
    <row r="92" spans="1:35" s="2486" customFormat="1" ht="25.5" hidden="1" customHeight="1">
      <c r="A92" s="215" t="s">
        <v>2271</v>
      </c>
      <c r="B92" s="196" t="s">
        <v>2272</v>
      </c>
      <c r="C92" s="223">
        <f ca="1">ROUND((C87+C90+C91)*D92,0)</f>
        <v>379</v>
      </c>
      <c r="D92" s="224">
        <v>0.1</v>
      </c>
      <c r="E92" s="3156" t="s">
        <v>2273</v>
      </c>
      <c r="F92" s="3157"/>
      <c r="G92" s="3157"/>
      <c r="H92" s="3166"/>
      <c r="I92" s="2491"/>
      <c r="J92" s="2487"/>
      <c r="K92" s="2487"/>
      <c r="L92" s="2487"/>
      <c r="M92" s="2487"/>
      <c r="N92" s="2487"/>
      <c r="O92" s="2487"/>
      <c r="P92" s="2487"/>
      <c r="Q92" s="2487"/>
      <c r="R92" s="2487"/>
      <c r="S92" s="2487"/>
      <c r="T92" s="2487"/>
      <c r="U92" s="2487"/>
      <c r="V92" s="2487"/>
      <c r="W92" s="2487"/>
      <c r="X92" s="2487"/>
      <c r="Y92" s="2487"/>
      <c r="Z92" s="2487"/>
      <c r="AA92" s="2488"/>
      <c r="AB92" s="2488"/>
      <c r="AC92" s="2488"/>
      <c r="AD92" s="2488"/>
      <c r="AE92" s="2488"/>
      <c r="AF92" s="2488"/>
      <c r="AG92" s="2488"/>
      <c r="AH92" s="2488"/>
      <c r="AI92" s="2488"/>
    </row>
    <row r="93" spans="1:35" s="2486" customFormat="1" ht="25.5" hidden="1" customHeight="1">
      <c r="A93" s="215" t="s">
        <v>2274</v>
      </c>
      <c r="B93" s="196" t="s">
        <v>2256</v>
      </c>
      <c r="C93" s="223">
        <f ca="1">ROUND(D45*D93/(1+'数据-取费表'!C42),0)</f>
        <v>159</v>
      </c>
      <c r="D93" s="224">
        <f>'数据-取费表'!B43</f>
        <v>6.000000000000001E-3</v>
      </c>
      <c r="E93" s="3156" t="s">
        <v>2257</v>
      </c>
      <c r="F93" s="3157"/>
      <c r="G93" s="3157"/>
      <c r="H93" s="3166"/>
      <c r="I93" s="2491"/>
      <c r="J93" s="2487"/>
      <c r="K93" s="2487"/>
      <c r="L93" s="2487"/>
      <c r="M93" s="2487"/>
      <c r="N93" s="2487"/>
      <c r="O93" s="2487"/>
      <c r="P93" s="2487"/>
      <c r="Q93" s="2487"/>
      <c r="R93" s="2487"/>
      <c r="S93" s="2487"/>
      <c r="T93" s="2487"/>
      <c r="U93" s="2487"/>
      <c r="V93" s="2487"/>
      <c r="W93" s="2487"/>
      <c r="X93" s="2487"/>
      <c r="Y93" s="2487"/>
      <c r="Z93" s="2487"/>
      <c r="AA93" s="2488"/>
      <c r="AB93" s="2488"/>
      <c r="AC93" s="2488"/>
      <c r="AD93" s="2488"/>
      <c r="AE93" s="2488"/>
      <c r="AF93" s="2488"/>
      <c r="AG93" s="2488"/>
      <c r="AH93" s="2488"/>
      <c r="AI93" s="2488"/>
    </row>
    <row r="94" spans="1:35" s="2486" customFormat="1" ht="36.75" hidden="1" customHeight="1">
      <c r="A94" s="215" t="s">
        <v>2275</v>
      </c>
      <c r="B94" s="196" t="s">
        <v>2276</v>
      </c>
      <c r="C94" s="234">
        <f>ROUND((C90)*D94,0)</f>
        <v>0</v>
      </c>
      <c r="D94" s="224">
        <v>0.2</v>
      </c>
      <c r="E94" s="3167" t="s">
        <v>2277</v>
      </c>
      <c r="F94" s="3168"/>
      <c r="G94" s="3168"/>
      <c r="H94" s="3169"/>
      <c r="I94" s="2491"/>
      <c r="J94" s="2487"/>
      <c r="K94" s="2487"/>
      <c r="L94" s="2487"/>
      <c r="M94" s="2487"/>
      <c r="N94" s="2487"/>
      <c r="O94" s="2487"/>
      <c r="P94" s="2487"/>
      <c r="Q94" s="2487"/>
      <c r="R94" s="2487"/>
      <c r="S94" s="2487"/>
      <c r="T94" s="2487"/>
      <c r="U94" s="2487"/>
      <c r="V94" s="2487"/>
      <c r="W94" s="2487"/>
      <c r="X94" s="2487"/>
      <c r="Y94" s="2487"/>
      <c r="Z94" s="2487"/>
      <c r="AA94" s="2488"/>
      <c r="AB94" s="2488"/>
      <c r="AC94" s="2488"/>
      <c r="AD94" s="2488"/>
      <c r="AE94" s="2488"/>
      <c r="AF94" s="2488"/>
      <c r="AG94" s="2488"/>
      <c r="AH94" s="2488"/>
      <c r="AI94" s="2488"/>
    </row>
    <row r="95" spans="1:35" s="2486" customFormat="1" ht="14.25" hidden="1">
      <c r="A95" s="2494" t="s">
        <v>779</v>
      </c>
      <c r="B95" s="202" t="s">
        <v>2258</v>
      </c>
      <c r="C95" s="205">
        <f ca="1">ROUND(C85-C86,0)</f>
        <v>22257</v>
      </c>
      <c r="D95" s="198" t="s">
        <v>32</v>
      </c>
      <c r="E95" s="1787"/>
      <c r="F95" s="1781"/>
      <c r="G95" s="1781"/>
      <c r="H95" s="232"/>
      <c r="I95" s="2491"/>
      <c r="J95" s="2487"/>
      <c r="K95" s="2487"/>
      <c r="L95" s="2487"/>
      <c r="M95" s="2487"/>
      <c r="N95" s="2487"/>
      <c r="O95" s="2487"/>
      <c r="P95" s="2487"/>
      <c r="Q95" s="2487"/>
      <c r="R95" s="2487"/>
      <c r="S95" s="2487"/>
      <c r="T95" s="2487"/>
      <c r="U95" s="2487"/>
      <c r="V95" s="2487"/>
      <c r="W95" s="2487"/>
      <c r="X95" s="2487"/>
      <c r="Y95" s="2487"/>
      <c r="Z95" s="2487"/>
      <c r="AA95" s="2488"/>
      <c r="AB95" s="2488"/>
      <c r="AC95" s="2488"/>
      <c r="AD95" s="2488"/>
      <c r="AE95" s="2488"/>
      <c r="AF95" s="2488"/>
      <c r="AG95" s="2488"/>
      <c r="AH95" s="2488"/>
      <c r="AI95" s="2488"/>
    </row>
    <row r="96" spans="1:35" s="2486" customFormat="1" ht="24" hidden="1">
      <c r="A96" s="2494" t="s">
        <v>780</v>
      </c>
      <c r="B96" s="202" t="s">
        <v>2259</v>
      </c>
      <c r="C96" s="225">
        <f ca="1">IF(C95&lt;=0,0,C95/C86)</f>
        <v>5.1485079805690495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32"/>
      <c r="I96" s="2491"/>
      <c r="J96" s="2487"/>
      <c r="K96" s="2487"/>
      <c r="L96" s="2487"/>
      <c r="M96" s="2487"/>
      <c r="N96" s="2487"/>
      <c r="O96" s="2487"/>
      <c r="P96" s="2487"/>
      <c r="Q96" s="2487"/>
      <c r="R96" s="2487"/>
      <c r="S96" s="2487"/>
      <c r="T96" s="2487"/>
      <c r="U96" s="2487"/>
      <c r="V96" s="2487"/>
      <c r="W96" s="2487"/>
      <c r="X96" s="2487"/>
      <c r="Y96" s="2487"/>
      <c r="Z96" s="2487"/>
      <c r="AA96" s="2488"/>
      <c r="AB96" s="2488"/>
      <c r="AC96" s="2488"/>
      <c r="AD96" s="2488"/>
      <c r="AE96" s="2488"/>
      <c r="AF96" s="2488"/>
      <c r="AG96" s="2488"/>
      <c r="AH96" s="2488"/>
      <c r="AI96" s="2488"/>
    </row>
    <row r="97" spans="1:35" s="2486" customFormat="1" ht="24.75" hidden="1" thickBot="1">
      <c r="A97" s="2495" t="s">
        <v>781</v>
      </c>
      <c r="B97" s="207" t="s">
        <v>2260</v>
      </c>
      <c r="C97" s="226">
        <f ca="1">ROUND(IF(C95&lt;=0,0,IF(C96&gt;=200%,C95*60%-C86*35%,IF(C96&gt;=100%,C95*50%-C86*15%,IF(C96&gt;=50%,C95*40%-C86*5%,IF(C96&lt;50%,C95*30%,0))))),0)</f>
        <v>11841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1"/>
      <c r="J97" s="2487"/>
      <c r="K97" s="2487"/>
      <c r="L97" s="2487"/>
      <c r="M97" s="2487"/>
      <c r="N97" s="2487"/>
      <c r="O97" s="2487"/>
      <c r="P97" s="2487"/>
      <c r="Q97" s="2487"/>
      <c r="R97" s="2487"/>
      <c r="S97" s="2487"/>
      <c r="T97" s="2487"/>
      <c r="U97" s="2487"/>
      <c r="V97" s="2487"/>
      <c r="W97" s="2487"/>
      <c r="X97" s="2487"/>
      <c r="Y97" s="2487"/>
      <c r="Z97" s="2487"/>
      <c r="AA97" s="2488"/>
      <c r="AB97" s="2488"/>
      <c r="AC97" s="2488"/>
      <c r="AD97" s="2488"/>
      <c r="AE97" s="2488"/>
      <c r="AF97" s="2488"/>
      <c r="AG97" s="2488"/>
      <c r="AH97" s="2488"/>
      <c r="AI97" s="2488"/>
    </row>
    <row r="98" spans="1:35" ht="33" hidden="1" customHeight="1">
      <c r="A98" s="2475"/>
      <c r="B98" s="2397"/>
      <c r="C98" s="2397"/>
      <c r="D98" s="2397"/>
      <c r="E98" s="2147"/>
      <c r="F98" s="2147"/>
      <c r="G98" s="2147"/>
      <c r="H98" s="2146"/>
      <c r="I98" s="136"/>
    </row>
    <row r="99" spans="1:35" ht="21.75" customHeight="1" thickBot="1">
      <c r="A99" s="2453" t="s">
        <v>2278</v>
      </c>
      <c r="B99" s="2397"/>
      <c r="C99" s="2397"/>
      <c r="D99" s="2397"/>
      <c r="E99" s="2147"/>
      <c r="F99" s="2147"/>
      <c r="G99" s="2147"/>
      <c r="H99" s="2146"/>
      <c r="I99" s="136"/>
    </row>
    <row r="100" spans="1:35" ht="18.75" customHeight="1">
      <c r="A100" s="3141" t="s">
        <v>2279</v>
      </c>
      <c r="B100" s="3142"/>
      <c r="C100" s="3142"/>
      <c r="D100" s="3158"/>
      <c r="E100" s="3142" t="s">
        <v>2280</v>
      </c>
      <c r="F100" s="3142"/>
      <c r="G100" s="3142"/>
      <c r="H100" s="3158"/>
      <c r="I100" s="136"/>
    </row>
    <row r="101" spans="1:35" ht="18.75" customHeight="1">
      <c r="A101" s="3220" t="s">
        <v>2281</v>
      </c>
      <c r="B101" s="3221"/>
      <c r="C101" s="733" t="str">
        <f>C4</f>
        <v>土地比较法-住宅、综合</v>
      </c>
      <c r="D101" s="734" t="str">
        <f>D4</f>
        <v>假设开发法</v>
      </c>
      <c r="E101" s="3234" t="s">
        <v>2282</v>
      </c>
      <c r="F101" s="3188"/>
      <c r="G101" s="2499" t="s">
        <v>2283</v>
      </c>
      <c r="H101" s="1034">
        <f ca="1">H118</f>
        <v>27909</v>
      </c>
      <c r="I101" s="136"/>
    </row>
    <row r="102" spans="1:35" ht="18.75" customHeight="1">
      <c r="A102" s="3190" t="s">
        <v>2284</v>
      </c>
      <c r="B102" s="2499" t="s">
        <v>2283</v>
      </c>
      <c r="C102" s="733">
        <f ca="1">C19</f>
        <v>19659</v>
      </c>
      <c r="D102" s="734">
        <f ca="1">D19</f>
        <v>40522</v>
      </c>
      <c r="E102" s="3234"/>
      <c r="F102" s="3188"/>
      <c r="G102" s="2499" t="s">
        <v>2285</v>
      </c>
      <c r="H102" s="369">
        <f ca="1">I118</f>
        <v>4185</v>
      </c>
      <c r="I102" s="136"/>
    </row>
    <row r="103" spans="1:35" ht="42.75" customHeight="1">
      <c r="A103" s="3190"/>
      <c r="B103" s="2499" t="s">
        <v>2285</v>
      </c>
      <c r="C103" s="735">
        <f ca="1">C20</f>
        <v>2948</v>
      </c>
      <c r="D103" s="736">
        <f ca="1">D20</f>
        <v>6076</v>
      </c>
      <c r="E103" s="3229" t="s">
        <v>2286</v>
      </c>
      <c r="F103" s="3230"/>
      <c r="G103" s="2500" t="s">
        <v>2287</v>
      </c>
      <c r="H103" s="1034">
        <f>IF(D36="正常操作",H104+H105+H106,H105+H106)</f>
        <v>0</v>
      </c>
      <c r="I103" s="136"/>
    </row>
    <row r="104" spans="1:35" ht="18.75" customHeight="1">
      <c r="A104" s="3190" t="s">
        <v>2288</v>
      </c>
      <c r="B104" s="2501" t="s">
        <v>2283</v>
      </c>
      <c r="C104" s="737">
        <f ca="1">H118</f>
        <v>27909</v>
      </c>
      <c r="D104" s="738"/>
      <c r="E104" s="2247" t="s">
        <v>2289</v>
      </c>
      <c r="F104" s="2239"/>
      <c r="G104" s="2500" t="s">
        <v>2287</v>
      </c>
      <c r="H104" s="1035">
        <f>IF(D36="同一抵押权人同一抵押物续贷",C36&amp;"（未扣减，详见特别提示）",C36)</f>
        <v>0</v>
      </c>
      <c r="I104" s="136"/>
    </row>
    <row r="105" spans="1:35" ht="18.75" customHeight="1" thickBot="1">
      <c r="A105" s="3191"/>
      <c r="B105" s="2502" t="s">
        <v>2285</v>
      </c>
      <c r="C105" s="739">
        <f ca="1">I118</f>
        <v>4185</v>
      </c>
      <c r="D105" s="740"/>
      <c r="E105" s="2247" t="s">
        <v>2290</v>
      </c>
      <c r="F105" s="2239"/>
      <c r="G105" s="2500" t="s">
        <v>2287</v>
      </c>
      <c r="H105" s="1035">
        <f>C37</f>
        <v>0</v>
      </c>
      <c r="I105" s="136"/>
    </row>
    <row r="106" spans="1:35" ht="18.75" customHeight="1">
      <c r="A106" s="2397" t="s">
        <v>2291</v>
      </c>
      <c r="B106" s="2397"/>
      <c r="C106" s="2397"/>
      <c r="D106" s="2397"/>
      <c r="E106" s="2503" t="s">
        <v>2292</v>
      </c>
      <c r="F106" s="2239"/>
      <c r="G106" s="2500" t="s">
        <v>2287</v>
      </c>
      <c r="H106" s="1035">
        <f>C38</f>
        <v>0</v>
      </c>
      <c r="I106" s="136"/>
    </row>
    <row r="107" spans="1:35" ht="18.75" customHeight="1">
      <c r="A107" s="136"/>
      <c r="B107" s="136"/>
      <c r="C107" s="136"/>
      <c r="D107" s="136"/>
      <c r="E107" s="3187" t="str">
        <f>IF(项目基本情况!E8="已注销","——","3.房地产抵押价值")</f>
        <v>3.房地产抵押价值</v>
      </c>
      <c r="F107" s="3188"/>
      <c r="G107" s="2499" t="s">
        <v>2283</v>
      </c>
      <c r="H107" s="1034">
        <f ca="1">IF(E107="——","——",H101-H103)</f>
        <v>27909</v>
      </c>
      <c r="I107" s="136"/>
    </row>
    <row r="108" spans="1:35" ht="18.75" customHeight="1">
      <c r="A108" s="136"/>
      <c r="B108" s="136"/>
      <c r="C108" s="136"/>
      <c r="D108" s="136"/>
      <c r="E108" s="3187"/>
      <c r="F108" s="3188"/>
      <c r="G108" s="2499" t="s">
        <v>2285</v>
      </c>
      <c r="H108" s="369">
        <f ca="1">ROUND(H107*10000/'数据-汇总表'!E3,0)</f>
        <v>4185</v>
      </c>
      <c r="I108" s="136"/>
    </row>
    <row r="109" spans="1:35" ht="18.75" customHeight="1">
      <c r="A109" s="136"/>
      <c r="B109" s="136"/>
      <c r="C109" s="136"/>
      <c r="D109" s="136"/>
      <c r="E109" s="3187" t="str">
        <f>IF(项目基本情况!E8="已注销及未注销","4.抵押担保权已注销时的房地产抵押价值",IF(项目基本情况!E8="已注销","3.抵押担保权已注销时的房地产抵押价值","——"))</f>
        <v>——</v>
      </c>
      <c r="F109" s="3188"/>
      <c r="G109" s="2499" t="s">
        <v>2283</v>
      </c>
      <c r="H109" s="346" t="str">
        <f>IF(E109="——","——",H101-H105-H106)</f>
        <v>——</v>
      </c>
      <c r="I109" s="136"/>
    </row>
    <row r="110" spans="1:35" ht="18.75" customHeight="1">
      <c r="A110" s="136"/>
      <c r="B110" s="136"/>
      <c r="C110" s="136"/>
      <c r="D110" s="136"/>
      <c r="E110" s="3187"/>
      <c r="F110" s="3188"/>
      <c r="G110" s="2499" t="s">
        <v>2285</v>
      </c>
      <c r="H110" s="369" t="str">
        <f>IF(H109="——","——",ROUND(H109*10000/'数据-汇总表'!E3,0))</f>
        <v>——</v>
      </c>
      <c r="I110" s="136"/>
    </row>
    <row r="111" spans="1:35" ht="18.75" customHeight="1">
      <c r="A111" s="136"/>
      <c r="B111" s="136"/>
      <c r="C111" s="136"/>
      <c r="D111" s="136"/>
      <c r="E111" s="3222" t="str">
        <f>IF(项目基本情况!E9="抵押净值",IF(OR(项目基本情况!E8="已注销",项目基本情况!E8="房地产抵押价值"),"4.抵押净值","5.抵押净值"),"——")</f>
        <v>——</v>
      </c>
      <c r="F111" s="3223"/>
      <c r="G111" s="2499" t="s">
        <v>2283</v>
      </c>
      <c r="H111" s="1034" t="str">
        <f>IF(E111="——","——",N59)</f>
        <v>——</v>
      </c>
      <c r="I111" s="136"/>
    </row>
    <row r="112" spans="1:35" ht="18.75" customHeight="1" thickBot="1">
      <c r="A112" s="136"/>
      <c r="B112" s="136"/>
      <c r="C112" s="136"/>
      <c r="D112" s="136"/>
      <c r="E112" s="3224"/>
      <c r="F112" s="3225"/>
      <c r="G112" s="2504" t="s">
        <v>2285</v>
      </c>
      <c r="H112" s="787" t="str">
        <f>IF(E111="——","——",N61)</f>
        <v>——</v>
      </c>
      <c r="I112" s="136"/>
    </row>
    <row r="113" spans="1:11" ht="18.75" customHeight="1">
      <c r="A113" s="136"/>
      <c r="B113" s="136"/>
      <c r="C113" s="136"/>
      <c r="D113" s="136"/>
      <c r="E113" s="3192" t="s">
        <v>2291</v>
      </c>
      <c r="F113" s="3192"/>
      <c r="G113" s="3192"/>
      <c r="H113" s="3192"/>
      <c r="I113" s="136"/>
    </row>
    <row r="114" spans="1:11" ht="3.75" customHeight="1">
      <c r="A114" s="2397"/>
      <c r="B114" s="2397"/>
      <c r="C114" s="2397"/>
      <c r="D114" s="2397"/>
      <c r="E114" s="2475"/>
      <c r="F114" s="2475"/>
      <c r="G114" s="2475"/>
      <c r="H114" s="2475"/>
      <c r="I114" s="2397"/>
    </row>
    <row r="115" spans="1:11" ht="18.75" customHeight="1">
      <c r="A115" s="3205" t="s">
        <v>2293</v>
      </c>
      <c r="B115" s="3206"/>
      <c r="C115" s="3206"/>
      <c r="D115" s="3206"/>
      <c r="E115" s="3206"/>
      <c r="F115" s="3206"/>
      <c r="G115" s="3206"/>
      <c r="H115" s="3206"/>
      <c r="I115" s="3207"/>
    </row>
    <row r="116" spans="1:11" ht="27" customHeight="1">
      <c r="A116" s="3098" t="s">
        <v>2294</v>
      </c>
      <c r="B116" s="3193" t="s">
        <v>2295</v>
      </c>
      <c r="C116" s="3193" t="s">
        <v>2296</v>
      </c>
      <c r="D116" s="3209" t="s">
        <v>2297</v>
      </c>
      <c r="E116" s="3210"/>
      <c r="F116" s="3201" t="s">
        <v>2298</v>
      </c>
      <c r="G116" s="3201"/>
      <c r="H116" s="3098" t="s">
        <v>2299</v>
      </c>
      <c r="I116" s="3098"/>
    </row>
    <row r="117" spans="1:11" ht="18.75" customHeight="1">
      <c r="A117" s="3098"/>
      <c r="B117" s="3194"/>
      <c r="C117" s="3194"/>
      <c r="D117" s="1782" t="s">
        <v>2300</v>
      </c>
      <c r="E117" s="1782" t="s">
        <v>2301</v>
      </c>
      <c r="F117" s="1782" t="s">
        <v>2300</v>
      </c>
      <c r="G117" s="1782" t="s">
        <v>2302</v>
      </c>
      <c r="H117" s="1782" t="s">
        <v>2300</v>
      </c>
      <c r="I117" s="1782" t="s">
        <v>2302</v>
      </c>
    </row>
    <row r="118" spans="1:11" ht="24.75" customHeight="1">
      <c r="A118" s="2505" t="str">
        <f>项目基本情况!S2</f>
        <v>贵州省贵阳市花溪区贵筑社区尖山村、马洞村出让国有建设用地使用权</v>
      </c>
      <c r="B118" s="1782">
        <f>M18</f>
        <v>66687.25</v>
      </c>
      <c r="C118" s="1782">
        <f>M19</f>
        <v>19053.5</v>
      </c>
      <c r="D118" s="1782">
        <f ca="1">ROUND(IF(D32="总价",C34,E118*B118/10000),0)</f>
        <v>27909</v>
      </c>
      <c r="E118" s="1782">
        <f ca="1">ROUND(IF(C33="自定义",IF(D32="楼面单价",C34,D118*10000/B118),I118-G118),0)</f>
        <v>4185</v>
      </c>
      <c r="F118" s="1782">
        <f ca="1">ROUND(IF(D32="总价",C35,G118*B118/10000),0)</f>
        <v>0</v>
      </c>
      <c r="G118" s="1782">
        <f ca="1">ROUND(IF(D32="楼面单价",C35,F118*10000/B118),0)</f>
        <v>0</v>
      </c>
      <c r="H118" s="1782">
        <f ca="1">ROUND(IF(D32="总价",C32,I118*B118/10000),0)</f>
        <v>27909</v>
      </c>
      <c r="I118" s="1782">
        <f ca="1">ROUND(IF(D32="楼面单价",C32,H118*10000/B118),0)</f>
        <v>4185</v>
      </c>
    </row>
    <row r="119" spans="1:11" ht="18.75" customHeight="1">
      <c r="A119" s="3098" t="s">
        <v>2303</v>
      </c>
      <c r="B119" s="3098"/>
      <c r="C119" s="3098"/>
      <c r="D119" s="3198" t="str">
        <f ca="1">NUMBERSTRING(INT(D118*10000),2)&amp;"元整"</f>
        <v>贰亿柒仟玖佰零玖万元整</v>
      </c>
      <c r="E119" s="3200"/>
      <c r="F119" s="3198" t="str">
        <f ca="1">NUMBERSTRING(INT(F118*10000),2)&amp;"元整"</f>
        <v>零元整</v>
      </c>
      <c r="G119" s="3200"/>
      <c r="H119" s="3198" t="str">
        <f ca="1">NUMBERSTRING(INT(H118*10000),2)&amp;"元整"</f>
        <v>贰亿柒仟玖佰零玖万元整</v>
      </c>
      <c r="I119" s="3200"/>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2402" t="str">
        <f>IF(D120=0,"故，本次评估不存在"&amp;A120,"故，本次评估"&amp;A120&amp;"为人民币"&amp;D120&amp;"万元整。")</f>
        <v>故，本次评估不存在估价师知悉的法定优先受偿款</v>
      </c>
    </row>
    <row r="121" spans="1:11" ht="18.75" customHeight="1">
      <c r="A121" s="3202" t="s">
        <v>2303</v>
      </c>
      <c r="B121" s="3203"/>
      <c r="C121" s="3204"/>
      <c r="D121" s="3198" t="str">
        <f>IF(D120=0,"零元整",NUMBERSTRING(INT(D120*10000),2)&amp;"元整")</f>
        <v>零元整</v>
      </c>
      <c r="E121" s="3199"/>
      <c r="F121" s="3199"/>
      <c r="G121" s="3199"/>
      <c r="H121" s="3199"/>
      <c r="I121" s="3200"/>
    </row>
    <row r="122" spans="1:11" ht="18.75" customHeight="1">
      <c r="A122" s="3189" t="str">
        <f>IF(项目基本情况!B9="房地产市场价值","",MID(E107,3,LEN(E107)-2))</f>
        <v>房地产抵押价值</v>
      </c>
      <c r="B122" s="3189"/>
      <c r="C122" s="3189"/>
      <c r="D122" s="3226">
        <f ca="1">H107</f>
        <v>27909</v>
      </c>
      <c r="E122" s="3227"/>
      <c r="F122" s="3227"/>
      <c r="G122" s="3227"/>
      <c r="H122" s="3227"/>
      <c r="I122" s="3228"/>
    </row>
    <row r="123" spans="1:11" ht="18.75" customHeight="1">
      <c r="A123" s="3098" t="s">
        <v>2303</v>
      </c>
      <c r="B123" s="3098"/>
      <c r="C123" s="3098"/>
      <c r="D123" s="3198" t="str">
        <f ca="1">NUMBERSTRING(INT(D122*10000),2)&amp;"元整"</f>
        <v>贰亿柒仟玖佰零玖万元整</v>
      </c>
      <c r="E123" s="3199"/>
      <c r="F123" s="3199"/>
      <c r="G123" s="3199"/>
      <c r="H123" s="3199"/>
      <c r="I123" s="3200"/>
    </row>
    <row r="124" spans="1:11" ht="18.75" customHeight="1">
      <c r="A124" s="3189" t="str">
        <f>IF(项目基本情况!B9="房地产市场价值","",MID(E109,3,LEN(E109)-2))</f>
        <v/>
      </c>
      <c r="B124" s="3189"/>
      <c r="C124" s="3189"/>
      <c r="D124" s="3226" t="str">
        <f>H109</f>
        <v>——</v>
      </c>
      <c r="E124" s="3227"/>
      <c r="F124" s="3227"/>
      <c r="G124" s="3227"/>
      <c r="H124" s="3227"/>
      <c r="I124" s="3228"/>
    </row>
    <row r="125" spans="1:11" ht="18.75" customHeight="1">
      <c r="A125" s="3098" t="s">
        <v>2303</v>
      </c>
      <c r="B125" s="3098"/>
      <c r="C125" s="3098"/>
      <c r="D125" s="3198" t="e">
        <f>NUMBERSTRING(INT(D124*10000),2)&amp;"元整"</f>
        <v>#VALUE!</v>
      </c>
      <c r="E125" s="3199"/>
      <c r="F125" s="3199"/>
      <c r="G125" s="3199"/>
      <c r="H125" s="3199"/>
      <c r="I125" s="3200"/>
    </row>
    <row r="126" spans="1:11" ht="18.75" customHeight="1">
      <c r="A126" s="3189" t="str">
        <f>IF(项目基本情况!B9="房地产市场价值","",MID(E111,3,LEN(E111)-2))</f>
        <v/>
      </c>
      <c r="B126" s="3189"/>
      <c r="C126" s="3189"/>
      <c r="D126" s="3226" t="str">
        <f>H111</f>
        <v>——</v>
      </c>
      <c r="E126" s="3227"/>
      <c r="F126" s="3227"/>
      <c r="G126" s="3227"/>
      <c r="H126" s="3227"/>
      <c r="I126" s="3228"/>
    </row>
    <row r="127" spans="1:11" ht="18.75" customHeight="1">
      <c r="A127" s="3098" t="s">
        <v>2303</v>
      </c>
      <c r="B127" s="3098"/>
      <c r="C127" s="3098"/>
      <c r="D127" s="3198" t="e">
        <f>NUMBERSTRING(INT(D126*10000),2)&amp;"元整"</f>
        <v>#VALUE!</v>
      </c>
      <c r="E127" s="3199"/>
      <c r="F127" s="3199"/>
      <c r="G127" s="3199"/>
      <c r="H127" s="3199"/>
      <c r="I127" s="3200"/>
    </row>
    <row r="128" spans="1:11" ht="21.75" customHeight="1">
      <c r="A128" s="3208" t="s">
        <v>2304</v>
      </c>
      <c r="B128" s="3208"/>
      <c r="C128" s="3208"/>
      <c r="D128" s="3208"/>
      <c r="E128" s="3208"/>
      <c r="F128" s="3208"/>
      <c r="G128" s="3208"/>
      <c r="H128" s="3208"/>
      <c r="I128" s="3208"/>
    </row>
    <row r="129" spans="1:35" ht="21.75" customHeight="1">
      <c r="A129" s="2506" t="s">
        <v>2305</v>
      </c>
      <c r="B129" s="2507"/>
      <c r="C129" s="2508" t="s">
        <v>2306</v>
      </c>
      <c r="D129" s="2509"/>
      <c r="E129" s="2509"/>
      <c r="F129" s="2509"/>
      <c r="G129" s="2509"/>
      <c r="H129" s="2510"/>
      <c r="I129" s="2511"/>
    </row>
    <row r="130" spans="1:35" ht="21.75" customHeight="1">
      <c r="A130" s="2512">
        <v>1</v>
      </c>
      <c r="B130" s="2513"/>
      <c r="C130" s="2513"/>
      <c r="D130" s="2514"/>
      <c r="E130" s="2514"/>
      <c r="F130" s="2514"/>
      <c r="G130" s="2514"/>
      <c r="H130" s="2515"/>
      <c r="I130" s="2516"/>
    </row>
    <row r="131" spans="1:35" ht="21.75" customHeight="1">
      <c r="A131" s="2512">
        <v>2</v>
      </c>
      <c r="B131" s="2513"/>
      <c r="C131" s="2513"/>
      <c r="D131" s="2514"/>
      <c r="E131" s="2514"/>
      <c r="F131" s="2514"/>
      <c r="G131" s="2514"/>
      <c r="H131" s="2515"/>
      <c r="I131" s="2516"/>
    </row>
    <row r="132" spans="1:35" ht="21.75" customHeight="1">
      <c r="A132" s="2512">
        <v>3</v>
      </c>
      <c r="B132" s="2513"/>
      <c r="C132" s="2513"/>
      <c r="D132" s="2514"/>
      <c r="E132" s="2514"/>
      <c r="F132" s="2514"/>
      <c r="G132" s="2514"/>
      <c r="H132" s="2515"/>
      <c r="I132" s="2516"/>
    </row>
    <row r="133" spans="1:35" ht="21.75" customHeight="1">
      <c r="A133" s="2517"/>
      <c r="B133" s="2518"/>
      <c r="C133" s="2518"/>
      <c r="D133" s="2519"/>
      <c r="E133" s="2519"/>
      <c r="F133" s="2519"/>
      <c r="G133" s="2519"/>
      <c r="H133" s="2520"/>
      <c r="I133" s="2521"/>
    </row>
    <row r="134" spans="1:35" ht="21.75" customHeight="1">
      <c r="A134" s="2513"/>
      <c r="B134" s="2513"/>
      <c r="C134" s="2513"/>
      <c r="D134" s="2514"/>
      <c r="E134" s="2514"/>
      <c r="F134" s="2514"/>
      <c r="G134" s="2514"/>
      <c r="H134" s="2515"/>
      <c r="I134" s="792"/>
    </row>
    <row r="135" spans="1:35" ht="21.75" customHeight="1">
      <c r="A135" s="792"/>
      <c r="B135" s="792"/>
      <c r="C135" s="792"/>
      <c r="D135" s="792"/>
      <c r="E135" s="792"/>
      <c r="F135" s="2522" t="s">
        <v>2307</v>
      </c>
      <c r="G135" s="2523"/>
      <c r="H135" s="2523"/>
      <c r="I135" s="2524" t="s">
        <v>2308</v>
      </c>
    </row>
    <row r="136" spans="1:35" ht="21.75" customHeight="1">
      <c r="A136" s="792"/>
      <c r="B136" s="252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3"/>
      <c r="C138" s="2523"/>
      <c r="D138" s="2523"/>
      <c r="E138" s="2523"/>
      <c r="F138" s="2523"/>
      <c r="G138" s="2523"/>
      <c r="H138" s="2523"/>
      <c r="I138" s="2524" t="s">
        <v>2310</v>
      </c>
    </row>
    <row r="139" spans="1:35" ht="21.75" customHeight="1">
      <c r="A139" s="792"/>
      <c r="B139" s="2525" t="s">
        <v>2311</v>
      </c>
      <c r="C139" s="792"/>
      <c r="D139" s="792"/>
      <c r="E139" s="792"/>
      <c r="F139" s="792"/>
      <c r="G139" s="792"/>
      <c r="H139" s="792"/>
      <c r="I139" s="792"/>
    </row>
    <row r="140" spans="1:35" ht="21.75" customHeight="1">
      <c r="A140" s="792"/>
      <c r="B140" s="2525"/>
      <c r="C140" s="792"/>
      <c r="D140" s="792"/>
      <c r="E140" s="792"/>
      <c r="F140" s="792"/>
      <c r="G140" s="792"/>
      <c r="H140" s="792"/>
      <c r="I140" s="792"/>
    </row>
    <row r="141" spans="1:35" ht="21.75" customHeight="1">
      <c r="A141" s="792"/>
      <c r="B141" s="2523"/>
      <c r="C141" s="2523"/>
      <c r="D141" s="2523"/>
      <c r="E141" s="2523"/>
      <c r="F141" s="2523"/>
      <c r="G141" s="2523"/>
      <c r="H141" s="2523"/>
      <c r="I141" s="2524" t="s">
        <v>2310</v>
      </c>
    </row>
    <row r="142" spans="1:35" ht="21.75" customHeight="1">
      <c r="A142" s="792"/>
      <c r="B142" s="2525"/>
      <c r="C142" s="2526"/>
      <c r="D142" s="2527"/>
      <c r="E142" s="2527"/>
      <c r="F142" s="2321"/>
      <c r="G142" s="792"/>
      <c r="H142" s="792"/>
      <c r="I142" s="792"/>
    </row>
    <row r="143" spans="1:35" s="137" customFormat="1" ht="21.75" customHeight="1">
      <c r="A143" s="792"/>
      <c r="B143" s="2525"/>
      <c r="C143" s="2526"/>
      <c r="D143" s="2527"/>
      <c r="E143" s="2527"/>
      <c r="F143" s="232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050" t="str">
        <f>项目基本情况!B1</f>
        <v>贵州省贵阳市花溪区贵筑社区尖山村、马洞村出让国有建设用地使用权房地产抵押价值预评估</v>
      </c>
      <c r="C37" s="3050"/>
      <c r="D37" s="3050"/>
      <c r="E37" s="3050"/>
      <c r="F37" s="3050"/>
      <c r="G37" s="3050"/>
      <c r="H37" s="3050"/>
      <c r="I37" s="3050"/>
    </row>
    <row r="38" spans="1:9">
      <c r="A38" s="1006"/>
      <c r="B38" s="1006"/>
    </row>
    <row r="39" spans="1:9">
      <c r="A39" s="1004" t="s">
        <v>818</v>
      </c>
      <c r="B39" s="1004" t="s">
        <v>820</v>
      </c>
    </row>
    <row r="40" spans="1:9">
      <c r="A40" s="1004"/>
      <c r="B40" s="1928" t="str">
        <f>项目基本情况!B5</f>
        <v>贵阳恒大童梦天地旅游发展有限公司</v>
      </c>
    </row>
    <row r="41" spans="1:9">
      <c r="A41" s="1004"/>
      <c r="B41" s="1004"/>
    </row>
    <row r="42" spans="1:9">
      <c r="A42" s="1004" t="s">
        <v>818</v>
      </c>
      <c r="B42" s="1004" t="s">
        <v>821</v>
      </c>
    </row>
    <row r="43" spans="1:9">
      <c r="A43" s="1004"/>
      <c r="B43" s="1928" t="s">
        <v>822</v>
      </c>
    </row>
    <row r="44" spans="1:9">
      <c r="A44" s="1004"/>
      <c r="B44" s="1004"/>
    </row>
    <row r="45" spans="1:9">
      <c r="A45" s="1004" t="s">
        <v>818</v>
      </c>
      <c r="B45" s="1004" t="s">
        <v>823</v>
      </c>
    </row>
    <row r="46" spans="1:9" s="1004" customFormat="1" ht="12.75">
      <c r="B46" s="1928" t="str">
        <f ca="1">项目基本情况!K4</f>
        <v>王鹏（注册号：1120050019)、崔锴（注册号：1120100036)</v>
      </c>
    </row>
    <row r="47" spans="1:9">
      <c r="A47" s="1004"/>
      <c r="B47" s="1004" t="str">
        <f>项目基本情况!K5</f>
        <v/>
      </c>
    </row>
    <row r="48" spans="1:9">
      <c r="A48" s="1004" t="s">
        <v>818</v>
      </c>
      <c r="B48" s="1004" t="s">
        <v>824</v>
      </c>
    </row>
    <row r="49" spans="2:2">
      <c r="B49" s="1928" t="str">
        <f>"康正预评字"&amp;项目基本情况!B2&amp;"号"</f>
        <v>康正预评字2019-1-0500号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55" sqref="M55"/>
    </sheetView>
  </sheetViews>
  <sheetFormatPr defaultColWidth="9" defaultRowHeight="14.25"/>
  <cols>
    <col min="1" max="1" width="14.375" style="401" customWidth="1"/>
    <col min="2" max="2" width="15.75" style="401" customWidth="1"/>
    <col min="3" max="3" width="16.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2727</v>
      </c>
      <c r="B1" s="393"/>
      <c r="C1" s="394" t="s">
        <v>2728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2313</v>
      </c>
      <c r="B2" s="668">
        <f>F66</f>
        <v>19659</v>
      </c>
      <c r="C2" s="1113"/>
      <c r="D2" s="1113"/>
      <c r="E2" s="1114"/>
      <c r="F2" s="1115"/>
      <c r="G2" s="1114"/>
      <c r="H2" s="1114"/>
      <c r="I2" s="1114"/>
      <c r="J2" s="1114"/>
      <c r="K2" s="1116"/>
      <c r="L2" s="1117"/>
      <c r="M2" s="1118"/>
      <c r="N2" s="1118"/>
      <c r="O2" s="1118"/>
      <c r="P2" s="765"/>
      <c r="Q2" s="765"/>
      <c r="R2" s="765"/>
      <c r="S2" s="765"/>
      <c r="T2" s="765"/>
      <c r="U2" s="765"/>
      <c r="V2" s="765"/>
      <c r="W2" s="765"/>
      <c r="X2" s="765"/>
      <c r="Y2" s="765"/>
      <c r="Z2" s="765"/>
      <c r="AA2" s="765"/>
      <c r="AB2" s="765"/>
      <c r="AC2" s="766"/>
      <c r="AD2" s="395"/>
    </row>
    <row r="3" spans="1:30" s="396" customFormat="1" ht="28.5" customHeight="1" thickBot="1">
      <c r="A3" s="245" t="s">
        <v>2315</v>
      </c>
      <c r="B3" s="606">
        <f>ROUND(IF(D3="",B2*10000/'数据-汇总表'!E3,B2*10000/D3),0)</f>
        <v>2948</v>
      </c>
      <c r="C3" s="245" t="s">
        <v>2729</v>
      </c>
      <c r="D3" s="1571"/>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30" ht="15">
      <c r="A4" s="399" t="s">
        <v>2628</v>
      </c>
      <c r="B4" s="400"/>
      <c r="C4" s="3244" t="s">
        <v>2629</v>
      </c>
      <c r="D4" s="3257"/>
      <c r="E4" s="3258" t="s">
        <v>2630</v>
      </c>
      <c r="F4" s="3259"/>
      <c r="G4" s="3244" t="s">
        <v>2631</v>
      </c>
      <c r="H4" s="3257"/>
      <c r="I4" s="3244" t="s">
        <v>2632</v>
      </c>
      <c r="J4" s="3257"/>
      <c r="K4" s="607" t="s">
        <v>2633</v>
      </c>
      <c r="L4" s="1119"/>
      <c r="M4" s="1120"/>
      <c r="N4" s="1120"/>
      <c r="O4" s="1120"/>
      <c r="P4" s="3260" t="s">
        <v>2634</v>
      </c>
      <c r="Q4" s="3261"/>
      <c r="R4" s="3266" t="s">
        <v>2630</v>
      </c>
      <c r="S4" s="3267"/>
      <c r="T4" s="3266" t="s">
        <v>2631</v>
      </c>
      <c r="U4" s="3267"/>
      <c r="V4" s="3253" t="s">
        <v>2632</v>
      </c>
      <c r="W4" s="3253"/>
      <c r="X4" s="1800"/>
      <c r="Y4" s="3266" t="s">
        <v>2634</v>
      </c>
      <c r="Z4" s="3267"/>
      <c r="AA4" s="3254" t="s">
        <v>2630</v>
      </c>
      <c r="AB4" s="3255" t="s">
        <v>2631</v>
      </c>
      <c r="AC4" s="3254" t="s">
        <v>2632</v>
      </c>
    </row>
    <row r="5" spans="1:30" ht="15">
      <c r="A5" s="402"/>
      <c r="B5" s="403"/>
      <c r="C5" s="3274" t="s">
        <v>2525</v>
      </c>
      <c r="D5" s="3275"/>
      <c r="E5" s="3281" t="str">
        <f>'土地案例-商业'!A2</f>
        <v>贵阳市花溪区贵筑社区尖山村</v>
      </c>
      <c r="F5" s="3282"/>
      <c r="G5" s="3274" t="str">
        <f>'土地案例-商业'!A3</f>
        <v>贵阳市花溪区贵筑社区尖山村</v>
      </c>
      <c r="H5" s="3275"/>
      <c r="I5" s="3274" t="str">
        <f>'土地案例-商业'!A4</f>
        <v>贵阳市花溪区贵筑社区尖山村</v>
      </c>
      <c r="J5" s="3275"/>
      <c r="K5" s="607"/>
      <c r="L5" s="1119"/>
      <c r="M5" s="1120"/>
      <c r="N5" s="1120"/>
      <c r="O5" s="1120"/>
      <c r="P5" s="3262"/>
      <c r="Q5" s="3263"/>
      <c r="R5" s="3268"/>
      <c r="S5" s="3269"/>
      <c r="T5" s="3268"/>
      <c r="U5" s="3269"/>
      <c r="V5" s="3253"/>
      <c r="W5" s="3253"/>
      <c r="X5" s="1800"/>
      <c r="Y5" s="3268"/>
      <c r="Z5" s="3269"/>
      <c r="AA5" s="3255"/>
      <c r="AB5" s="3255"/>
      <c r="AC5" s="3255"/>
    </row>
    <row r="6" spans="1:30" ht="15.75" thickBot="1">
      <c r="A6" s="404"/>
      <c r="B6" s="405"/>
      <c r="C6" s="3272" t="s">
        <v>2529</v>
      </c>
      <c r="D6" s="3273"/>
      <c r="E6" s="3279" t="s">
        <v>2529</v>
      </c>
      <c r="F6" s="3280"/>
      <c r="G6" s="3272" t="s">
        <v>2529</v>
      </c>
      <c r="H6" s="3273"/>
      <c r="I6" s="3272" t="s">
        <v>2529</v>
      </c>
      <c r="J6" s="3273"/>
      <c r="K6" s="607" t="s">
        <v>2530</v>
      </c>
      <c r="L6" s="1119"/>
      <c r="M6" s="1120"/>
      <c r="N6" s="1120"/>
      <c r="O6" s="1120"/>
      <c r="P6" s="3264"/>
      <c r="Q6" s="3265"/>
      <c r="R6" s="3268"/>
      <c r="S6" s="3269"/>
      <c r="T6" s="3270"/>
      <c r="U6" s="3271"/>
      <c r="V6" s="3253"/>
      <c r="W6" s="3253"/>
      <c r="X6" s="1800"/>
      <c r="Y6" s="3270"/>
      <c r="Z6" s="3271"/>
      <c r="AA6" s="3256"/>
      <c r="AB6" s="3256"/>
      <c r="AC6" s="3256"/>
    </row>
    <row r="7" spans="1:30" s="115" customFormat="1" ht="15.75" thickBot="1">
      <c r="A7" s="406" t="s">
        <v>2531</v>
      </c>
      <c r="B7" s="407"/>
      <c r="C7" s="408">
        <f>'数据-取费表'!B2</f>
        <v>43970</v>
      </c>
      <c r="D7" s="409">
        <v>100</v>
      </c>
      <c r="E7" s="410" t="str">
        <f>'土地案例-商业'!J2</f>
        <v>2019-02-03</v>
      </c>
      <c r="F7" s="411">
        <f>SUMIF(70:70,YEAR(E7)&amp;"-"&amp;INT((MONTH(E7)+2)/3),71:71)</f>
        <v>97.5</v>
      </c>
      <c r="G7" s="2674" t="str">
        <f>'土地案例-商业'!J3</f>
        <v>2019-02-03</v>
      </c>
      <c r="H7" s="409">
        <f>SUMIF(70:70,YEAR(G7)&amp;"-"&amp;INT((MONTH(G7)+2)/3),71:71)</f>
        <v>97.5</v>
      </c>
      <c r="I7" s="2674" t="str">
        <f>'土地案例-商业'!J4</f>
        <v>2019-02-03</v>
      </c>
      <c r="J7" s="409">
        <f>SUMIF(70:70,YEAR(I7)&amp;"-"&amp;INT((MONTH(I7)+2)/3),71:71)</f>
        <v>97.5</v>
      </c>
      <c r="K7" s="608"/>
      <c r="L7" s="1121"/>
      <c r="M7" s="1122"/>
      <c r="N7" s="1122"/>
      <c r="O7" s="1122"/>
      <c r="P7" s="3276" t="s">
        <v>2532</v>
      </c>
      <c r="Q7" s="3278"/>
      <c r="R7" s="767" t="s">
        <v>17</v>
      </c>
      <c r="S7" s="768">
        <f t="shared" ref="S7:S15" si="0">F7</f>
        <v>97.5</v>
      </c>
      <c r="T7" s="767" t="s">
        <v>17</v>
      </c>
      <c r="U7" s="768">
        <f t="shared" ref="U7:U15" si="1">H7</f>
        <v>97.5</v>
      </c>
      <c r="V7" s="767" t="s">
        <v>17</v>
      </c>
      <c r="W7" s="768">
        <f t="shared" ref="W7:W15" si="2">J7</f>
        <v>97.5</v>
      </c>
      <c r="X7" s="769"/>
      <c r="Y7" s="3276" t="s">
        <v>2532</v>
      </c>
      <c r="Z7" s="3277"/>
      <c r="AA7" s="770">
        <f>D7/F7</f>
        <v>1.0256410256410255</v>
      </c>
      <c r="AB7" s="770">
        <f>D7/H7</f>
        <v>1.0256410256410255</v>
      </c>
      <c r="AC7" s="770">
        <f>D7/J7</f>
        <v>1.0256410256410255</v>
      </c>
    </row>
    <row r="8" spans="1:30" s="115" customFormat="1" ht="15.75" thickBot="1">
      <c r="A8" s="406" t="s">
        <v>2533</v>
      </c>
      <c r="B8" s="407"/>
      <c r="C8" s="412" t="s">
        <v>2534</v>
      </c>
      <c r="D8" s="409">
        <v>100</v>
      </c>
      <c r="E8" s="412" t="s">
        <v>2534</v>
      </c>
      <c r="F8" s="411">
        <f>SUMIF(73:73,E8,74:74)-SUMIF(73:73,C8,74:74)+100</f>
        <v>100</v>
      </c>
      <c r="G8" s="412" t="s">
        <v>2534</v>
      </c>
      <c r="H8" s="409">
        <f>SUMIF(73:73,G8,74:74)-SUMIF(73:73,C8,74:74)+100</f>
        <v>100</v>
      </c>
      <c r="I8" s="412" t="s">
        <v>2534</v>
      </c>
      <c r="J8" s="409">
        <f>SUMIF(73:73,I8,74:74)-SUMIF(73:73,C8,74:74)+100</f>
        <v>100</v>
      </c>
      <c r="K8" s="608"/>
      <c r="L8" s="1121"/>
      <c r="M8" s="1122"/>
      <c r="N8" s="1122"/>
      <c r="O8" s="1122"/>
      <c r="P8" s="3276" t="s">
        <v>2535</v>
      </c>
      <c r="Q8" s="3277"/>
      <c r="R8" s="767" t="s">
        <v>17</v>
      </c>
      <c r="S8" s="768">
        <f t="shared" si="0"/>
        <v>100</v>
      </c>
      <c r="T8" s="767" t="s">
        <v>17</v>
      </c>
      <c r="U8" s="768">
        <f t="shared" si="1"/>
        <v>100</v>
      </c>
      <c r="V8" s="767" t="s">
        <v>17</v>
      </c>
      <c r="W8" s="768">
        <f t="shared" si="2"/>
        <v>100</v>
      </c>
      <c r="X8" s="769"/>
      <c r="Y8" s="3276" t="s">
        <v>2535</v>
      </c>
      <c r="Z8" s="3277"/>
      <c r="AA8" s="770">
        <f t="shared" ref="AA8:AA45" si="3">D8/F8</f>
        <v>1</v>
      </c>
      <c r="AB8" s="770">
        <f t="shared" ref="AB8:AB45" si="4">D8/H8</f>
        <v>1</v>
      </c>
      <c r="AC8" s="770">
        <f t="shared" ref="AC8:AC45" si="5">D8/J8</f>
        <v>1</v>
      </c>
    </row>
    <row r="9" spans="1:30" s="115" customFormat="1">
      <c r="A9" s="413" t="s">
        <v>2536</v>
      </c>
      <c r="B9" s="70" t="s">
        <v>2537</v>
      </c>
      <c r="C9" s="2677" t="s">
        <v>1373</v>
      </c>
      <c r="D9" s="133">
        <v>100</v>
      </c>
      <c r="E9" s="2677" t="s">
        <v>1373</v>
      </c>
      <c r="F9" s="133">
        <f>SUMIF(75:75,E9,76:76)-SUMIF(75:75,C9,76:76)+100</f>
        <v>100</v>
      </c>
      <c r="G9" s="2677" t="s">
        <v>1373</v>
      </c>
      <c r="H9" s="133">
        <f>SUMIF(75:75,G9,76:76)-SUMIF(75:75,C9,76:76)+100</f>
        <v>100</v>
      </c>
      <c r="I9" s="2677" t="s">
        <v>1373</v>
      </c>
      <c r="J9" s="133">
        <f>SUMIF(75:75,I9,76:76)-SUMIF(75:75,C9,76:76)+100</f>
        <v>100</v>
      </c>
      <c r="K9" s="608"/>
      <c r="L9" s="1121"/>
      <c r="M9" s="1122"/>
      <c r="N9" s="1122"/>
      <c r="O9" s="1123"/>
      <c r="P9" s="3247" t="s">
        <v>2538</v>
      </c>
      <c r="Q9" s="1782" t="str">
        <f t="shared" ref="Q9:Q15" si="6">B9</f>
        <v>用途</v>
      </c>
      <c r="R9" s="767" t="s">
        <v>17</v>
      </c>
      <c r="S9" s="768">
        <f t="shared" si="0"/>
        <v>100</v>
      </c>
      <c r="T9" s="767" t="s">
        <v>17</v>
      </c>
      <c r="U9" s="768">
        <f t="shared" si="1"/>
        <v>100</v>
      </c>
      <c r="V9" s="767" t="s">
        <v>17</v>
      </c>
      <c r="W9" s="768">
        <f t="shared" si="2"/>
        <v>100</v>
      </c>
      <c r="X9" s="769"/>
      <c r="Y9" s="3098" t="s">
        <v>2539</v>
      </c>
      <c r="Z9" s="54" t="str">
        <f t="shared" ref="Z9:Z15" si="7">Q9</f>
        <v>用途</v>
      </c>
      <c r="AA9" s="770">
        <f t="shared" si="3"/>
        <v>1</v>
      </c>
      <c r="AB9" s="770">
        <f t="shared" si="4"/>
        <v>1</v>
      </c>
      <c r="AC9" s="770">
        <f t="shared" si="5"/>
        <v>1</v>
      </c>
    </row>
    <row r="10" spans="1:30" s="424" customFormat="1" ht="27">
      <c r="A10" s="418"/>
      <c r="B10" s="419" t="s">
        <v>2540</v>
      </c>
      <c r="C10" s="429">
        <f>'数据-取费表'!F6</f>
        <v>37.21</v>
      </c>
      <c r="D10" s="134">
        <v>100</v>
      </c>
      <c r="E10" s="429">
        <v>40</v>
      </c>
      <c r="F10" s="134">
        <f>ROUND(100/'数据-取费表'!G16,0)</f>
        <v>102</v>
      </c>
      <c r="G10" s="429">
        <v>40</v>
      </c>
      <c r="H10" s="134">
        <f>ROUND(100/'数据-取费表'!G16,0)</f>
        <v>102</v>
      </c>
      <c r="I10" s="429">
        <v>40</v>
      </c>
      <c r="J10" s="134">
        <f>ROUND(100/'数据-取费表'!G16,0)</f>
        <v>102</v>
      </c>
      <c r="K10" s="669"/>
      <c r="L10" s="1124"/>
      <c r="M10" s="1125"/>
      <c r="N10" s="1125"/>
      <c r="O10" s="1126"/>
      <c r="P10" s="3247"/>
      <c r="Q10" s="1782" t="str">
        <f t="shared" si="6"/>
        <v>土地使用年限（年）</v>
      </c>
      <c r="R10" s="767" t="s">
        <v>17</v>
      </c>
      <c r="S10" s="768">
        <f t="shared" si="0"/>
        <v>102</v>
      </c>
      <c r="T10" s="767" t="s">
        <v>17</v>
      </c>
      <c r="U10" s="768">
        <f t="shared" si="1"/>
        <v>102</v>
      </c>
      <c r="V10" s="767" t="s">
        <v>17</v>
      </c>
      <c r="W10" s="768">
        <f t="shared" si="2"/>
        <v>102</v>
      </c>
      <c r="X10" s="769"/>
      <c r="Y10" s="3098"/>
      <c r="Z10" s="54" t="str">
        <f t="shared" si="7"/>
        <v>土地使用年限（年）</v>
      </c>
      <c r="AA10" s="770">
        <f t="shared" si="3"/>
        <v>0.98039215686274506</v>
      </c>
      <c r="AB10" s="770">
        <f t="shared" si="4"/>
        <v>0.98039215686274506</v>
      </c>
      <c r="AC10" s="770">
        <f t="shared" si="5"/>
        <v>0.98039215686274506</v>
      </c>
    </row>
    <row r="11" spans="1:30" ht="15">
      <c r="A11" s="425"/>
      <c r="B11" s="419" t="s">
        <v>2541</v>
      </c>
      <c r="C11" s="2975">
        <f>'数据-汇总表'!I6</f>
        <v>3.5</v>
      </c>
      <c r="D11" s="134">
        <v>100</v>
      </c>
      <c r="E11" s="426">
        <f>'土地案例-商业'!H2</f>
        <v>2</v>
      </c>
      <c r="F11" s="134">
        <f>LOOKUP(E11,80:80,81:81)-LOOKUP(C11,80:80,81:81)+100</f>
        <v>101</v>
      </c>
      <c r="G11" s="427">
        <f>'土地案例-商业'!H3</f>
        <v>3.5</v>
      </c>
      <c r="H11" s="134">
        <f>LOOKUP(G11,80:80,81:81)-LOOKUP(C11,80:80,81:81)+100</f>
        <v>100</v>
      </c>
      <c r="I11" s="426">
        <f>'土地案例-商业'!H4</f>
        <v>1.5</v>
      </c>
      <c r="J11" s="134">
        <f>LOOKUP(I11,80:80,81:81)-LOOKUP(C11,80:80,81:81)+100</f>
        <v>102</v>
      </c>
      <c r="K11" s="670">
        <v>1</v>
      </c>
      <c r="L11" s="1127"/>
      <c r="M11" s="1120"/>
      <c r="N11" s="1120"/>
      <c r="O11" s="1128"/>
      <c r="P11" s="3247"/>
      <c r="Q11" s="1782" t="str">
        <f t="shared" si="6"/>
        <v>容积率</v>
      </c>
      <c r="R11" s="767" t="s">
        <v>17</v>
      </c>
      <c r="S11" s="768">
        <f t="shared" si="0"/>
        <v>101</v>
      </c>
      <c r="T11" s="767" t="s">
        <v>17</v>
      </c>
      <c r="U11" s="768">
        <f t="shared" si="1"/>
        <v>100</v>
      </c>
      <c r="V11" s="767" t="s">
        <v>17</v>
      </c>
      <c r="W11" s="768">
        <f t="shared" si="2"/>
        <v>102</v>
      </c>
      <c r="X11" s="769"/>
      <c r="Y11" s="3098"/>
      <c r="Z11" s="54" t="str">
        <f t="shared" si="7"/>
        <v>容积率</v>
      </c>
      <c r="AA11" s="770">
        <f t="shared" si="3"/>
        <v>0.99009900990099009</v>
      </c>
      <c r="AB11" s="770">
        <f t="shared" si="4"/>
        <v>1</v>
      </c>
      <c r="AC11" s="770">
        <f t="shared" si="5"/>
        <v>0.98039215686274506</v>
      </c>
    </row>
    <row r="12" spans="1:30" s="115" customFormat="1" ht="15" hidden="1">
      <c r="A12" s="428"/>
      <c r="B12" s="2580" t="s">
        <v>2730</v>
      </c>
      <c r="C12" s="3002"/>
      <c r="D12" s="430">
        <v>100</v>
      </c>
      <c r="E12" s="3002"/>
      <c r="F12" s="134">
        <f>SUMIF(82:82,E12,83:83)-SUMIF(82:82,C12,83:83)+100</f>
        <v>100</v>
      </c>
      <c r="G12" s="3002"/>
      <c r="H12" s="134">
        <f>SUMIF(82:82,G12,83:83)-SUMIF(82:82,C12,83:83)+100</f>
        <v>100</v>
      </c>
      <c r="I12" s="3002"/>
      <c r="J12" s="134">
        <f>SUMIF(82:82,I12,83:83)-SUMIF(82:82,C12,83:83)+100</f>
        <v>100</v>
      </c>
      <c r="K12" s="669"/>
      <c r="L12" s="1121"/>
      <c r="M12" s="1122"/>
      <c r="N12" s="1122"/>
      <c r="O12" s="1123"/>
      <c r="P12" s="3247"/>
      <c r="Q12" s="1782" t="str">
        <f t="shared" si="6"/>
        <v>配建</v>
      </c>
      <c r="R12" s="767" t="s">
        <v>17</v>
      </c>
      <c r="S12" s="768">
        <f t="shared" si="0"/>
        <v>100</v>
      </c>
      <c r="T12" s="767" t="s">
        <v>17</v>
      </c>
      <c r="U12" s="768">
        <f t="shared" si="1"/>
        <v>100</v>
      </c>
      <c r="V12" s="767" t="s">
        <v>17</v>
      </c>
      <c r="W12" s="768">
        <f t="shared" si="2"/>
        <v>100</v>
      </c>
      <c r="X12" s="769"/>
      <c r="Y12" s="3098"/>
      <c r="Z12" s="54" t="str">
        <f t="shared" si="7"/>
        <v>配建</v>
      </c>
      <c r="AA12" s="770">
        <f>D12/F12</f>
        <v>1</v>
      </c>
      <c r="AB12" s="770">
        <f>D12/H12</f>
        <v>1</v>
      </c>
      <c r="AC12" s="770">
        <f>D12/J12</f>
        <v>1</v>
      </c>
    </row>
    <row r="13" spans="1:30" ht="15" hidden="1">
      <c r="A13" s="425"/>
      <c r="B13" s="2580">
        <v>111</v>
      </c>
      <c r="C13" s="431"/>
      <c r="D13" s="432">
        <v>100</v>
      </c>
      <c r="E13" s="546"/>
      <c r="F13" s="134">
        <f>SUMIF(84:84,E13,85:85)-SUMIF(84:84,C13,85:85)+100</f>
        <v>100</v>
      </c>
      <c r="G13" s="671"/>
      <c r="H13" s="432">
        <f>SUMIF(84:84,G13,85:85)-SUMIF(84:84,C13,85:85)+100</f>
        <v>100</v>
      </c>
      <c r="I13" s="671"/>
      <c r="J13" s="432">
        <f>SUMIF(84:84,I13,85:85)-SUMIF(84:84,C13,85:85)+100</f>
        <v>100</v>
      </c>
      <c r="K13" s="669"/>
      <c r="L13" s="1129"/>
      <c r="M13" s="1120"/>
      <c r="N13" s="1120"/>
      <c r="O13" s="1128"/>
      <c r="P13" s="3247"/>
      <c r="Q13" s="1782">
        <f t="shared" si="6"/>
        <v>111</v>
      </c>
      <c r="R13" s="767" t="s">
        <v>17</v>
      </c>
      <c r="S13" s="768">
        <f t="shared" si="0"/>
        <v>100</v>
      </c>
      <c r="T13" s="767" t="s">
        <v>17</v>
      </c>
      <c r="U13" s="768">
        <f t="shared" si="1"/>
        <v>100</v>
      </c>
      <c r="V13" s="767" t="s">
        <v>17</v>
      </c>
      <c r="W13" s="768">
        <f t="shared" si="2"/>
        <v>100</v>
      </c>
      <c r="X13" s="769"/>
      <c r="Y13" s="3098"/>
      <c r="Z13" s="54">
        <f t="shared" si="7"/>
        <v>111</v>
      </c>
      <c r="AA13" s="770">
        <f>D13/F13</f>
        <v>1</v>
      </c>
      <c r="AB13" s="770">
        <f>D13/H13</f>
        <v>1</v>
      </c>
      <c r="AC13" s="770">
        <f>D13/J13</f>
        <v>1</v>
      </c>
    </row>
    <row r="14" spans="1:30" ht="15.75" hidden="1" thickBot="1">
      <c r="A14" s="433"/>
      <c r="B14" s="2582">
        <v>111</v>
      </c>
      <c r="C14" s="434"/>
      <c r="D14" s="435">
        <v>100</v>
      </c>
      <c r="E14" s="546"/>
      <c r="F14" s="435">
        <f>SUMIF(86:86,E14,87:87)-SUMIF(86:86,C14,87:87)+100</f>
        <v>100</v>
      </c>
      <c r="G14" s="671"/>
      <c r="H14" s="435">
        <f>SUMIF(86:86,G14,87:87)-SUMIF(86:86,C14,87:87)+100</f>
        <v>100</v>
      </c>
      <c r="I14" s="671"/>
      <c r="J14" s="435">
        <f>SUMIF(86:86,I14,87:87)-SUMIF(86:86,C14,87:87)+100</f>
        <v>100</v>
      </c>
      <c r="K14" s="669"/>
      <c r="L14" s="1129"/>
      <c r="M14" s="1120"/>
      <c r="N14" s="1120"/>
      <c r="O14" s="1128"/>
      <c r="P14" s="3247"/>
      <c r="Q14" s="1782">
        <f t="shared" si="6"/>
        <v>111</v>
      </c>
      <c r="R14" s="767" t="s">
        <v>17</v>
      </c>
      <c r="S14" s="768">
        <f t="shared" si="0"/>
        <v>100</v>
      </c>
      <c r="T14" s="767" t="s">
        <v>17</v>
      </c>
      <c r="U14" s="768">
        <f t="shared" si="1"/>
        <v>100</v>
      </c>
      <c r="V14" s="767" t="s">
        <v>17</v>
      </c>
      <c r="W14" s="768">
        <f t="shared" si="2"/>
        <v>100</v>
      </c>
      <c r="X14" s="769"/>
      <c r="Y14" s="3098"/>
      <c r="Z14" s="54">
        <f t="shared" si="7"/>
        <v>111</v>
      </c>
      <c r="AA14" s="770">
        <f>D14/F14</f>
        <v>1</v>
      </c>
      <c r="AB14" s="770">
        <f>D14/H14</f>
        <v>1</v>
      </c>
      <c r="AC14" s="770">
        <f>D14/J14</f>
        <v>1</v>
      </c>
    </row>
    <row r="15" spans="1:30" ht="15" hidden="1">
      <c r="A15" s="437" t="s">
        <v>2542</v>
      </c>
      <c r="B15" s="68" t="s">
        <v>2077</v>
      </c>
      <c r="C15" s="2583" t="str">
        <f>估价对象房地状况!C15</f>
        <v>差</v>
      </c>
      <c r="D15" s="438">
        <v>100</v>
      </c>
      <c r="E15" s="441"/>
      <c r="F15" s="438">
        <f>SUMIF(88:88,E16,89:89)-SUMIF(88:88,C16,89:89)+100</f>
        <v>100</v>
      </c>
      <c r="G15" s="439"/>
      <c r="H15" s="438">
        <f>SUMIF(88:88,G16,89:89)-SUMIF(88:88,C16,89:89)+100</f>
        <v>100</v>
      </c>
      <c r="I15" s="441"/>
      <c r="J15" s="438">
        <f>SUMIF(88:88,I16,89:89)-SUMIF(88:88,C16,89:89)+100</f>
        <v>100</v>
      </c>
      <c r="K15" s="670">
        <v>0</v>
      </c>
      <c r="L15" s="1129"/>
      <c r="M15" s="1120"/>
      <c r="N15" s="1120"/>
      <c r="O15" s="1128"/>
      <c r="P15" s="3249" t="s">
        <v>2543</v>
      </c>
      <c r="Q15" s="1797" t="str">
        <f t="shared" si="6"/>
        <v>居住社区成熟度</v>
      </c>
      <c r="R15" s="771" t="s">
        <v>17</v>
      </c>
      <c r="S15" s="772">
        <f t="shared" si="0"/>
        <v>100</v>
      </c>
      <c r="T15" s="771" t="s">
        <v>17</v>
      </c>
      <c r="U15" s="772">
        <f t="shared" si="1"/>
        <v>100</v>
      </c>
      <c r="V15" s="771" t="s">
        <v>17</v>
      </c>
      <c r="W15" s="772">
        <f t="shared" si="2"/>
        <v>100</v>
      </c>
      <c r="X15" s="1800"/>
      <c r="Y15" s="3249" t="s">
        <v>2543</v>
      </c>
      <c r="Z15" s="1801" t="str">
        <f t="shared" si="7"/>
        <v>居住社区成熟度</v>
      </c>
      <c r="AA15" s="1798">
        <f t="shared" si="3"/>
        <v>1</v>
      </c>
      <c r="AB15" s="1798">
        <f t="shared" si="4"/>
        <v>1</v>
      </c>
      <c r="AC15" s="1798">
        <f t="shared" si="5"/>
        <v>1</v>
      </c>
    </row>
    <row r="16" spans="1:30" ht="15" hidden="1">
      <c r="A16" s="425"/>
      <c r="B16" s="443"/>
      <c r="C16" s="2585" t="s">
        <v>3223</v>
      </c>
      <c r="D16" s="445"/>
      <c r="E16" s="2584" t="s">
        <v>3062</v>
      </c>
      <c r="F16" s="445"/>
      <c r="G16" s="2585" t="s">
        <v>3223</v>
      </c>
      <c r="H16" s="447"/>
      <c r="I16" s="2584" t="s">
        <v>3062</v>
      </c>
      <c r="J16" s="445"/>
      <c r="K16" s="669"/>
      <c r="L16" s="1129"/>
      <c r="M16" s="1120"/>
      <c r="N16" s="1120"/>
      <c r="O16" s="1128"/>
      <c r="P16" s="3250"/>
      <c r="Q16" s="1797"/>
      <c r="R16" s="771"/>
      <c r="S16" s="772"/>
      <c r="T16" s="771"/>
      <c r="U16" s="772"/>
      <c r="V16" s="771"/>
      <c r="W16" s="772"/>
      <c r="X16" s="1800"/>
      <c r="Y16" s="3250"/>
      <c r="Z16" s="1801"/>
      <c r="AA16" s="1798">
        <v>1</v>
      </c>
      <c r="AB16" s="1798">
        <v>1</v>
      </c>
      <c r="AC16" s="1798">
        <v>1</v>
      </c>
    </row>
    <row r="17" spans="1:29" ht="15">
      <c r="A17" s="425"/>
      <c r="B17" s="448" t="s">
        <v>2636</v>
      </c>
      <c r="C17" s="2642" t="str">
        <f>估价对象房地状况!C16</f>
        <v>差</v>
      </c>
      <c r="D17" s="447">
        <v>100</v>
      </c>
      <c r="E17" s="451"/>
      <c r="F17" s="447">
        <f>SUMIF(90:90,E18,91:91)-SUMIF(90:90,C18,91:91)+100</f>
        <v>100</v>
      </c>
      <c r="G17" s="449"/>
      <c r="H17" s="452">
        <f>SUMIF(90:90,G18,91:91)-SUMIF(90:90,C18,91:91)+100</f>
        <v>100</v>
      </c>
      <c r="I17" s="451"/>
      <c r="J17" s="452">
        <f>SUMIF(90:90,I18,91:91)-SUMIF(90:90,C18,91:91)+100</f>
        <v>100</v>
      </c>
      <c r="K17" s="670"/>
      <c r="L17" s="1129"/>
      <c r="M17" s="1120"/>
      <c r="N17" s="1120"/>
      <c r="O17" s="1128"/>
      <c r="P17" s="3250"/>
      <c r="Q17" s="1797" t="str">
        <f>B17</f>
        <v>商业繁华度</v>
      </c>
      <c r="R17" s="771" t="s">
        <v>17</v>
      </c>
      <c r="S17" s="772">
        <f>F17</f>
        <v>100</v>
      </c>
      <c r="T17" s="771" t="s">
        <v>17</v>
      </c>
      <c r="U17" s="772">
        <f>H17</f>
        <v>100</v>
      </c>
      <c r="V17" s="771" t="s">
        <v>17</v>
      </c>
      <c r="W17" s="772">
        <f>J17</f>
        <v>100</v>
      </c>
      <c r="X17" s="1800"/>
      <c r="Y17" s="3250"/>
      <c r="Z17" s="1801" t="str">
        <f>Q17</f>
        <v>商业繁华度</v>
      </c>
      <c r="AA17" s="1798">
        <f t="shared" si="3"/>
        <v>1</v>
      </c>
      <c r="AB17" s="1798">
        <f t="shared" si="4"/>
        <v>1</v>
      </c>
      <c r="AC17" s="1798">
        <f t="shared" si="5"/>
        <v>1</v>
      </c>
    </row>
    <row r="18" spans="1:29" ht="15">
      <c r="A18" s="425"/>
      <c r="B18" s="453"/>
      <c r="C18" s="2588" t="s">
        <v>3223</v>
      </c>
      <c r="D18" s="447"/>
      <c r="E18" s="2588" t="s">
        <v>3223</v>
      </c>
      <c r="F18" s="447"/>
      <c r="G18" s="2588" t="s">
        <v>3223</v>
      </c>
      <c r="H18" s="445"/>
      <c r="I18" s="2588" t="s">
        <v>3223</v>
      </c>
      <c r="J18" s="445"/>
      <c r="K18" s="669"/>
      <c r="L18" s="1129"/>
      <c r="M18" s="1120"/>
      <c r="N18" s="1120"/>
      <c r="O18" s="1128"/>
      <c r="P18" s="3250"/>
      <c r="Q18" s="1797"/>
      <c r="R18" s="771"/>
      <c r="S18" s="772"/>
      <c r="T18" s="771"/>
      <c r="U18" s="772"/>
      <c r="V18" s="771"/>
      <c r="W18" s="772"/>
      <c r="X18" s="1800"/>
      <c r="Y18" s="3250"/>
      <c r="Z18" s="1801"/>
      <c r="AA18" s="1798">
        <v>1</v>
      </c>
      <c r="AB18" s="1798">
        <v>1</v>
      </c>
      <c r="AC18" s="1798">
        <v>1</v>
      </c>
    </row>
    <row r="19" spans="1:29" ht="15" hidden="1">
      <c r="A19" s="425"/>
      <c r="B19" s="448" t="s">
        <v>2670</v>
      </c>
      <c r="C19" s="2642" t="str">
        <f>估价对象房地状况!C17</f>
        <v>差</v>
      </c>
      <c r="D19" s="452">
        <v>100</v>
      </c>
      <c r="E19" s="456"/>
      <c r="F19" s="452">
        <f>SUMIF(92:92,E20,93:93)-SUMIF(92:92,C20,93:93)+100</f>
        <v>100</v>
      </c>
      <c r="G19" s="454"/>
      <c r="H19" s="447">
        <f>SUMIF(92:92,G20,93:93)-SUMIF(92:92,C20,93:93)+100</f>
        <v>100</v>
      </c>
      <c r="I19" s="456"/>
      <c r="J19" s="447">
        <f>SUMIF(92:92,I20,93:93)-SUMIF(92:92,C20,93:93)+100</f>
        <v>100</v>
      </c>
      <c r="K19" s="670">
        <v>0</v>
      </c>
      <c r="L19" s="1129"/>
      <c r="M19" s="1120"/>
      <c r="N19" s="1120"/>
      <c r="O19" s="1128"/>
      <c r="P19" s="3250"/>
      <c r="Q19" s="1797" t="str">
        <f>B19</f>
        <v>办公集聚程度</v>
      </c>
      <c r="R19" s="771" t="s">
        <v>17</v>
      </c>
      <c r="S19" s="772">
        <f>F19</f>
        <v>100</v>
      </c>
      <c r="T19" s="771" t="s">
        <v>17</v>
      </c>
      <c r="U19" s="772">
        <f>H19</f>
        <v>100</v>
      </c>
      <c r="V19" s="771" t="s">
        <v>17</v>
      </c>
      <c r="W19" s="772">
        <f>J19</f>
        <v>100</v>
      </c>
      <c r="X19" s="1800"/>
      <c r="Y19" s="3250"/>
      <c r="Z19" s="1801" t="str">
        <f>Q19</f>
        <v>办公集聚程度</v>
      </c>
      <c r="AA19" s="1798">
        <f t="shared" si="3"/>
        <v>1</v>
      </c>
      <c r="AB19" s="1798">
        <f t="shared" si="4"/>
        <v>1</v>
      </c>
      <c r="AC19" s="1798">
        <f t="shared" si="5"/>
        <v>1</v>
      </c>
    </row>
    <row r="20" spans="1:29" ht="15" hidden="1">
      <c r="A20" s="425"/>
      <c r="B20" s="453"/>
      <c r="C20" s="444"/>
      <c r="D20" s="445"/>
      <c r="E20" s="2584"/>
      <c r="F20" s="445"/>
      <c r="G20" s="2585"/>
      <c r="H20" s="445"/>
      <c r="I20" s="2584"/>
      <c r="J20" s="445"/>
      <c r="K20" s="669"/>
      <c r="L20" s="1129"/>
      <c r="M20" s="1120"/>
      <c r="N20" s="1120"/>
      <c r="O20" s="1128"/>
      <c r="P20" s="3250"/>
      <c r="Q20" s="1797"/>
      <c r="R20" s="771"/>
      <c r="S20" s="772"/>
      <c r="T20" s="771"/>
      <c r="U20" s="772"/>
      <c r="V20" s="771"/>
      <c r="W20" s="772"/>
      <c r="X20" s="1800"/>
      <c r="Y20" s="3250"/>
      <c r="Z20" s="1801"/>
      <c r="AA20" s="1798">
        <v>1</v>
      </c>
      <c r="AB20" s="1798">
        <v>1</v>
      </c>
      <c r="AC20" s="1798">
        <v>1</v>
      </c>
    </row>
    <row r="21" spans="1:29" ht="15">
      <c r="A21" s="425"/>
      <c r="B21" s="448" t="s">
        <v>2692</v>
      </c>
      <c r="C21" s="2587" t="str">
        <f>估价对象房地状况!C18</f>
        <v>一般</v>
      </c>
      <c r="D21" s="447">
        <v>100</v>
      </c>
      <c r="E21" s="451"/>
      <c r="F21" s="452">
        <f>SUMIF(94:94,E22,95:95)-SUMIF(94:94,C22,95:95)+100</f>
        <v>100</v>
      </c>
      <c r="G21" s="449"/>
      <c r="H21" s="447">
        <f>SUMIF(94:94,G22,95:95)-SUMIF(94:94,C22,95:95)+100</f>
        <v>100</v>
      </c>
      <c r="I21" s="451"/>
      <c r="J21" s="447">
        <f>SUMIF(94:94,I22,95:95)-SUMIF(94:94,C22,95:95)+100</f>
        <v>100</v>
      </c>
      <c r="K21" s="670">
        <v>2</v>
      </c>
      <c r="L21" s="1129"/>
      <c r="M21" s="1120"/>
      <c r="N21" s="1120"/>
      <c r="O21" s="1128"/>
      <c r="P21" s="3250"/>
      <c r="Q21" s="1797" t="str">
        <f>B21</f>
        <v>交通便捷度</v>
      </c>
      <c r="R21" s="771" t="s">
        <v>17</v>
      </c>
      <c r="S21" s="772">
        <f>F21</f>
        <v>100</v>
      </c>
      <c r="T21" s="771" t="s">
        <v>17</v>
      </c>
      <c r="U21" s="772">
        <f>H21</f>
        <v>100</v>
      </c>
      <c r="V21" s="771" t="s">
        <v>17</v>
      </c>
      <c r="W21" s="772">
        <f>J21</f>
        <v>100</v>
      </c>
      <c r="X21" s="1800"/>
      <c r="Y21" s="3250"/>
      <c r="Z21" s="1801" t="str">
        <f>Q21</f>
        <v>交通便捷度</v>
      </c>
      <c r="AA21" s="1798">
        <f t="shared" si="3"/>
        <v>1</v>
      </c>
      <c r="AB21" s="1798">
        <f t="shared" si="4"/>
        <v>1</v>
      </c>
      <c r="AC21" s="1798">
        <f t="shared" si="5"/>
        <v>1</v>
      </c>
    </row>
    <row r="22" spans="1:29" ht="15">
      <c r="A22" s="425"/>
      <c r="B22" s="1373"/>
      <c r="C22" s="444" t="s">
        <v>3061</v>
      </c>
      <c r="D22" s="447"/>
      <c r="E22" s="444" t="s">
        <v>3061</v>
      </c>
      <c r="F22" s="445"/>
      <c r="G22" s="444" t="s">
        <v>3061</v>
      </c>
      <c r="H22" s="445"/>
      <c r="I22" s="444" t="s">
        <v>3061</v>
      </c>
      <c r="J22" s="445"/>
      <c r="K22" s="669"/>
      <c r="L22" s="1129"/>
      <c r="M22" s="1120"/>
      <c r="N22" s="1120"/>
      <c r="O22" s="1128"/>
      <c r="P22" s="3250"/>
      <c r="Q22" s="1797"/>
      <c r="R22" s="771"/>
      <c r="S22" s="772"/>
      <c r="T22" s="771"/>
      <c r="U22" s="772"/>
      <c r="V22" s="771"/>
      <c r="W22" s="772"/>
      <c r="X22" s="1800"/>
      <c r="Y22" s="3250"/>
      <c r="Z22" s="1801"/>
      <c r="AA22" s="1798">
        <v>1</v>
      </c>
      <c r="AB22" s="1798">
        <v>1</v>
      </c>
      <c r="AC22" s="1798">
        <v>1</v>
      </c>
    </row>
    <row r="23" spans="1:29" ht="15">
      <c r="A23" s="402"/>
      <c r="B23" s="448" t="s">
        <v>2731</v>
      </c>
      <c r="C23" s="1378" t="str">
        <f>估价对象房地状况!C19</f>
        <v>较好</v>
      </c>
      <c r="D23" s="452">
        <v>100</v>
      </c>
      <c r="E23" s="451"/>
      <c r="F23" s="452">
        <f>SUMIF(96:96,E24,97:97)-SUMIF(96:96,C24,97:97)+100</f>
        <v>100</v>
      </c>
      <c r="G23" s="449"/>
      <c r="H23" s="452">
        <f>SUMIF(96:96,G24,97:97)-SUMIF(96:96,C24,97:97)+100</f>
        <v>100</v>
      </c>
      <c r="I23" s="451"/>
      <c r="J23" s="452">
        <f>SUMIF(96:96,I24,97:97)-SUMIF(96:96,C24,97:97)+100</f>
        <v>100</v>
      </c>
      <c r="K23" s="670">
        <v>2</v>
      </c>
      <c r="L23" s="1129"/>
      <c r="M23" s="1120"/>
      <c r="N23" s="1120"/>
      <c r="O23" s="1128"/>
      <c r="P23" s="3250"/>
      <c r="Q23" s="1797" t="str">
        <f t="shared" ref="Q23:Q37" si="8">B23</f>
        <v>区域土地利用方向</v>
      </c>
      <c r="R23" s="771" t="s">
        <v>17</v>
      </c>
      <c r="S23" s="772">
        <f>F23</f>
        <v>100</v>
      </c>
      <c r="T23" s="771" t="s">
        <v>17</v>
      </c>
      <c r="U23" s="772">
        <f>H23</f>
        <v>100</v>
      </c>
      <c r="V23" s="771" t="s">
        <v>17</v>
      </c>
      <c r="W23" s="772">
        <f>J23</f>
        <v>100</v>
      </c>
      <c r="X23" s="1800"/>
      <c r="Y23" s="3250"/>
      <c r="Z23" s="1801" t="str">
        <f>Q23</f>
        <v>区域土地利用方向</v>
      </c>
      <c r="AA23" s="1798">
        <f t="shared" si="3"/>
        <v>1</v>
      </c>
      <c r="AB23" s="1798">
        <f t="shared" si="4"/>
        <v>1</v>
      </c>
      <c r="AC23" s="1798">
        <f t="shared" si="5"/>
        <v>1</v>
      </c>
    </row>
    <row r="24" spans="1:29" ht="15">
      <c r="A24" s="402"/>
      <c r="B24" s="453"/>
      <c r="C24" s="613" t="s">
        <v>3066</v>
      </c>
      <c r="D24" s="445"/>
      <c r="E24" s="613" t="s">
        <v>3066</v>
      </c>
      <c r="F24" s="445"/>
      <c r="G24" s="613" t="s">
        <v>3066</v>
      </c>
      <c r="H24" s="445"/>
      <c r="I24" s="613" t="s">
        <v>3066</v>
      </c>
      <c r="J24" s="445"/>
      <c r="K24" s="802"/>
      <c r="L24" s="1129"/>
      <c r="M24" s="1120"/>
      <c r="N24" s="1120"/>
      <c r="O24" s="1128"/>
      <c r="P24" s="3250"/>
      <c r="Q24" s="1797"/>
      <c r="R24" s="771"/>
      <c r="S24" s="772"/>
      <c r="T24" s="771"/>
      <c r="U24" s="772"/>
      <c r="V24" s="771"/>
      <c r="W24" s="772"/>
      <c r="X24" s="1800"/>
      <c r="Y24" s="3250"/>
      <c r="Z24" s="1801"/>
      <c r="AA24" s="1798"/>
      <c r="AB24" s="1798"/>
      <c r="AC24" s="1798"/>
    </row>
    <row r="25" spans="1:29" ht="27">
      <c r="A25" s="402"/>
      <c r="B25" s="1373" t="s">
        <v>2732</v>
      </c>
      <c r="C25" s="2642" t="str">
        <f>估价对象房地状况!C20</f>
        <v>较好</v>
      </c>
      <c r="D25" s="447">
        <v>100</v>
      </c>
      <c r="E25" s="451"/>
      <c r="F25" s="447">
        <f>SUMIF(98:98,E26,99:99)-SUMIF(98:98,C26,99:99)+100</f>
        <v>100</v>
      </c>
      <c r="G25" s="449"/>
      <c r="H25" s="447">
        <f>SUMIF(98:98,G26,99:99)-SUMIF(98:98,C26,99:99)+100</f>
        <v>100</v>
      </c>
      <c r="I25" s="451"/>
      <c r="J25" s="447">
        <f>SUMIF(98:98,I26,99:99)-SUMIF(98:98,C26,99:99)+100</f>
        <v>100</v>
      </c>
      <c r="K25" s="670">
        <v>2</v>
      </c>
      <c r="L25" s="1129"/>
      <c r="M25" s="1120"/>
      <c r="N25" s="1120"/>
      <c r="O25" s="1128"/>
      <c r="P25" s="3250"/>
      <c r="Q25" s="1797" t="str">
        <f t="shared" si="8"/>
        <v>自然及人文环境状况</v>
      </c>
      <c r="R25" s="771" t="s">
        <v>17</v>
      </c>
      <c r="S25" s="772">
        <f>F25</f>
        <v>100</v>
      </c>
      <c r="T25" s="771" t="s">
        <v>17</v>
      </c>
      <c r="U25" s="772">
        <f>H25</f>
        <v>100</v>
      </c>
      <c r="V25" s="771" t="s">
        <v>17</v>
      </c>
      <c r="W25" s="772">
        <f>J25</f>
        <v>100</v>
      </c>
      <c r="X25" s="1800"/>
      <c r="Y25" s="3250"/>
      <c r="Z25" s="1801" t="str">
        <f>Q25</f>
        <v>自然及人文环境状况</v>
      </c>
      <c r="AA25" s="1798">
        <f t="shared" si="3"/>
        <v>1</v>
      </c>
      <c r="AB25" s="1798">
        <f t="shared" si="4"/>
        <v>1</v>
      </c>
      <c r="AC25" s="1798">
        <f t="shared" si="5"/>
        <v>1</v>
      </c>
    </row>
    <row r="26" spans="1:29" ht="15">
      <c r="A26" s="402"/>
      <c r="B26" s="453"/>
      <c r="C26" s="444" t="s">
        <v>3066</v>
      </c>
      <c r="D26" s="445"/>
      <c r="E26" s="444" t="s">
        <v>3066</v>
      </c>
      <c r="F26" s="445"/>
      <c r="G26" s="444" t="s">
        <v>3066</v>
      </c>
      <c r="H26" s="445"/>
      <c r="I26" s="444" t="s">
        <v>3066</v>
      </c>
      <c r="J26" s="445"/>
      <c r="K26" s="669"/>
      <c r="L26" s="1129"/>
      <c r="M26" s="1120"/>
      <c r="N26" s="1120"/>
      <c r="O26" s="1128"/>
      <c r="P26" s="3250"/>
      <c r="Q26" s="1797"/>
      <c r="R26" s="771"/>
      <c r="S26" s="772"/>
      <c r="T26" s="771"/>
      <c r="U26" s="772"/>
      <c r="V26" s="771"/>
      <c r="W26" s="772"/>
      <c r="X26" s="1800"/>
      <c r="Y26" s="3250"/>
      <c r="Z26" s="1801"/>
      <c r="AA26" s="1798">
        <v>1</v>
      </c>
      <c r="AB26" s="1798">
        <v>1</v>
      </c>
      <c r="AC26" s="1798">
        <v>1</v>
      </c>
    </row>
    <row r="27" spans="1:29" s="115" customFormat="1" ht="15">
      <c r="A27" s="646"/>
      <c r="B27" s="1373" t="s">
        <v>2637</v>
      </c>
      <c r="C27" s="2587" t="str">
        <f>估价对象房地状况!C21</f>
        <v>较差</v>
      </c>
      <c r="D27" s="447">
        <v>100</v>
      </c>
      <c r="E27" s="451"/>
      <c r="F27" s="447">
        <f>SUMIF(100:100,E28,101:101)-SUMIF(100:100,C28,101:101)+100</f>
        <v>100</v>
      </c>
      <c r="G27" s="449"/>
      <c r="H27" s="447">
        <f>SUMIF(100:100,G28,101:101)-SUMIF(100:100,C28,101:101)+100</f>
        <v>100</v>
      </c>
      <c r="I27" s="451"/>
      <c r="J27" s="447">
        <f>SUMIF(100:100,I28,101:101)-SUMIF(100:100,C28,101:101)+100</f>
        <v>100</v>
      </c>
      <c r="K27" s="670">
        <v>2</v>
      </c>
      <c r="L27" s="1121"/>
      <c r="M27" s="1122"/>
      <c r="N27" s="1122"/>
      <c r="O27" s="1123"/>
      <c r="P27" s="3250"/>
      <c r="Q27" s="1782" t="str">
        <f t="shared" si="8"/>
        <v>公共配套设施</v>
      </c>
      <c r="R27" s="767" t="s">
        <v>17</v>
      </c>
      <c r="S27" s="768">
        <f>F27</f>
        <v>100</v>
      </c>
      <c r="T27" s="767" t="s">
        <v>17</v>
      </c>
      <c r="U27" s="768">
        <f>H27</f>
        <v>100</v>
      </c>
      <c r="V27" s="767" t="s">
        <v>17</v>
      </c>
      <c r="W27" s="768">
        <f>J27</f>
        <v>100</v>
      </c>
      <c r="X27" s="769"/>
      <c r="Y27" s="3250"/>
      <c r="Z27" s="54" t="str">
        <f>Q27</f>
        <v>公共配套设施</v>
      </c>
      <c r="AA27" s="1798">
        <f>D27/F27</f>
        <v>1</v>
      </c>
      <c r="AB27" s="1798">
        <f>D27/H27</f>
        <v>1</v>
      </c>
      <c r="AC27" s="1798">
        <f>D27/J27</f>
        <v>1</v>
      </c>
    </row>
    <row r="28" spans="1:29" s="115" customFormat="1" ht="15">
      <c r="A28" s="646"/>
      <c r="B28" s="453"/>
      <c r="C28" s="2591" t="s">
        <v>3062</v>
      </c>
      <c r="D28" s="445"/>
      <c r="E28" s="2591" t="s">
        <v>3062</v>
      </c>
      <c r="F28" s="445"/>
      <c r="G28" s="2591" t="s">
        <v>3062</v>
      </c>
      <c r="H28" s="445"/>
      <c r="I28" s="2591" t="s">
        <v>3062</v>
      </c>
      <c r="J28" s="445"/>
      <c r="K28" s="669"/>
      <c r="L28" s="1121"/>
      <c r="M28" s="1122"/>
      <c r="N28" s="1122"/>
      <c r="O28" s="1123"/>
      <c r="P28" s="3250"/>
      <c r="Q28" s="1782"/>
      <c r="R28" s="767"/>
      <c r="S28" s="768"/>
      <c r="T28" s="767"/>
      <c r="U28" s="768"/>
      <c r="V28" s="767"/>
      <c r="W28" s="768"/>
      <c r="X28" s="769"/>
      <c r="Y28" s="3250"/>
      <c r="Z28" s="54"/>
      <c r="AA28" s="1798">
        <v>1</v>
      </c>
      <c r="AB28" s="1798">
        <v>1</v>
      </c>
      <c r="AC28" s="1798">
        <v>1</v>
      </c>
    </row>
    <row r="29" spans="1:29" s="115" customFormat="1" ht="15">
      <c r="A29" s="646"/>
      <c r="B29" s="1373" t="s">
        <v>2638</v>
      </c>
      <c r="C29" s="2587" t="str">
        <f>估价对象房地状况!C22</f>
        <v>六通</v>
      </c>
      <c r="D29" s="447">
        <v>100</v>
      </c>
      <c r="E29" s="451"/>
      <c r="F29" s="447">
        <f>SUMIF(102:102,E30,103:103)-SUMIF(102:102,C30,103:103)+100</f>
        <v>100</v>
      </c>
      <c r="G29" s="449"/>
      <c r="H29" s="447">
        <f>SUMIF(102:102,G30,103:103)-SUMIF(102:102,C30,103:103)+100</f>
        <v>100</v>
      </c>
      <c r="I29" s="451"/>
      <c r="J29" s="447">
        <f>SUMIF(102:102,I30,103:103)-SUMIF(102:102,C30,103:103)+100</f>
        <v>100</v>
      </c>
      <c r="K29" s="670">
        <v>1</v>
      </c>
      <c r="L29" s="1121"/>
      <c r="M29" s="1122"/>
      <c r="N29" s="1122"/>
      <c r="O29" s="1123"/>
      <c r="P29" s="3250"/>
      <c r="Q29" s="1782" t="str">
        <f t="shared" ref="Q29" si="9">B29</f>
        <v>基础设施水平</v>
      </c>
      <c r="R29" s="767" t="s">
        <v>17</v>
      </c>
      <c r="S29" s="768">
        <f>F29</f>
        <v>100</v>
      </c>
      <c r="T29" s="767" t="s">
        <v>17</v>
      </c>
      <c r="U29" s="768">
        <f>H29</f>
        <v>100</v>
      </c>
      <c r="V29" s="767" t="s">
        <v>17</v>
      </c>
      <c r="W29" s="768">
        <f>J29</f>
        <v>100</v>
      </c>
      <c r="X29" s="769"/>
      <c r="Y29" s="3250"/>
      <c r="Z29" s="54" t="str">
        <f>Q29</f>
        <v>基础设施水平</v>
      </c>
      <c r="AA29" s="1798">
        <f>D29/F29</f>
        <v>1</v>
      </c>
      <c r="AB29" s="1798">
        <f>D29/H29</f>
        <v>1</v>
      </c>
      <c r="AC29" s="1798">
        <f>D29/J29</f>
        <v>1</v>
      </c>
    </row>
    <row r="30" spans="1:29" s="115" customFormat="1" ht="15.75" thickBot="1">
      <c r="A30" s="646"/>
      <c r="B30" s="453"/>
      <c r="C30" s="2678" t="s">
        <v>3064</v>
      </c>
      <c r="D30" s="445"/>
      <c r="E30" s="2678" t="s">
        <v>3064</v>
      </c>
      <c r="F30" s="445"/>
      <c r="G30" s="2678" t="s">
        <v>3064</v>
      </c>
      <c r="H30" s="445"/>
      <c r="I30" s="2678" t="s">
        <v>3064</v>
      </c>
      <c r="J30" s="445"/>
      <c r="K30" s="669"/>
      <c r="L30" s="1121"/>
      <c r="M30" s="1122"/>
      <c r="N30" s="1122"/>
      <c r="O30" s="1123"/>
      <c r="P30" s="3250"/>
      <c r="Q30" s="1782"/>
      <c r="R30" s="767"/>
      <c r="S30" s="768"/>
      <c r="T30" s="767"/>
      <c r="U30" s="768"/>
      <c r="V30" s="767"/>
      <c r="W30" s="768"/>
      <c r="X30" s="769"/>
      <c r="Y30" s="3250"/>
      <c r="Z30" s="54"/>
      <c r="AA30" s="1798">
        <v>1</v>
      </c>
      <c r="AB30" s="1798">
        <v>1</v>
      </c>
      <c r="AC30" s="1798">
        <v>1</v>
      </c>
    </row>
    <row r="31" spans="1:29" ht="15" hidden="1">
      <c r="A31" s="425"/>
      <c r="B31" s="453" t="s">
        <v>2639</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29"/>
      <c r="M31" s="1120"/>
      <c r="N31" s="1120"/>
      <c r="O31" s="1128"/>
      <c r="P31" s="3250"/>
      <c r="Q31" s="1797" t="str">
        <f t="shared" si="8"/>
        <v>临街状况</v>
      </c>
      <c r="R31" s="771" t="s">
        <v>17</v>
      </c>
      <c r="S31" s="772">
        <f t="shared" ref="S31:S45" si="10">F31</f>
        <v>100</v>
      </c>
      <c r="T31" s="771" t="s">
        <v>17</v>
      </c>
      <c r="U31" s="772">
        <f t="shared" ref="U31:U45" si="11">H31</f>
        <v>100</v>
      </c>
      <c r="V31" s="771" t="s">
        <v>17</v>
      </c>
      <c r="W31" s="772">
        <f t="shared" ref="W31:W45" si="12">J31</f>
        <v>100</v>
      </c>
      <c r="X31" s="1800"/>
      <c r="Y31" s="3250"/>
      <c r="Z31" s="1801" t="str">
        <f t="shared" ref="Z31:Z45" si="13">Q31</f>
        <v>临街状况</v>
      </c>
      <c r="AA31" s="1798">
        <f t="shared" si="3"/>
        <v>1</v>
      </c>
      <c r="AB31" s="1798">
        <f t="shared" si="4"/>
        <v>1</v>
      </c>
      <c r="AC31" s="1798">
        <f t="shared" si="5"/>
        <v>1</v>
      </c>
    </row>
    <row r="32" spans="1:29" ht="27" hidden="1">
      <c r="A32" s="425"/>
      <c r="B32" s="1373" t="s">
        <v>2674</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29"/>
      <c r="M32" s="1120"/>
      <c r="N32" s="1120"/>
      <c r="O32" s="1128"/>
      <c r="P32" s="3250"/>
      <c r="Q32" s="1797" t="str">
        <f t="shared" si="8"/>
        <v>毗邻道路的类型与等级</v>
      </c>
      <c r="R32" s="771" t="s">
        <v>17</v>
      </c>
      <c r="S32" s="772">
        <f t="shared" si="10"/>
        <v>100</v>
      </c>
      <c r="T32" s="771" t="s">
        <v>17</v>
      </c>
      <c r="U32" s="772">
        <f t="shared" si="11"/>
        <v>100</v>
      </c>
      <c r="V32" s="771" t="s">
        <v>17</v>
      </c>
      <c r="W32" s="772">
        <f t="shared" si="12"/>
        <v>100</v>
      </c>
      <c r="X32" s="1800"/>
      <c r="Y32" s="3250"/>
      <c r="Z32" s="1801" t="str">
        <f t="shared" si="13"/>
        <v>毗邻道路的类型与等级</v>
      </c>
      <c r="AA32" s="1798">
        <f t="shared" si="3"/>
        <v>1</v>
      </c>
      <c r="AB32" s="1798">
        <f t="shared" si="4"/>
        <v>1</v>
      </c>
      <c r="AC32" s="1798">
        <f t="shared" si="5"/>
        <v>1</v>
      </c>
    </row>
    <row r="33" spans="1:29" ht="15" hidden="1">
      <c r="A33" s="425"/>
      <c r="B33" s="453"/>
      <c r="C33" s="444"/>
      <c r="D33" s="445"/>
      <c r="E33" s="2591"/>
      <c r="F33" s="445"/>
      <c r="G33" s="2591"/>
      <c r="H33" s="445"/>
      <c r="I33" s="444"/>
      <c r="J33" s="445"/>
      <c r="K33" s="610"/>
      <c r="L33" s="1129"/>
      <c r="M33" s="1120"/>
      <c r="N33" s="1120"/>
      <c r="O33" s="1128"/>
      <c r="P33" s="3250"/>
      <c r="Q33" s="1797"/>
      <c r="R33" s="771"/>
      <c r="S33" s="772"/>
      <c r="T33" s="771"/>
      <c r="U33" s="772"/>
      <c r="V33" s="771"/>
      <c r="W33" s="772"/>
      <c r="X33" s="1800"/>
      <c r="Y33" s="3250"/>
      <c r="Z33" s="1801"/>
      <c r="AA33" s="1798">
        <v>1</v>
      </c>
      <c r="AB33" s="1798">
        <v>1</v>
      </c>
      <c r="AC33" s="1798">
        <v>1</v>
      </c>
    </row>
    <row r="34" spans="1:29" ht="15" hidden="1">
      <c r="A34" s="425"/>
      <c r="B34" s="419" t="s">
        <v>2733</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29"/>
      <c r="M34" s="1120"/>
      <c r="N34" s="1120"/>
      <c r="O34" s="1128"/>
      <c r="P34" s="3250"/>
      <c r="Q34" s="1797" t="str">
        <f t="shared" si="8"/>
        <v>土地级别</v>
      </c>
      <c r="R34" s="771" t="s">
        <v>17</v>
      </c>
      <c r="S34" s="772">
        <f t="shared" si="10"/>
        <v>100</v>
      </c>
      <c r="T34" s="771" t="s">
        <v>17</v>
      </c>
      <c r="U34" s="772">
        <f t="shared" si="11"/>
        <v>100</v>
      </c>
      <c r="V34" s="771" t="s">
        <v>17</v>
      </c>
      <c r="W34" s="772">
        <f t="shared" si="12"/>
        <v>100</v>
      </c>
      <c r="X34" s="1800"/>
      <c r="Y34" s="3250"/>
      <c r="Z34" s="1801" t="str">
        <f t="shared" si="13"/>
        <v>土地级别</v>
      </c>
      <c r="AA34" s="1798">
        <f t="shared" si="3"/>
        <v>1</v>
      </c>
      <c r="AB34" s="1798">
        <f t="shared" si="4"/>
        <v>1</v>
      </c>
      <c r="AC34" s="1798">
        <f t="shared" si="5"/>
        <v>1</v>
      </c>
    </row>
    <row r="35" spans="1:29" ht="15" hidden="1">
      <c r="A35" s="402"/>
      <c r="B35" s="1375">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29"/>
      <c r="M35" s="1120"/>
      <c r="N35" s="1120"/>
      <c r="O35" s="1128"/>
      <c r="P35" s="3250"/>
      <c r="Q35" s="1797">
        <f t="shared" si="8"/>
        <v>111</v>
      </c>
      <c r="R35" s="771" t="s">
        <v>17</v>
      </c>
      <c r="S35" s="772">
        <f t="shared" si="10"/>
        <v>100</v>
      </c>
      <c r="T35" s="771" t="s">
        <v>17</v>
      </c>
      <c r="U35" s="772">
        <f t="shared" si="11"/>
        <v>100</v>
      </c>
      <c r="V35" s="771" t="s">
        <v>17</v>
      </c>
      <c r="W35" s="772">
        <f t="shared" si="12"/>
        <v>100</v>
      </c>
      <c r="X35" s="1800"/>
      <c r="Y35" s="3250"/>
      <c r="Z35" s="1801">
        <f t="shared" si="13"/>
        <v>111</v>
      </c>
      <c r="AA35" s="1798">
        <f t="shared" si="3"/>
        <v>1</v>
      </c>
      <c r="AB35" s="1798">
        <f t="shared" si="4"/>
        <v>1</v>
      </c>
      <c r="AC35" s="1798">
        <f t="shared" si="5"/>
        <v>1</v>
      </c>
    </row>
    <row r="36" spans="1:29" ht="15" hidden="1">
      <c r="A36" s="672"/>
      <c r="B36" s="1376">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29"/>
      <c r="M36" s="1120"/>
      <c r="N36" s="1120"/>
      <c r="O36" s="1128"/>
      <c r="P36" s="3251" t="s">
        <v>2548</v>
      </c>
      <c r="Q36" s="1797">
        <f t="shared" si="8"/>
        <v>111</v>
      </c>
      <c r="R36" s="771" t="s">
        <v>17</v>
      </c>
      <c r="S36" s="772">
        <f t="shared" si="10"/>
        <v>100</v>
      </c>
      <c r="T36" s="771" t="s">
        <v>17</v>
      </c>
      <c r="U36" s="772">
        <f t="shared" si="11"/>
        <v>100</v>
      </c>
      <c r="V36" s="771" t="s">
        <v>17</v>
      </c>
      <c r="W36" s="772">
        <f t="shared" si="12"/>
        <v>100</v>
      </c>
      <c r="X36" s="1800"/>
      <c r="Y36" s="3252" t="s">
        <v>2548</v>
      </c>
      <c r="Z36" s="1801">
        <f t="shared" si="13"/>
        <v>111</v>
      </c>
      <c r="AA36" s="1798">
        <f t="shared" si="3"/>
        <v>1</v>
      </c>
      <c r="AB36" s="1798">
        <f t="shared" si="4"/>
        <v>1</v>
      </c>
      <c r="AC36" s="1798">
        <f t="shared" si="5"/>
        <v>1</v>
      </c>
    </row>
    <row r="37" spans="1:29" s="468" customFormat="1" ht="15.75" hidden="1" thickBot="1">
      <c r="A37" s="673"/>
      <c r="B37" s="1377">
        <v>111</v>
      </c>
      <c r="C37" s="675"/>
      <c r="D37" s="135">
        <v>100</v>
      </c>
      <c r="E37" s="698"/>
      <c r="F37" s="435">
        <f>SUMIF(114:114,E37,115:115)-SUMIF(114:114,C37,115:115)+100</f>
        <v>100</v>
      </c>
      <c r="G37" s="698"/>
      <c r="H37" s="435">
        <f>SUMIF(114:114,G37,115:115)-SUMIF(114:114,C37,115:115)+100</f>
        <v>100</v>
      </c>
      <c r="I37" s="675"/>
      <c r="J37" s="435">
        <f>SUMIF(114:114,I37,115:115)-SUMIF(114:114,C37,115:115)+100</f>
        <v>100</v>
      </c>
      <c r="K37" s="610"/>
      <c r="L37" s="1127"/>
      <c r="M37" s="1130"/>
      <c r="N37" s="1130"/>
      <c r="O37" s="1131"/>
      <c r="P37" s="3252"/>
      <c r="Q37" s="1797">
        <f t="shared" si="8"/>
        <v>111</v>
      </c>
      <c r="R37" s="774" t="s">
        <v>17</v>
      </c>
      <c r="S37" s="775">
        <f t="shared" si="10"/>
        <v>100</v>
      </c>
      <c r="T37" s="774" t="s">
        <v>17</v>
      </c>
      <c r="U37" s="775">
        <f t="shared" si="11"/>
        <v>100</v>
      </c>
      <c r="V37" s="774" t="s">
        <v>17</v>
      </c>
      <c r="W37" s="775">
        <f t="shared" si="12"/>
        <v>100</v>
      </c>
      <c r="X37" s="776"/>
      <c r="Y37" s="3252"/>
      <c r="Z37" s="777">
        <f t="shared" si="13"/>
        <v>111</v>
      </c>
      <c r="AA37" s="1798">
        <f t="shared" si="3"/>
        <v>1</v>
      </c>
      <c r="AB37" s="1798">
        <f t="shared" si="4"/>
        <v>1</v>
      </c>
      <c r="AC37" s="1798">
        <f t="shared" si="5"/>
        <v>1</v>
      </c>
    </row>
    <row r="38" spans="1:29" ht="15">
      <c r="A38" s="469" t="s">
        <v>2546</v>
      </c>
      <c r="B38" s="453" t="s">
        <v>2734</v>
      </c>
      <c r="C38" s="2945">
        <f>'数据-基础表'!A3</f>
        <v>19053.5</v>
      </c>
      <c r="D38" s="464">
        <v>100</v>
      </c>
      <c r="E38" s="676">
        <f>'土地案例-商业'!F2</f>
        <v>10858</v>
      </c>
      <c r="F38" s="464">
        <f>LOOKUP(E38,117:117,118:118)-LOOKUP(C38,117:117,118:118)+100</f>
        <v>100</v>
      </c>
      <c r="G38" s="676">
        <f>'土地案例-商业'!F3</f>
        <v>17621</v>
      </c>
      <c r="H38" s="464">
        <f>LOOKUP(G38,117:117,118:118)-LOOKUP(C38,117:117,118:118)+100</f>
        <v>100</v>
      </c>
      <c r="I38" s="527">
        <f>'土地案例-商业'!F4</f>
        <v>3699</v>
      </c>
      <c r="J38" s="464">
        <f>LOOKUP(I38,117:117,118:118)-LOOKUP(C38,117:117,118:118)+100</f>
        <v>100</v>
      </c>
      <c r="K38" s="610"/>
      <c r="L38" s="1129"/>
      <c r="M38" s="1120"/>
      <c r="N38" s="1120"/>
      <c r="O38" s="1128"/>
      <c r="P38" s="3252"/>
      <c r="Q38" s="1797" t="str">
        <f>B38</f>
        <v>宗地面积</v>
      </c>
      <c r="R38" s="771" t="s">
        <v>17</v>
      </c>
      <c r="S38" s="772">
        <f t="shared" si="10"/>
        <v>100</v>
      </c>
      <c r="T38" s="771" t="s">
        <v>17</v>
      </c>
      <c r="U38" s="772">
        <f t="shared" si="11"/>
        <v>100</v>
      </c>
      <c r="V38" s="771" t="s">
        <v>17</v>
      </c>
      <c r="W38" s="772">
        <f t="shared" si="12"/>
        <v>100</v>
      </c>
      <c r="X38" s="1800"/>
      <c r="Y38" s="3252"/>
      <c r="Z38" s="1801" t="str">
        <f t="shared" si="13"/>
        <v>宗地面积</v>
      </c>
      <c r="AA38" s="1798">
        <f t="shared" si="3"/>
        <v>1</v>
      </c>
      <c r="AB38" s="1798">
        <f t="shared" si="4"/>
        <v>1</v>
      </c>
      <c r="AC38" s="1798">
        <f t="shared" si="5"/>
        <v>1</v>
      </c>
    </row>
    <row r="39" spans="1:29" ht="15">
      <c r="A39" s="469"/>
      <c r="B39" s="419" t="s">
        <v>2735</v>
      </c>
      <c r="C39" s="2946" t="s">
        <v>3217</v>
      </c>
      <c r="D39" s="432">
        <v>100</v>
      </c>
      <c r="E39" s="2946" t="s">
        <v>4458</v>
      </c>
      <c r="F39" s="432">
        <f>SUMIF(119:119,E39,120:120)-SUMIF(119:119,C39,120:120)+100</f>
        <v>97</v>
      </c>
      <c r="G39" s="2946" t="s">
        <v>4458</v>
      </c>
      <c r="H39" s="432">
        <f>SUMIF(119:119,G39,120:120)-SUMIF(119:119,C39,120:120)+100</f>
        <v>97</v>
      </c>
      <c r="I39" s="2946" t="s">
        <v>4458</v>
      </c>
      <c r="J39" s="432">
        <f>SUMIF(119:119,I39,120:120)-SUMIF(119:119,C39,120:120)+100</f>
        <v>97</v>
      </c>
      <c r="K39" s="609">
        <v>3</v>
      </c>
      <c r="L39" s="1122"/>
      <c r="M39" s="1122"/>
      <c r="N39" s="1120"/>
      <c r="O39" s="1128"/>
      <c r="P39" s="3252"/>
      <c r="Q39" s="1797" t="str">
        <f t="shared" ref="Q39:Q45" si="14">B39</f>
        <v>宗地形状</v>
      </c>
      <c r="R39" s="771" t="s">
        <v>17</v>
      </c>
      <c r="S39" s="772">
        <f t="shared" si="10"/>
        <v>97</v>
      </c>
      <c r="T39" s="771" t="s">
        <v>17</v>
      </c>
      <c r="U39" s="772">
        <f t="shared" si="11"/>
        <v>97</v>
      </c>
      <c r="V39" s="771" t="s">
        <v>17</v>
      </c>
      <c r="W39" s="772">
        <f t="shared" si="12"/>
        <v>97</v>
      </c>
      <c r="X39" s="1800"/>
      <c r="Y39" s="3252"/>
      <c r="Z39" s="1801" t="str">
        <f t="shared" si="13"/>
        <v>宗地形状</v>
      </c>
      <c r="AA39" s="1798">
        <f t="shared" si="3"/>
        <v>1.0309278350515463</v>
      </c>
      <c r="AB39" s="1798">
        <f t="shared" si="4"/>
        <v>1.0309278350515463</v>
      </c>
      <c r="AC39" s="1798">
        <f t="shared" si="5"/>
        <v>1.0309278350515463</v>
      </c>
    </row>
    <row r="40" spans="1:29" ht="15">
      <c r="A40" s="469"/>
      <c r="B40" s="419" t="s">
        <v>2736</v>
      </c>
      <c r="C40" s="2593" t="s">
        <v>3219</v>
      </c>
      <c r="D40" s="432">
        <v>100</v>
      </c>
      <c r="E40" s="2593" t="s">
        <v>3219</v>
      </c>
      <c r="F40" s="432">
        <f>SUMIF(121:121,E40,122:122)-SUMIF(121:121,C40,122:122)+100</f>
        <v>100</v>
      </c>
      <c r="G40" s="2593" t="s">
        <v>3219</v>
      </c>
      <c r="H40" s="432">
        <f>SUMIF(121:121,G40,122:122)-SUMIF(121:121,C40,122:122)+100</f>
        <v>100</v>
      </c>
      <c r="I40" s="2593" t="s">
        <v>3219</v>
      </c>
      <c r="J40" s="432">
        <f>SUMIF(121:121,I40,122:122)-SUMIF(121:121,C40,122:122)+100</f>
        <v>100</v>
      </c>
      <c r="K40" s="609">
        <v>2</v>
      </c>
      <c r="L40" s="1122"/>
      <c r="M40" s="1122"/>
      <c r="N40" s="1120"/>
      <c r="O40" s="1128"/>
      <c r="P40" s="3252"/>
      <c r="Q40" s="1797" t="str">
        <f t="shared" si="14"/>
        <v>临街宽度及深度</v>
      </c>
      <c r="R40" s="771" t="s">
        <v>17</v>
      </c>
      <c r="S40" s="772">
        <f t="shared" si="10"/>
        <v>100</v>
      </c>
      <c r="T40" s="771" t="s">
        <v>17</v>
      </c>
      <c r="U40" s="772">
        <f t="shared" si="11"/>
        <v>100</v>
      </c>
      <c r="V40" s="771" t="s">
        <v>17</v>
      </c>
      <c r="W40" s="772">
        <f t="shared" si="12"/>
        <v>100</v>
      </c>
      <c r="X40" s="1800"/>
      <c r="Y40" s="3252"/>
      <c r="Z40" s="1801" t="str">
        <f t="shared" si="13"/>
        <v>临街宽度及深度</v>
      </c>
      <c r="AA40" s="1798">
        <f t="shared" si="3"/>
        <v>1</v>
      </c>
      <c r="AB40" s="1798">
        <f t="shared" si="4"/>
        <v>1</v>
      </c>
      <c r="AC40" s="1798">
        <f t="shared" si="5"/>
        <v>1</v>
      </c>
    </row>
    <row r="41" spans="1:29" s="115" customFormat="1" ht="15">
      <c r="A41" s="470"/>
      <c r="B41" s="419" t="s">
        <v>2737</v>
      </c>
      <c r="C41" s="2680" t="s">
        <v>3222</v>
      </c>
      <c r="D41" s="134">
        <v>100</v>
      </c>
      <c r="E41" s="2680" t="s">
        <v>3222</v>
      </c>
      <c r="F41" s="432">
        <f>SUMIF(123:123,E41,124:124)-SUMIF(123:123,C41,124:124)+100</f>
        <v>100</v>
      </c>
      <c r="G41" s="2680" t="s">
        <v>3222</v>
      </c>
      <c r="H41" s="432">
        <f>SUMIF(123:123,G41,124:124)-SUMIF(123:123,C41,124:124)+100</f>
        <v>100</v>
      </c>
      <c r="I41" s="2680" t="s">
        <v>3222</v>
      </c>
      <c r="J41" s="432">
        <f>SUMIF(123:123,I41,124:124)-SUMIF(123:123,C41,124:124)+100</f>
        <v>100</v>
      </c>
      <c r="K41" s="609">
        <v>1</v>
      </c>
      <c r="L41" s="1121"/>
      <c r="M41" s="1122"/>
      <c r="N41" s="1122"/>
      <c r="O41" s="1123"/>
      <c r="P41" s="3252"/>
      <c r="Q41" s="1797" t="str">
        <f t="shared" si="14"/>
        <v>宗地开发程度</v>
      </c>
      <c r="R41" s="767" t="s">
        <v>17</v>
      </c>
      <c r="S41" s="768">
        <f t="shared" si="10"/>
        <v>100</v>
      </c>
      <c r="T41" s="767" t="s">
        <v>17</v>
      </c>
      <c r="U41" s="768">
        <f t="shared" si="11"/>
        <v>100</v>
      </c>
      <c r="V41" s="767" t="s">
        <v>17</v>
      </c>
      <c r="W41" s="768">
        <f t="shared" si="12"/>
        <v>100</v>
      </c>
      <c r="X41" s="769"/>
      <c r="Y41" s="3252"/>
      <c r="Z41" s="54" t="str">
        <f t="shared" si="13"/>
        <v>宗地开发程度</v>
      </c>
      <c r="AA41" s="770">
        <f t="shared" si="3"/>
        <v>1</v>
      </c>
      <c r="AB41" s="770">
        <f t="shared" si="4"/>
        <v>1</v>
      </c>
      <c r="AC41" s="770">
        <f t="shared" si="5"/>
        <v>1</v>
      </c>
    </row>
    <row r="42" spans="1:29" ht="15.75" thickBot="1">
      <c r="A42" s="469"/>
      <c r="B42" s="419" t="s">
        <v>2738</v>
      </c>
      <c r="C42" s="2946" t="s">
        <v>3066</v>
      </c>
      <c r="D42" s="432">
        <v>100</v>
      </c>
      <c r="E42" s="2946" t="s">
        <v>3066</v>
      </c>
      <c r="F42" s="432">
        <f>SUMIF(125:125,E42,126:126)-SUMIF(125:125,C42,126:126)+100</f>
        <v>100</v>
      </c>
      <c r="G42" s="2946" t="s">
        <v>3066</v>
      </c>
      <c r="H42" s="432">
        <f>SUMIF(125:125,G42,126:126)-SUMIF(125:125,C42,126:126)+100</f>
        <v>100</v>
      </c>
      <c r="I42" s="2946" t="s">
        <v>3066</v>
      </c>
      <c r="J42" s="432">
        <f>SUMIF(125:125,I42,126:126)-SUMIF(125:125,C42,126:126)+100</f>
        <v>100</v>
      </c>
      <c r="K42" s="609">
        <v>2</v>
      </c>
      <c r="L42" s="1129"/>
      <c r="M42" s="1120"/>
      <c r="N42" s="1120"/>
      <c r="O42" s="1128"/>
      <c r="P42" s="3252" t="s">
        <v>2548</v>
      </c>
      <c r="Q42" s="1797" t="str">
        <f t="shared" si="14"/>
        <v>工程地质条件</v>
      </c>
      <c r="R42" s="771" t="s">
        <v>17</v>
      </c>
      <c r="S42" s="772">
        <f t="shared" si="10"/>
        <v>100</v>
      </c>
      <c r="T42" s="771" t="s">
        <v>17</v>
      </c>
      <c r="U42" s="772">
        <f t="shared" si="11"/>
        <v>100</v>
      </c>
      <c r="V42" s="771" t="s">
        <v>17</v>
      </c>
      <c r="W42" s="772">
        <f t="shared" si="12"/>
        <v>100</v>
      </c>
      <c r="X42" s="1800"/>
      <c r="Y42" s="3252" t="s">
        <v>2548</v>
      </c>
      <c r="Z42" s="1801" t="str">
        <f t="shared" si="13"/>
        <v>工程地质条件</v>
      </c>
      <c r="AA42" s="1798">
        <f t="shared" si="3"/>
        <v>1</v>
      </c>
      <c r="AB42" s="1798">
        <f t="shared" si="4"/>
        <v>1</v>
      </c>
      <c r="AC42" s="1798">
        <f t="shared" si="5"/>
        <v>1</v>
      </c>
    </row>
    <row r="43" spans="1:29" ht="15" hidden="1">
      <c r="A43" s="469"/>
      <c r="B43" s="1376">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29"/>
      <c r="M43" s="1120"/>
      <c r="N43" s="1120"/>
      <c r="O43" s="1128"/>
      <c r="P43" s="3252"/>
      <c r="Q43" s="1797">
        <f t="shared" si="14"/>
        <v>111</v>
      </c>
      <c r="R43" s="771" t="s">
        <v>17</v>
      </c>
      <c r="S43" s="772">
        <f t="shared" si="10"/>
        <v>100</v>
      </c>
      <c r="T43" s="771" t="s">
        <v>17</v>
      </c>
      <c r="U43" s="772">
        <f t="shared" si="11"/>
        <v>100</v>
      </c>
      <c r="V43" s="771" t="s">
        <v>17</v>
      </c>
      <c r="W43" s="772">
        <f t="shared" si="12"/>
        <v>100</v>
      </c>
      <c r="X43" s="1800"/>
      <c r="Y43" s="3252"/>
      <c r="Z43" s="1801">
        <f t="shared" si="13"/>
        <v>111</v>
      </c>
      <c r="AA43" s="1798">
        <f t="shared" si="3"/>
        <v>1</v>
      </c>
      <c r="AB43" s="1798">
        <f t="shared" si="4"/>
        <v>1</v>
      </c>
      <c r="AC43" s="1798">
        <f t="shared" si="5"/>
        <v>1</v>
      </c>
    </row>
    <row r="44" spans="1:29" ht="15" hidden="1">
      <c r="A44" s="469"/>
      <c r="B44" s="1376">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29"/>
      <c r="M44" s="1120"/>
      <c r="N44" s="1120"/>
      <c r="O44" s="1128"/>
      <c r="P44" s="3252"/>
      <c r="Q44" s="1797">
        <f t="shared" si="14"/>
        <v>111</v>
      </c>
      <c r="R44" s="771" t="s">
        <v>17</v>
      </c>
      <c r="S44" s="772">
        <f t="shared" si="10"/>
        <v>100</v>
      </c>
      <c r="T44" s="771" t="s">
        <v>17</v>
      </c>
      <c r="U44" s="772">
        <f t="shared" si="11"/>
        <v>100</v>
      </c>
      <c r="V44" s="771" t="s">
        <v>17</v>
      </c>
      <c r="W44" s="772">
        <f t="shared" si="12"/>
        <v>100</v>
      </c>
      <c r="X44" s="1800"/>
      <c r="Y44" s="3252"/>
      <c r="Z44" s="1801">
        <f t="shared" si="13"/>
        <v>111</v>
      </c>
      <c r="AA44" s="1798">
        <f t="shared" si="3"/>
        <v>1</v>
      </c>
      <c r="AB44" s="1798">
        <f t="shared" si="4"/>
        <v>1</v>
      </c>
      <c r="AC44" s="1798">
        <f t="shared" si="5"/>
        <v>1</v>
      </c>
    </row>
    <row r="45" spans="1:29" s="468" customFormat="1" ht="15.75" hidden="1" thickBot="1">
      <c r="A45" s="465"/>
      <c r="B45" s="1376">
        <v>111</v>
      </c>
      <c r="C45" s="2681"/>
      <c r="D45" s="677">
        <v>100</v>
      </c>
      <c r="E45" s="671"/>
      <c r="F45" s="435">
        <f>SUMIF(131:131,E45,132:132)-SUMIF(131:131,C45,132:132)+100</f>
        <v>100</v>
      </c>
      <c r="G45" s="671"/>
      <c r="H45" s="435">
        <f>SUMIF(131:131,G45,132:132)-SUMIF(131:131,C45,132:132)+100</f>
        <v>100</v>
      </c>
      <c r="I45" s="671"/>
      <c r="J45" s="435">
        <f>SUMIF(131:131,I45,132:132)-SUMIF(131:131,C45,132:132)+100</f>
        <v>100</v>
      </c>
      <c r="K45" s="678"/>
      <c r="L45" s="1127"/>
      <c r="M45" s="1130"/>
      <c r="N45" s="1130"/>
      <c r="O45" s="1131"/>
      <c r="P45" s="3252"/>
      <c r="Q45" s="1797">
        <f t="shared" si="14"/>
        <v>111</v>
      </c>
      <c r="R45" s="774" t="s">
        <v>17</v>
      </c>
      <c r="S45" s="775">
        <f t="shared" si="10"/>
        <v>100</v>
      </c>
      <c r="T45" s="774" t="s">
        <v>17</v>
      </c>
      <c r="U45" s="775">
        <f t="shared" si="11"/>
        <v>100</v>
      </c>
      <c r="V45" s="774" t="s">
        <v>17</v>
      </c>
      <c r="W45" s="775">
        <f t="shared" si="12"/>
        <v>100</v>
      </c>
      <c r="X45" s="776"/>
      <c r="Y45" s="3252"/>
      <c r="Z45" s="777">
        <f t="shared" si="13"/>
        <v>111</v>
      </c>
      <c r="AA45" s="1798">
        <f t="shared" si="3"/>
        <v>1</v>
      </c>
      <c r="AB45" s="1798">
        <f t="shared" si="4"/>
        <v>1</v>
      </c>
      <c r="AC45" s="1798">
        <f t="shared" si="5"/>
        <v>1</v>
      </c>
    </row>
    <row r="46" spans="1:29" ht="15">
      <c r="A46" s="476" t="s">
        <v>2703</v>
      </c>
      <c r="B46" s="2682" t="s">
        <v>2739</v>
      </c>
      <c r="C46" s="679" t="s">
        <v>1</v>
      </c>
      <c r="D46" s="478"/>
      <c r="E46" s="479">
        <f>ROUND('土地案例-商业'!O2,0)</f>
        <v>2756</v>
      </c>
      <c r="F46" s="480"/>
      <c r="G46" s="481">
        <f>ROUND('土地案例-商业'!O3,0)</f>
        <v>2623</v>
      </c>
      <c r="H46" s="482"/>
      <c r="I46" s="479">
        <f>ROUND('土地案例-商业'!O4,0)</f>
        <v>3242</v>
      </c>
      <c r="J46" s="482"/>
      <c r="K46" s="780"/>
      <c r="L46" s="1132"/>
      <c r="M46" s="1133"/>
      <c r="N46" s="1120"/>
      <c r="O46" s="1133"/>
      <c r="P46" s="3247" t="str">
        <f>A46</f>
        <v>成交单价</v>
      </c>
      <c r="Q46" s="3247"/>
      <c r="R46" s="3253">
        <f>E46</f>
        <v>2756</v>
      </c>
      <c r="S46" s="3253"/>
      <c r="T46" s="3253">
        <f>G46</f>
        <v>2623</v>
      </c>
      <c r="U46" s="3253"/>
      <c r="V46" s="3253">
        <f>I46</f>
        <v>3242</v>
      </c>
      <c r="W46" s="3253"/>
      <c r="X46" s="756"/>
      <c r="Y46" s="778"/>
      <c r="Z46" s="756"/>
      <c r="AA46" s="756"/>
      <c r="AB46" s="756"/>
      <c r="AC46" s="756"/>
    </row>
    <row r="47" spans="1:29" ht="15.75" thickBot="1">
      <c r="A47" s="483" t="s">
        <v>2652</v>
      </c>
      <c r="B47" s="680"/>
      <c r="C47" s="487">
        <f>R48</f>
        <v>2948</v>
      </c>
      <c r="D47" s="486"/>
      <c r="E47" s="487">
        <f>R47</f>
        <v>2829</v>
      </c>
      <c r="F47" s="488"/>
      <c r="G47" s="485">
        <f>T47</f>
        <v>2719</v>
      </c>
      <c r="H47" s="486"/>
      <c r="I47" s="487">
        <f>V47</f>
        <v>3295</v>
      </c>
      <c r="J47" s="486"/>
      <c r="K47" s="781"/>
      <c r="L47" s="1132"/>
      <c r="M47" s="1133"/>
      <c r="N47" s="1133"/>
      <c r="O47" s="1133"/>
      <c r="P47" s="3247" t="str">
        <f>A47</f>
        <v>比较价值（元/平方米）</v>
      </c>
      <c r="Q47" s="3247"/>
      <c r="R47" s="3240">
        <f>ROUND(PRODUCT(R46,AA7:AA45),0)</f>
        <v>2829</v>
      </c>
      <c r="S47" s="3240"/>
      <c r="T47" s="3240">
        <f>ROUND(PRODUCT(T46,AB7:AB45),0)</f>
        <v>2719</v>
      </c>
      <c r="U47" s="3240"/>
      <c r="V47" s="3240">
        <f>ROUND(PRODUCT(V46,AC7:AC45),0)</f>
        <v>3295</v>
      </c>
      <c r="W47" s="3240"/>
      <c r="X47" s="756"/>
      <c r="Y47" s="756"/>
      <c r="Z47" s="756"/>
      <c r="AA47" s="756"/>
      <c r="AB47" s="756"/>
      <c r="AC47" s="756"/>
    </row>
    <row r="48" spans="1:29" ht="15.75" thickBot="1">
      <c r="A48" s="489" t="s">
        <v>2740</v>
      </c>
      <c r="B48" s="490"/>
      <c r="C48" s="491">
        <f>R48</f>
        <v>2948</v>
      </c>
      <c r="D48" s="491"/>
      <c r="E48" s="491"/>
      <c r="F48" s="491"/>
      <c r="G48" s="491"/>
      <c r="H48" s="491"/>
      <c r="I48" s="491"/>
      <c r="J48" s="491"/>
      <c r="K48" s="782"/>
      <c r="L48" s="1132"/>
      <c r="M48" s="1133"/>
      <c r="N48" s="1133"/>
      <c r="O48" s="1133"/>
      <c r="P48" s="3241" t="str">
        <f>A48</f>
        <v>估价对象XX用房的比较价值（楼面单价，元/平方米）</v>
      </c>
      <c r="Q48" s="3242"/>
      <c r="R48" s="3243">
        <f>ROUND(AVERAGE(R47:V47),0)</f>
        <v>2948</v>
      </c>
      <c r="S48" s="3243"/>
      <c r="T48" s="3243"/>
      <c r="U48" s="3243"/>
      <c r="V48" s="3243"/>
      <c r="W48" s="3243"/>
      <c r="X48" s="756"/>
      <c r="Y48" s="756"/>
      <c r="Z48" s="756"/>
      <c r="AA48" s="756"/>
      <c r="AB48" s="756"/>
      <c r="AC48" s="756"/>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94" t="s">
        <v>2654</v>
      </c>
      <c r="D51" s="495"/>
      <c r="E51" s="496">
        <f>IF(E46&lt;E47,E47/E46-1,E46/E47-1)</f>
        <v>2.6487663280116092E-2</v>
      </c>
      <c r="F51" s="497" t="str">
        <f>IF(OR(E51&gt;=0.3,E51&lt;=-0.3),"超过30%","")</f>
        <v/>
      </c>
      <c r="G51" s="496">
        <f>IF(G46&lt;G47,G47/G46-1,G46/G47-1)</f>
        <v>3.6599313762866847E-2</v>
      </c>
      <c r="H51" s="497" t="str">
        <f>IF(OR(G51&gt;=0.3,G51&lt;=-0.3),"超过30%","")</f>
        <v/>
      </c>
      <c r="I51" s="496">
        <f>IF(I46&lt;I47,I47/I46-1,I46/I47-1)</f>
        <v>1.6347933374460277E-2</v>
      </c>
      <c r="J51" s="497" t="str">
        <f>IF(OR(I51&gt;=0.3,I51&lt;=-0.3),"超过30%","")</f>
        <v/>
      </c>
      <c r="K51" s="1094"/>
      <c r="L51" s="1095"/>
      <c r="M51" s="1133"/>
      <c r="N51" s="1133"/>
      <c r="O51" s="1133"/>
    </row>
    <row r="52" spans="1:15" ht="13.5" customHeight="1">
      <c r="A52" s="1133"/>
      <c r="B52" s="1133"/>
      <c r="C52" s="494" t="s">
        <v>2655</v>
      </c>
      <c r="D52" s="498"/>
      <c r="E52" s="496">
        <f>IF(E47&lt;G47,G47/E47-1,E47/G47-1)</f>
        <v>4.0456050018389034E-2</v>
      </c>
      <c r="F52" s="497" t="str">
        <f>IF(OR(E52&gt;=0.2,E52&lt;=-0.2),"超过20%","")</f>
        <v/>
      </c>
      <c r="G52" s="496">
        <f>IF(G47&lt;I47,I47/G47-1,G47/I47-1)</f>
        <v>0.21184258918720111</v>
      </c>
      <c r="H52" s="497" t="str">
        <f>IF(OR(G52&gt;=0.2,G52&lt;=-0.2),"超过20%","")</f>
        <v>超过20%</v>
      </c>
      <c r="I52" s="496">
        <f>IF(I47&lt;E47,E47/I47-1,I47/E47-1)</f>
        <v>0.16472251679038519</v>
      </c>
      <c r="J52" s="497" t="str">
        <f>IF(OR(I52&gt;=0.2,I52&lt;=-0.2),"超过20%","")</f>
        <v/>
      </c>
      <c r="K52" s="1094"/>
      <c r="L52" s="1095"/>
      <c r="M52" s="1133"/>
      <c r="N52" s="1133"/>
      <c r="O52" s="1133"/>
    </row>
    <row r="53" spans="1:15" s="499" customFormat="1" ht="13.5" customHeight="1">
      <c r="A53" s="1134"/>
      <c r="B53" s="1134"/>
      <c r="C53" s="494" t="s">
        <v>2656</v>
      </c>
      <c r="D53" s="498"/>
      <c r="E53" s="496">
        <f>IF(E46&lt;G46,G46/E46-1,E46/G46-1)</f>
        <v>5.0705299275638493E-2</v>
      </c>
      <c r="F53" s="497" t="str">
        <f>IF(OR(E53&gt;=0.3,E53&lt;=-0.3),"超过30%","")</f>
        <v/>
      </c>
      <c r="G53" s="496">
        <f>IF(G46&lt;I46,I46/G46-1,G46/I46-1)</f>
        <v>0.23598932520015259</v>
      </c>
      <c r="H53" s="497" t="str">
        <f>IF(OR(G53&gt;=0.3,G53&lt;=-0.3),"超过30%","")</f>
        <v/>
      </c>
      <c r="I53" s="496">
        <f>IF(I46&lt;E46,E46/I46-1,I46/E46-1)</f>
        <v>0.17634252539912909</v>
      </c>
      <c r="J53" s="497" t="str">
        <f>IF(OR(I53&gt;=0.3,I53&lt;=-0.3),"超过30%","")</f>
        <v/>
      </c>
      <c r="K53" s="1137"/>
      <c r="L53" s="1138"/>
      <c r="M53" s="1134"/>
      <c r="N53" s="1134"/>
      <c r="O53" s="1134"/>
    </row>
    <row r="54" spans="1:15" s="499" customFormat="1" ht="15" thickBot="1">
      <c r="A54" s="1134"/>
      <c r="B54" s="1135"/>
      <c r="C54" s="759"/>
      <c r="D54" s="757"/>
      <c r="E54" s="757"/>
      <c r="F54" s="757"/>
      <c r="G54" s="757"/>
      <c r="H54" s="757"/>
      <c r="I54" s="757"/>
      <c r="J54" s="757"/>
      <c r="K54" s="1137"/>
      <c r="L54" s="1138"/>
      <c r="M54" s="1134"/>
      <c r="N54" s="1134"/>
      <c r="O54" s="1134"/>
    </row>
    <row r="55" spans="1:15" ht="27" customHeight="1">
      <c r="A55" s="681" t="s">
        <v>2741</v>
      </c>
      <c r="B55" s="682" t="s">
        <v>2742</v>
      </c>
      <c r="C55" s="2683" t="s">
        <v>2743</v>
      </c>
      <c r="D55" s="2684" t="s">
        <v>2744</v>
      </c>
      <c r="E55" s="683" t="s">
        <v>2745</v>
      </c>
      <c r="F55" s="1096" t="s">
        <v>2746</v>
      </c>
      <c r="G55" s="3244" t="s">
        <v>2747</v>
      </c>
      <c r="H55" s="3245"/>
      <c r="I55" s="142" t="s">
        <v>2748</v>
      </c>
      <c r="J55" s="2685" t="str">
        <f>项目基本情况!F35</f>
        <v>贵州省</v>
      </c>
      <c r="K55" s="2686" t="s">
        <v>2749</v>
      </c>
      <c r="L55" s="1095"/>
      <c r="M55" s="1133"/>
      <c r="N55" s="1133"/>
      <c r="O55" s="1133"/>
    </row>
    <row r="56" spans="1:15" s="689" customFormat="1">
      <c r="A56" s="685" t="s">
        <v>2750</v>
      </c>
      <c r="B56" s="686">
        <f>C48</f>
        <v>2948</v>
      </c>
      <c r="C56" s="687">
        <v>1</v>
      </c>
      <c r="D56" s="1152">
        <v>1</v>
      </c>
      <c r="E56" s="687">
        <f>'数据-汇总表'!E8+'数据-汇总表'!E9</f>
        <v>66687.25</v>
      </c>
      <c r="F56" s="1092">
        <f t="shared" ref="F56:F65" si="15">ROUND(B56*E56/10000,0)</f>
        <v>19659</v>
      </c>
      <c r="G56" s="3246"/>
      <c r="H56" s="3247"/>
      <c r="I56" s="1097">
        <v>1</v>
      </c>
      <c r="J56" s="1100">
        <v>1</v>
      </c>
      <c r="K56" s="1134"/>
      <c r="L56" s="931"/>
      <c r="M56" s="931"/>
      <c r="N56" s="931"/>
      <c r="O56" s="931"/>
    </row>
    <row r="57" spans="1:15" s="689" customFormat="1">
      <c r="A57" s="690" t="s">
        <v>2751</v>
      </c>
      <c r="B57" s="260">
        <f>ROUND($C$48*C57*D57,0)</f>
        <v>0</v>
      </c>
      <c r="C57" s="198">
        <f t="shared" ref="C57:C65" si="16">IF($C$55="北京市系数",I57,J57)</f>
        <v>0</v>
      </c>
      <c r="D57" s="1153">
        <v>0.25</v>
      </c>
      <c r="E57" s="691"/>
      <c r="F57" s="1092">
        <f t="shared" si="15"/>
        <v>0</v>
      </c>
      <c r="G57" s="3248" t="s">
        <v>2752</v>
      </c>
      <c r="H57" s="1093">
        <f>项目基本情况!B37</f>
        <v>0</v>
      </c>
      <c r="I57" s="1097">
        <f>SUMIF(修正!A45:A56,H57,修正!B45:B56)</f>
        <v>0</v>
      </c>
      <c r="J57" s="1101"/>
      <c r="K57" s="1133"/>
      <c r="L57" s="931"/>
      <c r="M57" s="931"/>
      <c r="N57" s="931"/>
      <c r="O57" s="931"/>
    </row>
    <row r="58" spans="1:15" s="689" customFormat="1">
      <c r="A58" s="690" t="s">
        <v>2753</v>
      </c>
      <c r="B58" s="260">
        <f t="shared" ref="B58:B65" si="17">ROUND($C$48*C58*D58,0)</f>
        <v>0</v>
      </c>
      <c r="C58" s="198">
        <f t="shared" si="16"/>
        <v>0</v>
      </c>
      <c r="D58" s="1153">
        <v>0.25</v>
      </c>
      <c r="E58" s="691"/>
      <c r="F58" s="1092">
        <f t="shared" si="15"/>
        <v>0</v>
      </c>
      <c r="G58" s="3248"/>
      <c r="H58" s="1093">
        <f>项目基本情况!B37</f>
        <v>0</v>
      </c>
      <c r="I58" s="1097">
        <f>SUMIF(修正!A45:A56,H58,修正!C45:C56)</f>
        <v>0</v>
      </c>
      <c r="J58" s="1101"/>
      <c r="K58" s="1134"/>
      <c r="L58" s="931"/>
      <c r="M58" s="931"/>
      <c r="N58" s="931"/>
      <c r="O58" s="931"/>
    </row>
    <row r="59" spans="1:15" s="689" customFormat="1">
      <c r="A59" s="690" t="s">
        <v>2754</v>
      </c>
      <c r="B59" s="260">
        <f t="shared" si="17"/>
        <v>0</v>
      </c>
      <c r="C59" s="198">
        <f t="shared" si="16"/>
        <v>0</v>
      </c>
      <c r="D59" s="1153">
        <v>0.25</v>
      </c>
      <c r="E59" s="691"/>
      <c r="F59" s="1092">
        <f t="shared" si="15"/>
        <v>0</v>
      </c>
      <c r="G59" s="3248"/>
      <c r="H59" s="1093">
        <f>项目基本情况!B37</f>
        <v>0</v>
      </c>
      <c r="I59" s="1097">
        <f>SUMIF(修正!A45:A56,H59,修正!D45:D56)</f>
        <v>0</v>
      </c>
      <c r="J59" s="1101"/>
      <c r="K59" s="1133"/>
      <c r="L59" s="931"/>
      <c r="M59" s="931"/>
      <c r="N59" s="931"/>
      <c r="O59" s="931"/>
    </row>
    <row r="60" spans="1:15" s="689" customFormat="1">
      <c r="A60" s="690" t="s">
        <v>2755</v>
      </c>
      <c r="B60" s="260">
        <f t="shared" si="17"/>
        <v>0</v>
      </c>
      <c r="C60" s="198">
        <f t="shared" si="16"/>
        <v>0</v>
      </c>
      <c r="D60" s="1153">
        <v>0.25</v>
      </c>
      <c r="E60" s="691"/>
      <c r="F60" s="1092">
        <f t="shared" si="15"/>
        <v>0</v>
      </c>
      <c r="G60" s="3248"/>
      <c r="H60" s="1093">
        <f>项目基本情况!B37</f>
        <v>0</v>
      </c>
      <c r="I60" s="1097">
        <f>SUMIF(修正!A45:A56,H60,修正!E45:E56)</f>
        <v>0</v>
      </c>
      <c r="J60" s="1101"/>
      <c r="K60" s="1134"/>
      <c r="L60" s="931"/>
      <c r="M60" s="931"/>
      <c r="N60" s="931"/>
      <c r="O60" s="931"/>
    </row>
    <row r="61" spans="1:15" s="689" customFormat="1">
      <c r="A61" s="690" t="s">
        <v>2756</v>
      </c>
      <c r="B61" s="260">
        <f t="shared" si="17"/>
        <v>0</v>
      </c>
      <c r="C61" s="198">
        <f t="shared" si="16"/>
        <v>0</v>
      </c>
      <c r="D61" s="1153">
        <v>0.25</v>
      </c>
      <c r="E61" s="259">
        <f>'数据-汇总表'!E11</f>
        <v>0</v>
      </c>
      <c r="F61" s="1092">
        <f t="shared" si="15"/>
        <v>0</v>
      </c>
      <c r="G61" s="2687" t="s">
        <v>2757</v>
      </c>
      <c r="H61" s="1093">
        <f>项目基本情况!C37</f>
        <v>0</v>
      </c>
      <c r="I61" s="1097">
        <f>SUMIF(修正!A45:A56,H61,修正!F45:F56)</f>
        <v>0</v>
      </c>
      <c r="J61" s="1101"/>
      <c r="K61" s="1133"/>
      <c r="L61" s="931"/>
      <c r="M61" s="931"/>
      <c r="N61" s="931"/>
      <c r="O61" s="931"/>
    </row>
    <row r="62" spans="1:15" s="689" customFormat="1">
      <c r="A62" s="690" t="s">
        <v>2758</v>
      </c>
      <c r="B62" s="260">
        <f t="shared" si="17"/>
        <v>0</v>
      </c>
      <c r="C62" s="198">
        <f t="shared" si="16"/>
        <v>0</v>
      </c>
      <c r="D62" s="1153">
        <v>0.25</v>
      </c>
      <c r="E62" s="259">
        <f>'数据-汇总表'!E12</f>
        <v>0</v>
      </c>
      <c r="F62" s="1092">
        <f t="shared" si="15"/>
        <v>0</v>
      </c>
      <c r="G62" s="1098" t="s">
        <v>2759</v>
      </c>
      <c r="H62" s="1093">
        <f>IF(G62="商业",项目基本情况!B37,IF(G62="办公",项目基本情况!C37,IF(G62="住宅",项目基本情况!D37,项目基本情况!E37)))</f>
        <v>0</v>
      </c>
      <c r="I62" s="1097">
        <f>SUMIF(修正!A45:A56,H62,修正!G45:G56)</f>
        <v>0</v>
      </c>
      <c r="J62" s="1101"/>
      <c r="K62" s="1134"/>
      <c r="L62" s="931"/>
      <c r="M62" s="931"/>
      <c r="N62" s="931"/>
      <c r="O62" s="931"/>
    </row>
    <row r="63" spans="1:15" s="689" customFormat="1">
      <c r="A63" s="690" t="s">
        <v>2760</v>
      </c>
      <c r="B63" s="260">
        <f t="shared" si="17"/>
        <v>0</v>
      </c>
      <c r="C63" s="198">
        <f t="shared" si="16"/>
        <v>0</v>
      </c>
      <c r="D63" s="1153">
        <v>0.25</v>
      </c>
      <c r="E63" s="259">
        <f>'数据-汇总表'!E13</f>
        <v>0</v>
      </c>
      <c r="F63" s="1092">
        <f t="shared" si="15"/>
        <v>0</v>
      </c>
      <c r="G63" s="1098" t="s">
        <v>2761</v>
      </c>
      <c r="H63" s="1093">
        <f>IF(G63="商业",项目基本情况!B37,IF(G63="办公",项目基本情况!C37,IF(G63="住宅",项目基本情况!D37,项目基本情况!E37)))</f>
        <v>0</v>
      </c>
      <c r="I63" s="1097">
        <f>SUMIF(修正!A45:A56,H63,修正!H45:H56)</f>
        <v>0</v>
      </c>
      <c r="J63" s="1101"/>
      <c r="K63" s="1133"/>
      <c r="L63" s="931"/>
      <c r="M63" s="931"/>
      <c r="N63" s="931"/>
      <c r="O63" s="931"/>
    </row>
    <row r="64" spans="1:15" s="689" customFormat="1">
      <c r="A64" s="690" t="s">
        <v>2762</v>
      </c>
      <c r="B64" s="260">
        <f t="shared" si="17"/>
        <v>0</v>
      </c>
      <c r="C64" s="198">
        <f t="shared" si="16"/>
        <v>0</v>
      </c>
      <c r="D64" s="1153">
        <v>0.25</v>
      </c>
      <c r="E64" s="259">
        <f>'数据-汇总表'!E14</f>
        <v>0</v>
      </c>
      <c r="F64" s="1092">
        <f t="shared" si="15"/>
        <v>0</v>
      </c>
      <c r="G64" s="2687" t="s">
        <v>2752</v>
      </c>
      <c r="H64" s="1093">
        <f>项目基本情况!B37</f>
        <v>0</v>
      </c>
      <c r="I64" s="1097">
        <f>SUMIF(修正!A45:A56,H64,修正!H45:H56)</f>
        <v>0</v>
      </c>
      <c r="J64" s="1101"/>
      <c r="K64" s="1134"/>
      <c r="L64" s="931"/>
      <c r="M64" s="931"/>
      <c r="N64" s="931"/>
      <c r="O64" s="931"/>
    </row>
    <row r="65" spans="1:17" s="689" customFormat="1" ht="15" thickBot="1">
      <c r="A65" s="690" t="s">
        <v>2763</v>
      </c>
      <c r="B65" s="260">
        <f t="shared" si="17"/>
        <v>0</v>
      </c>
      <c r="C65" s="198">
        <f t="shared" si="16"/>
        <v>0</v>
      </c>
      <c r="D65" s="1153">
        <v>0.25</v>
      </c>
      <c r="E65" s="259">
        <f>'数据-汇总表'!E15</f>
        <v>0</v>
      </c>
      <c r="F65" s="1092">
        <f t="shared" si="15"/>
        <v>0</v>
      </c>
      <c r="G65" s="2688" t="s">
        <v>2757</v>
      </c>
      <c r="H65" s="1103">
        <f>项目基本情况!C37</f>
        <v>0</v>
      </c>
      <c r="I65" s="1099">
        <f>SUMIF(修正!A45:A56,H65,修正!H45:H56)</f>
        <v>0</v>
      </c>
      <c r="J65" s="1102"/>
      <c r="K65" s="1133"/>
      <c r="L65" s="931"/>
      <c r="M65" s="931"/>
      <c r="N65" s="931"/>
      <c r="O65" s="931"/>
    </row>
    <row r="66" spans="1:17" s="689" customFormat="1" ht="13.5" thickBot="1">
      <c r="A66" s="692" t="s">
        <v>2764</v>
      </c>
      <c r="B66" s="693" t="s">
        <v>28</v>
      </c>
      <c r="C66" s="693" t="s">
        <v>29</v>
      </c>
      <c r="D66" s="693" t="s">
        <v>1026</v>
      </c>
      <c r="E66" s="693">
        <f>IF(B46="楼面地价",SUM(E56:E65),'数据-汇总表'!D3)</f>
        <v>66687.25</v>
      </c>
      <c r="F66" s="694">
        <f>IF(B46="楼面地价",SUM(F56:F65),ROUND(C48*E66/10000,0))</f>
        <v>19659</v>
      </c>
      <c r="G66" s="784"/>
      <c r="H66" s="784"/>
      <c r="I66" s="784"/>
      <c r="J66" s="784"/>
      <c r="K66" s="1147"/>
      <c r="L66" s="931"/>
      <c r="M66" s="931"/>
      <c r="N66" s="931"/>
      <c r="O66" s="931"/>
    </row>
    <row r="67" spans="1:17">
      <c r="A67" s="756"/>
      <c r="B67" s="758"/>
      <c r="C67" s="759"/>
      <c r="D67" s="756"/>
      <c r="E67" s="756"/>
      <c r="F67" s="756"/>
      <c r="G67" s="756"/>
      <c r="H67" s="756"/>
      <c r="I67" s="756"/>
      <c r="J67" s="1133"/>
      <c r="K67" s="1094"/>
      <c r="L67" s="1095"/>
      <c r="M67" s="1133"/>
      <c r="N67" s="1133"/>
      <c r="O67" s="1133"/>
    </row>
    <row r="68" spans="1:17">
      <c r="A68" s="756"/>
      <c r="B68" s="758"/>
      <c r="C68" s="758" t="str">
        <f>YEAR(C7)&amp;"-"&amp;MONTH(C7)&amp;"-1"</f>
        <v>2020-5-1</v>
      </c>
      <c r="D68" s="758">
        <f>EDATE(C68,-3)</f>
        <v>43862</v>
      </c>
      <c r="E68" s="758">
        <f>EDATE(D68,-3)</f>
        <v>43770</v>
      </c>
      <c r="F68" s="758">
        <f t="shared" ref="F68:O68" si="18">EDATE(E68,-3)</f>
        <v>43678</v>
      </c>
      <c r="G68" s="758">
        <f t="shared" si="18"/>
        <v>43586</v>
      </c>
      <c r="H68" s="758">
        <f t="shared" si="18"/>
        <v>43497</v>
      </c>
      <c r="I68" s="758">
        <f t="shared" si="18"/>
        <v>43405</v>
      </c>
      <c r="J68" s="758">
        <f t="shared" si="18"/>
        <v>43313</v>
      </c>
      <c r="K68" s="758">
        <f t="shared" si="18"/>
        <v>43221</v>
      </c>
      <c r="L68" s="758">
        <f t="shared" si="18"/>
        <v>43132</v>
      </c>
      <c r="M68" s="758">
        <f t="shared" si="18"/>
        <v>43040</v>
      </c>
      <c r="N68" s="758">
        <f t="shared" si="18"/>
        <v>42948</v>
      </c>
      <c r="O68" s="758">
        <f t="shared" si="18"/>
        <v>42856</v>
      </c>
    </row>
    <row r="69" spans="1:17" ht="21.75" thickBot="1">
      <c r="A69" s="760" t="s">
        <v>2657</v>
      </c>
      <c r="B69" s="756"/>
      <c r="C69" s="761"/>
      <c r="D69" s="761"/>
      <c r="E69" s="761"/>
      <c r="F69" s="762"/>
      <c r="G69" s="762"/>
      <c r="H69" s="761"/>
      <c r="I69" s="761"/>
      <c r="J69" s="1148"/>
      <c r="K69" s="1149"/>
      <c r="L69" s="1150"/>
      <c r="M69" s="1148"/>
      <c r="N69" s="1148"/>
      <c r="O69" s="1148"/>
      <c r="P69" s="500"/>
      <c r="Q69" s="501"/>
    </row>
    <row r="70" spans="1:17" s="505" customFormat="1" ht="15">
      <c r="A70" s="2689" t="s">
        <v>2765</v>
      </c>
      <c r="B70" s="1348"/>
      <c r="C70" s="1560" t="str">
        <f>YEAR(C68)&amp;"-"&amp;ROUNDUP(MONTH(C68)/3,0)</f>
        <v>2020-2</v>
      </c>
      <c r="D70" s="1560" t="str">
        <f>YEAR(D68)&amp;"-"&amp;ROUNDUP(MONTH(D68)/3,0)</f>
        <v>2020-1</v>
      </c>
      <c r="E70" s="1560" t="str">
        <f t="shared" ref="E70:O70" si="19">YEAR(E68)&amp;"-"&amp;ROUNDUP(MONTH(E68)/3,0)</f>
        <v>2019-4</v>
      </c>
      <c r="F70" s="1560" t="str">
        <f t="shared" si="19"/>
        <v>2019-3</v>
      </c>
      <c r="G70" s="1560" t="str">
        <f t="shared" si="19"/>
        <v>2019-2</v>
      </c>
      <c r="H70" s="1560" t="str">
        <f t="shared" si="19"/>
        <v>2019-1</v>
      </c>
      <c r="I70" s="1560" t="str">
        <f t="shared" si="19"/>
        <v>2018-4</v>
      </c>
      <c r="J70" s="1560" t="str">
        <f t="shared" si="19"/>
        <v>2018-3</v>
      </c>
      <c r="K70" s="1560" t="str">
        <f t="shared" si="19"/>
        <v>2018-2</v>
      </c>
      <c r="L70" s="1560" t="str">
        <f t="shared" si="19"/>
        <v>2018-1</v>
      </c>
      <c r="M70" s="1560" t="str">
        <f t="shared" si="19"/>
        <v>2017-4</v>
      </c>
      <c r="N70" s="1560" t="str">
        <f t="shared" si="19"/>
        <v>2017-3</v>
      </c>
      <c r="O70" s="1560" t="str">
        <f t="shared" si="19"/>
        <v>2017-2</v>
      </c>
      <c r="P70" s="504"/>
    </row>
    <row r="71" spans="1:17" s="115" customFormat="1" ht="30" customHeight="1">
      <c r="A71" s="2690" t="s">
        <v>2766</v>
      </c>
      <c r="B71" s="330" t="str">
        <f>"北京市平均增长率"&amp;TEXT(SUMIF(基准地价修正!N21:N25,A71,基准地价修正!P21:P25),"0.00%")</f>
        <v>北京市平均增长率0.00%</v>
      </c>
      <c r="C71" s="600">
        <v>100</v>
      </c>
      <c r="D71" s="592">
        <f>C71-0.5</f>
        <v>99.5</v>
      </c>
      <c r="E71" s="592">
        <f t="shared" ref="E71:O71" si="20">D71-0.5</f>
        <v>99</v>
      </c>
      <c r="F71" s="592">
        <f t="shared" si="20"/>
        <v>98.5</v>
      </c>
      <c r="G71" s="592">
        <f t="shared" si="20"/>
        <v>98</v>
      </c>
      <c r="H71" s="592">
        <f t="shared" si="20"/>
        <v>97.5</v>
      </c>
      <c r="I71" s="592">
        <f t="shared" si="20"/>
        <v>97</v>
      </c>
      <c r="J71" s="592">
        <f t="shared" si="20"/>
        <v>96.5</v>
      </c>
      <c r="K71" s="592">
        <f t="shared" si="20"/>
        <v>96</v>
      </c>
      <c r="L71" s="592">
        <f t="shared" si="20"/>
        <v>95.5</v>
      </c>
      <c r="M71" s="592">
        <f t="shared" si="20"/>
        <v>95</v>
      </c>
      <c r="N71" s="592">
        <f t="shared" si="20"/>
        <v>94.5</v>
      </c>
      <c r="O71" s="592">
        <f t="shared" si="20"/>
        <v>94</v>
      </c>
      <c r="P71" s="501"/>
    </row>
    <row r="72" spans="1:17" s="115" customFormat="1" ht="15.75" thickBot="1">
      <c r="A72" s="512" t="s">
        <v>2568</v>
      </c>
      <c r="B72" s="513"/>
      <c r="C72" s="514"/>
      <c r="D72" s="515"/>
      <c r="E72" s="515"/>
      <c r="F72" s="515"/>
      <c r="G72" s="515"/>
      <c r="H72" s="515"/>
      <c r="I72" s="515"/>
      <c r="J72" s="515"/>
      <c r="K72" s="515"/>
      <c r="L72" s="515"/>
      <c r="M72" s="516"/>
      <c r="N72" s="515"/>
      <c r="O72" s="1151"/>
      <c r="P72" s="501"/>
      <c r="Q72" s="501"/>
    </row>
    <row r="73" spans="1:17" s="115" customFormat="1" ht="15">
      <c r="A73" s="518" t="s">
        <v>2533</v>
      </c>
      <c r="B73" s="507"/>
      <c r="C73" s="519" t="s">
        <v>2635</v>
      </c>
      <c r="D73" s="520"/>
      <c r="E73" s="520"/>
      <c r="F73" s="520"/>
      <c r="G73" s="520"/>
      <c r="H73" s="520"/>
      <c r="I73" s="520"/>
      <c r="J73" s="520"/>
      <c r="K73" s="520"/>
      <c r="L73" s="521"/>
      <c r="M73" s="522"/>
      <c r="N73" s="1140"/>
      <c r="O73" s="1140"/>
      <c r="P73" s="523"/>
      <c r="Q73" s="501"/>
    </row>
    <row r="74" spans="1:17" s="115" customFormat="1" ht="15.75" thickBot="1">
      <c r="A74" s="518"/>
      <c r="B74" s="507"/>
      <c r="C74" s="636">
        <v>100</v>
      </c>
      <c r="D74" s="509"/>
      <c r="E74" s="509"/>
      <c r="F74" s="509"/>
      <c r="G74" s="509"/>
      <c r="H74" s="509"/>
      <c r="I74" s="509"/>
      <c r="J74" s="509"/>
      <c r="K74" s="509"/>
      <c r="L74" s="509"/>
      <c r="M74" s="511"/>
      <c r="N74" s="1140"/>
      <c r="O74" s="1140"/>
      <c r="P74" s="501"/>
      <c r="Q74" s="501"/>
    </row>
    <row r="75" spans="1:17">
      <c r="A75" s="524" t="s">
        <v>2571</v>
      </c>
      <c r="B75" s="525" t="s">
        <v>2537</v>
      </c>
      <c r="C75" s="2949" t="s">
        <v>4541</v>
      </c>
      <c r="D75" s="527"/>
      <c r="E75" s="527"/>
      <c r="F75" s="527"/>
      <c r="G75" s="527"/>
      <c r="H75" s="527"/>
      <c r="I75" s="527"/>
      <c r="J75" s="527"/>
      <c r="K75" s="528"/>
      <c r="L75" s="529"/>
      <c r="M75" s="530"/>
      <c r="N75" s="1141"/>
      <c r="O75" s="1141"/>
      <c r="P75" s="44"/>
      <c r="Q75" s="501"/>
    </row>
    <row r="76" spans="1:17" ht="15.75" thickBot="1">
      <c r="A76" s="531"/>
      <c r="B76" s="532"/>
      <c r="C76" s="533">
        <v>100</v>
      </c>
      <c r="D76" s="533"/>
      <c r="E76" s="533"/>
      <c r="F76" s="533"/>
      <c r="G76" s="533"/>
      <c r="H76" s="533"/>
      <c r="I76" s="533"/>
      <c r="J76" s="533"/>
      <c r="K76" s="533"/>
      <c r="L76" s="533"/>
      <c r="M76" s="534"/>
      <c r="N76" s="1142"/>
      <c r="O76" s="1142"/>
      <c r="P76" s="44"/>
      <c r="Q76" s="501"/>
    </row>
    <row r="77" spans="1:17" ht="27.75" thickTop="1">
      <c r="A77" s="531"/>
      <c r="B77" s="535" t="s">
        <v>2540</v>
      </c>
      <c r="C77" s="536"/>
      <c r="D77" s="536"/>
      <c r="E77" s="536"/>
      <c r="F77" s="536"/>
      <c r="G77" s="536"/>
      <c r="H77" s="536"/>
      <c r="I77" s="536"/>
      <c r="J77" s="536"/>
      <c r="K77" s="537"/>
      <c r="L77" s="538"/>
      <c r="M77" s="539"/>
      <c r="N77" s="1141"/>
      <c r="O77" s="1141"/>
      <c r="P77" s="44"/>
      <c r="Q77" s="501"/>
    </row>
    <row r="78" spans="1:17" ht="15.75" thickBot="1">
      <c r="A78" s="531"/>
      <c r="B78" s="540"/>
      <c r="C78" s="541"/>
      <c r="D78" s="541"/>
      <c r="E78" s="541"/>
      <c r="F78" s="541"/>
      <c r="G78" s="541"/>
      <c r="H78" s="541"/>
      <c r="I78" s="541"/>
      <c r="J78" s="541"/>
      <c r="K78" s="541"/>
      <c r="L78" s="541"/>
      <c r="M78" s="542"/>
      <c r="N78" s="1142"/>
      <c r="O78" s="1142"/>
      <c r="P78" s="44"/>
      <c r="Q78" s="501"/>
    </row>
    <row r="79" spans="1:17" ht="15.75" thickTop="1">
      <c r="A79" s="531"/>
      <c r="B79" s="543" t="s">
        <v>2541</v>
      </c>
      <c r="C79" s="544" t="str">
        <f>C80&amp;"（含）"&amp;"-"&amp;D80</f>
        <v>0（含）-1</v>
      </c>
      <c r="D79" s="544" t="str">
        <f t="shared" ref="D79:L79" si="21">D80&amp;"（含）"&amp;"-"&amp;E80</f>
        <v>1（含）-2</v>
      </c>
      <c r="E79" s="544" t="str">
        <f t="shared" si="21"/>
        <v>2（含）-3</v>
      </c>
      <c r="F79" s="544" t="str">
        <f t="shared" si="21"/>
        <v>3（含）-</v>
      </c>
      <c r="G79" s="544" t="str">
        <f t="shared" si="21"/>
        <v>（含）-</v>
      </c>
      <c r="H79" s="544" t="str">
        <f t="shared" si="21"/>
        <v>（含）-</v>
      </c>
      <c r="I79" s="544" t="str">
        <f t="shared" si="21"/>
        <v>（含）-</v>
      </c>
      <c r="J79" s="544" t="str">
        <f t="shared" si="21"/>
        <v>（含）-</v>
      </c>
      <c r="K79" s="544" t="str">
        <f t="shared" si="21"/>
        <v>（含）-</v>
      </c>
      <c r="L79" s="544" t="str">
        <f t="shared" si="21"/>
        <v>（含）-</v>
      </c>
      <c r="M79" s="445" t="str">
        <f>M80&amp;"（含）"&amp;"-"&amp;P80</f>
        <v>（含）-</v>
      </c>
      <c r="N79" s="1142"/>
      <c r="O79" s="1142"/>
      <c r="P79" s="44"/>
      <c r="Q79" s="501"/>
    </row>
    <row r="80" spans="1:17" ht="15">
      <c r="A80" s="531"/>
      <c r="B80" s="545"/>
      <c r="C80" s="546">
        <v>0</v>
      </c>
      <c r="D80" s="546">
        <v>1</v>
      </c>
      <c r="E80" s="546">
        <v>2</v>
      </c>
      <c r="F80" s="546">
        <v>3</v>
      </c>
      <c r="G80" s="546"/>
      <c r="H80" s="546"/>
      <c r="I80" s="546"/>
      <c r="J80" s="546"/>
      <c r="K80" s="547"/>
      <c r="L80" s="548"/>
      <c r="M80" s="549"/>
      <c r="N80" s="1141"/>
      <c r="O80" s="1141"/>
      <c r="P80" s="44"/>
      <c r="Q80" s="501"/>
    </row>
    <row r="81" spans="1:17" ht="15.75"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2"/>
      <c r="O81" s="1142"/>
      <c r="P81" s="44"/>
      <c r="Q81" s="501"/>
    </row>
    <row r="82" spans="1:17" s="468" customFormat="1" ht="15.75" thickTop="1">
      <c r="A82" s="550"/>
      <c r="B82" s="535" t="str">
        <f>B12</f>
        <v>配建</v>
      </c>
      <c r="C82" s="2950" t="s">
        <v>4530</v>
      </c>
      <c r="D82" s="2950" t="s">
        <v>4529</v>
      </c>
      <c r="E82" s="551"/>
      <c r="F82" s="551"/>
      <c r="G82" s="551"/>
      <c r="H82" s="552"/>
      <c r="I82" s="552"/>
      <c r="J82" s="552"/>
      <c r="K82" s="552"/>
      <c r="L82" s="553"/>
      <c r="M82" s="554"/>
      <c r="N82" s="1143"/>
      <c r="O82" s="1143"/>
      <c r="P82" s="555"/>
      <c r="Q82" s="556"/>
    </row>
    <row r="83" spans="1:17" s="468" customFormat="1" ht="15.75" thickBot="1">
      <c r="A83" s="550"/>
      <c r="B83" s="540"/>
      <c r="C83" s="557">
        <v>100</v>
      </c>
      <c r="D83" s="533">
        <v>105</v>
      </c>
      <c r="E83" s="533"/>
      <c r="F83" s="533"/>
      <c r="G83" s="533"/>
      <c r="H83" s="533"/>
      <c r="I83" s="533"/>
      <c r="J83" s="533"/>
      <c r="K83" s="533"/>
      <c r="L83" s="533"/>
      <c r="M83" s="534"/>
      <c r="N83" s="1142"/>
      <c r="O83" s="1142"/>
      <c r="P83" s="555"/>
      <c r="Q83" s="556"/>
    </row>
    <row r="84" spans="1:17" s="468" customFormat="1" ht="15.75" thickTop="1">
      <c r="A84" s="550"/>
      <c r="B84" s="535">
        <f>B13</f>
        <v>111</v>
      </c>
      <c r="C84" s="551"/>
      <c r="D84" s="551"/>
      <c r="E84" s="551"/>
      <c r="F84" s="551"/>
      <c r="G84" s="551"/>
      <c r="H84" s="552"/>
      <c r="I84" s="552"/>
      <c r="J84" s="552"/>
      <c r="K84" s="552"/>
      <c r="L84" s="553"/>
      <c r="M84" s="554"/>
      <c r="N84" s="1143"/>
      <c r="O84" s="1143"/>
      <c r="P84" s="467"/>
      <c r="Q84" s="558"/>
    </row>
    <row r="85" spans="1:17" s="468" customFormat="1" ht="15.75" thickBot="1">
      <c r="A85" s="550"/>
      <c r="B85" s="540"/>
      <c r="C85" s="557"/>
      <c r="D85" s="557"/>
      <c r="E85" s="557"/>
      <c r="F85" s="557"/>
      <c r="G85" s="557"/>
      <c r="H85" s="559"/>
      <c r="I85" s="559"/>
      <c r="J85" s="559"/>
      <c r="K85" s="559"/>
      <c r="L85" s="559"/>
      <c r="M85" s="560"/>
      <c r="N85" s="1143"/>
      <c r="O85" s="1143"/>
      <c r="P85" s="555"/>
      <c r="Q85" s="556"/>
    </row>
    <row r="86" spans="1:17" s="468" customFormat="1" ht="15.75" thickTop="1">
      <c r="A86" s="550"/>
      <c r="B86" s="543">
        <f>B14</f>
        <v>111</v>
      </c>
      <c r="C86" s="520"/>
      <c r="D86" s="520"/>
      <c r="E86" s="520"/>
      <c r="F86" s="520"/>
      <c r="G86" s="520"/>
      <c r="H86" s="561"/>
      <c r="I86" s="561"/>
      <c r="J86" s="561"/>
      <c r="K86" s="561"/>
      <c r="L86" s="562"/>
      <c r="M86" s="563"/>
      <c r="N86" s="1143"/>
      <c r="O86" s="1143"/>
      <c r="P86" s="564"/>
      <c r="Q86" s="556"/>
    </row>
    <row r="87" spans="1:17" s="468" customFormat="1" ht="15.75" thickBot="1">
      <c r="A87" s="565"/>
      <c r="B87" s="566"/>
      <c r="C87" s="567"/>
      <c r="D87" s="567"/>
      <c r="E87" s="567"/>
      <c r="F87" s="567"/>
      <c r="G87" s="567"/>
      <c r="H87" s="568"/>
      <c r="I87" s="568"/>
      <c r="J87" s="568"/>
      <c r="K87" s="568"/>
      <c r="L87" s="568"/>
      <c r="M87" s="569"/>
      <c r="N87" s="1143"/>
      <c r="O87" s="1143"/>
      <c r="P87" s="555"/>
      <c r="Q87" s="556"/>
    </row>
    <row r="88" spans="1:17">
      <c r="A88" s="524" t="s">
        <v>2542</v>
      </c>
      <c r="B88" s="525" t="s">
        <v>2579</v>
      </c>
      <c r="C88" s="570" t="s">
        <v>2580</v>
      </c>
      <c r="D88" s="570" t="s">
        <v>2581</v>
      </c>
      <c r="E88" s="570" t="s">
        <v>2582</v>
      </c>
      <c r="F88" s="570" t="s">
        <v>2583</v>
      </c>
      <c r="G88" s="570" t="s">
        <v>2584</v>
      </c>
      <c r="H88" s="526"/>
      <c r="I88" s="526"/>
      <c r="J88" s="526"/>
      <c r="K88" s="571"/>
      <c r="L88" s="572"/>
      <c r="M88" s="573"/>
      <c r="N88" s="1141"/>
      <c r="O88" s="1141"/>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2"/>
      <c r="O89" s="1142"/>
      <c r="P89" s="44"/>
      <c r="Q89" s="501"/>
    </row>
    <row r="90" spans="1:17" ht="15.75" thickTop="1">
      <c r="A90" s="531"/>
      <c r="B90" s="535" t="s">
        <v>2767</v>
      </c>
      <c r="C90" s="575" t="s">
        <v>2580</v>
      </c>
      <c r="D90" s="575" t="s">
        <v>2581</v>
      </c>
      <c r="E90" s="575" t="s">
        <v>2582</v>
      </c>
      <c r="F90" s="575" t="s">
        <v>2583</v>
      </c>
      <c r="G90" s="575" t="s">
        <v>2584</v>
      </c>
      <c r="H90" s="536"/>
      <c r="I90" s="536"/>
      <c r="J90" s="536"/>
      <c r="K90" s="537"/>
      <c r="L90" s="538"/>
      <c r="M90" s="539"/>
      <c r="N90" s="1141"/>
      <c r="O90" s="1141"/>
      <c r="P90" s="44"/>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2"/>
      <c r="O91" s="1142"/>
      <c r="P91" s="44"/>
      <c r="Q91" s="501"/>
    </row>
    <row r="92" spans="1:17" ht="15.75" thickTop="1">
      <c r="A92" s="531"/>
      <c r="B92" s="535" t="s">
        <v>2680</v>
      </c>
      <c r="C92" s="575" t="s">
        <v>2580</v>
      </c>
      <c r="D92" s="575" t="s">
        <v>2581</v>
      </c>
      <c r="E92" s="575" t="s">
        <v>2582</v>
      </c>
      <c r="F92" s="575" t="s">
        <v>2583</v>
      </c>
      <c r="G92" s="575" t="s">
        <v>2584</v>
      </c>
      <c r="H92" s="536"/>
      <c r="I92" s="536"/>
      <c r="J92" s="536"/>
      <c r="K92" s="537"/>
      <c r="L92" s="538"/>
      <c r="M92" s="539"/>
      <c r="N92" s="1141"/>
      <c r="O92" s="1141"/>
      <c r="P92" s="44"/>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2"/>
      <c r="O93" s="1142"/>
      <c r="P93" s="44"/>
      <c r="Q93" s="501"/>
    </row>
    <row r="94" spans="1:17" ht="15.75" thickTop="1">
      <c r="A94" s="531"/>
      <c r="B94" s="535" t="s">
        <v>2585</v>
      </c>
      <c r="C94" s="575" t="s">
        <v>2580</v>
      </c>
      <c r="D94" s="575" t="s">
        <v>2581</v>
      </c>
      <c r="E94" s="575" t="s">
        <v>2582</v>
      </c>
      <c r="F94" s="575" t="s">
        <v>2583</v>
      </c>
      <c r="G94" s="575" t="s">
        <v>2584</v>
      </c>
      <c r="H94" s="536"/>
      <c r="I94" s="536"/>
      <c r="J94" s="536"/>
      <c r="K94" s="537"/>
      <c r="L94" s="538"/>
      <c r="M94" s="539"/>
      <c r="N94" s="1141"/>
      <c r="O94" s="1141"/>
      <c r="P94" s="44"/>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2"/>
      <c r="O95" s="1142"/>
      <c r="P95" s="44"/>
      <c r="Q95" s="501"/>
    </row>
    <row r="96" spans="1:17" s="115" customFormat="1" ht="15.75" thickTop="1">
      <c r="A96" s="576"/>
      <c r="B96" s="535" t="s">
        <v>2768</v>
      </c>
      <c r="C96" s="575" t="s">
        <v>2580</v>
      </c>
      <c r="D96" s="575" t="s">
        <v>2581</v>
      </c>
      <c r="E96" s="575" t="s">
        <v>2582</v>
      </c>
      <c r="F96" s="575" t="s">
        <v>2583</v>
      </c>
      <c r="G96" s="575" t="s">
        <v>2584</v>
      </c>
      <c r="H96" s="575"/>
      <c r="I96" s="575"/>
      <c r="J96" s="575"/>
      <c r="K96" s="575"/>
      <c r="L96" s="695"/>
      <c r="M96" s="619"/>
      <c r="N96" s="1140"/>
      <c r="O96" s="1140"/>
      <c r="P96" s="44"/>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2"/>
      <c r="O97" s="1142"/>
      <c r="P97" s="44"/>
      <c r="Q97" s="501"/>
    </row>
    <row r="98" spans="1:17" s="115" customFormat="1" ht="27.75" thickTop="1">
      <c r="A98" s="576"/>
      <c r="B98" s="535" t="s">
        <v>2769</v>
      </c>
      <c r="C98" s="570" t="s">
        <v>2580</v>
      </c>
      <c r="D98" s="570" t="s">
        <v>2581</v>
      </c>
      <c r="E98" s="570" t="s">
        <v>2582</v>
      </c>
      <c r="F98" s="570" t="s">
        <v>2583</v>
      </c>
      <c r="G98" s="570" t="s">
        <v>2584</v>
      </c>
      <c r="H98" s="575"/>
      <c r="I98" s="575"/>
      <c r="J98" s="575"/>
      <c r="K98" s="575"/>
      <c r="L98" s="575"/>
      <c r="M98" s="619"/>
      <c r="N98" s="1140"/>
      <c r="O98" s="1140"/>
      <c r="P98" s="44"/>
      <c r="Q98" s="501"/>
    </row>
    <row r="99" spans="1:17" s="115" customFormat="1" ht="15.75" thickBot="1">
      <c r="A99" s="576"/>
      <c r="B99" s="540"/>
      <c r="C99" s="541">
        <v>100</v>
      </c>
      <c r="D99" s="541">
        <f>C99-$K25</f>
        <v>98</v>
      </c>
      <c r="E99" s="541">
        <f>D99-$K25</f>
        <v>96</v>
      </c>
      <c r="F99" s="541">
        <f>E99-$K25</f>
        <v>94</v>
      </c>
      <c r="G99" s="541">
        <f>F99-$K25</f>
        <v>92</v>
      </c>
      <c r="H99" s="541"/>
      <c r="I99" s="541"/>
      <c r="J99" s="541"/>
      <c r="K99" s="541"/>
      <c r="L99" s="541"/>
      <c r="M99" s="542"/>
      <c r="N99" s="1142"/>
      <c r="O99" s="1142"/>
      <c r="P99" s="44"/>
      <c r="Q99" s="501"/>
    </row>
    <row r="100" spans="1:17" s="468" customFormat="1" ht="15.75" thickTop="1">
      <c r="A100" s="550"/>
      <c r="B100" s="535" t="s">
        <v>2637</v>
      </c>
      <c r="C100" s="570" t="s">
        <v>2580</v>
      </c>
      <c r="D100" s="570" t="s">
        <v>2581</v>
      </c>
      <c r="E100" s="570" t="s">
        <v>2582</v>
      </c>
      <c r="F100" s="570" t="s">
        <v>2583</v>
      </c>
      <c r="G100" s="570" t="s">
        <v>2584</v>
      </c>
      <c r="H100" s="597"/>
      <c r="I100" s="597"/>
      <c r="J100" s="597"/>
      <c r="K100" s="597"/>
      <c r="L100" s="598"/>
      <c r="M100" s="599"/>
      <c r="N100" s="1143"/>
      <c r="O100" s="1143"/>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3"/>
      <c r="O101" s="1143"/>
      <c r="P101" s="555"/>
      <c r="Q101" s="556"/>
    </row>
    <row r="102" spans="1:17" s="468" customFormat="1" ht="15.75" thickTop="1">
      <c r="A102" s="550"/>
      <c r="B102" s="543" t="s">
        <v>2638</v>
      </c>
      <c r="C102" s="657" t="s">
        <v>2658</v>
      </c>
      <c r="D102" s="657" t="s">
        <v>2659</v>
      </c>
      <c r="E102" s="657" t="s">
        <v>2660</v>
      </c>
      <c r="F102" s="657" t="s">
        <v>2661</v>
      </c>
      <c r="G102" s="657" t="s">
        <v>2662</v>
      </c>
      <c r="H102" s="597"/>
      <c r="I102" s="597"/>
      <c r="J102" s="597"/>
      <c r="K102" s="597"/>
      <c r="L102" s="597"/>
      <c r="M102" s="1374"/>
      <c r="N102" s="1143"/>
      <c r="O102" s="1143"/>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74"/>
      <c r="N103" s="1143"/>
      <c r="O103" s="1143"/>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1"/>
      <c r="O104" s="1141"/>
      <c r="P104" s="44"/>
      <c r="Q104" s="501"/>
    </row>
    <row r="105" spans="1:17" ht="15.75" thickBot="1">
      <c r="A105" s="531"/>
      <c r="B105" s="540"/>
      <c r="C105" s="541">
        <v>100</v>
      </c>
      <c r="D105" s="541">
        <f>C105-$K31</f>
        <v>100</v>
      </c>
      <c r="E105" s="541">
        <f t="shared" ref="E105:M105" si="23">D105-$K31</f>
        <v>100</v>
      </c>
      <c r="F105" s="541">
        <f t="shared" si="23"/>
        <v>100</v>
      </c>
      <c r="G105" s="541">
        <f t="shared" si="23"/>
        <v>100</v>
      </c>
      <c r="H105" s="541">
        <f t="shared" si="23"/>
        <v>100</v>
      </c>
      <c r="I105" s="541">
        <f t="shared" si="23"/>
        <v>100</v>
      </c>
      <c r="J105" s="541">
        <f t="shared" si="23"/>
        <v>100</v>
      </c>
      <c r="K105" s="541">
        <f t="shared" si="23"/>
        <v>100</v>
      </c>
      <c r="L105" s="541">
        <f t="shared" si="23"/>
        <v>100</v>
      </c>
      <c r="M105" s="541">
        <f t="shared" si="23"/>
        <v>100</v>
      </c>
      <c r="N105" s="1142"/>
      <c r="O105" s="1142"/>
      <c r="P105" s="44"/>
      <c r="Q105" s="501"/>
    </row>
    <row r="106" spans="1:17" ht="27.75" thickTop="1">
      <c r="A106" s="531"/>
      <c r="B106" s="535" t="s">
        <v>2674</v>
      </c>
      <c r="C106" s="551"/>
      <c r="D106" s="551"/>
      <c r="E106" s="551"/>
      <c r="F106" s="551"/>
      <c r="G106" s="551"/>
      <c r="H106" s="580"/>
      <c r="I106" s="580"/>
      <c r="J106" s="580"/>
      <c r="K106" s="581"/>
      <c r="L106" s="582"/>
      <c r="M106" s="583"/>
      <c r="N106" s="1141"/>
      <c r="O106" s="1141"/>
      <c r="P106" s="44"/>
      <c r="Q106" s="501"/>
    </row>
    <row r="107" spans="1:17" ht="15.75" thickBot="1">
      <c r="A107" s="531"/>
      <c r="B107" s="540"/>
      <c r="C107" s="541">
        <v>100</v>
      </c>
      <c r="D107" s="541">
        <f>C107-$K32</f>
        <v>100</v>
      </c>
      <c r="E107" s="541">
        <f t="shared" ref="E107:M107" si="24">D107-$K32</f>
        <v>100</v>
      </c>
      <c r="F107" s="541">
        <f t="shared" si="24"/>
        <v>100</v>
      </c>
      <c r="G107" s="541">
        <f t="shared" si="24"/>
        <v>100</v>
      </c>
      <c r="H107" s="541">
        <f t="shared" si="24"/>
        <v>100</v>
      </c>
      <c r="I107" s="541">
        <f t="shared" si="24"/>
        <v>100</v>
      </c>
      <c r="J107" s="541">
        <f t="shared" si="24"/>
        <v>100</v>
      </c>
      <c r="K107" s="541">
        <f t="shared" si="24"/>
        <v>100</v>
      </c>
      <c r="L107" s="541">
        <f t="shared" si="24"/>
        <v>100</v>
      </c>
      <c r="M107" s="541">
        <f t="shared" si="24"/>
        <v>100</v>
      </c>
      <c r="N107" s="1142"/>
      <c r="O107" s="1142"/>
      <c r="P107" s="44"/>
      <c r="Q107" s="501"/>
    </row>
    <row r="108" spans="1:17" ht="15.75" thickTop="1">
      <c r="A108" s="531"/>
      <c r="B108" s="535" t="s">
        <v>2733</v>
      </c>
      <c r="C108" s="580"/>
      <c r="D108" s="580"/>
      <c r="E108" s="580"/>
      <c r="F108" s="580"/>
      <c r="G108" s="580"/>
      <c r="H108" s="580"/>
      <c r="I108" s="580"/>
      <c r="J108" s="580"/>
      <c r="K108" s="581"/>
      <c r="L108" s="582"/>
      <c r="M108" s="583"/>
      <c r="N108" s="1141"/>
      <c r="O108" s="1141"/>
      <c r="P108" s="44"/>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2"/>
      <c r="O109" s="1142"/>
      <c r="P109" s="44"/>
      <c r="Q109" s="501"/>
    </row>
    <row r="110" spans="1:17" ht="15.75" thickTop="1">
      <c r="A110" s="531"/>
      <c r="B110" s="543">
        <f>B35</f>
        <v>111</v>
      </c>
      <c r="C110" s="551"/>
      <c r="D110" s="551"/>
      <c r="E110" s="551"/>
      <c r="F110" s="551"/>
      <c r="G110" s="584"/>
      <c r="H110" s="584"/>
      <c r="I110" s="584"/>
      <c r="J110" s="584"/>
      <c r="K110" s="585"/>
      <c r="L110" s="586"/>
      <c r="M110" s="587"/>
      <c r="N110" s="1141"/>
      <c r="O110" s="1141"/>
      <c r="P110" s="44"/>
      <c r="Q110" s="501"/>
    </row>
    <row r="111" spans="1:17" ht="15.75" thickBot="1">
      <c r="A111" s="531"/>
      <c r="B111" s="566"/>
      <c r="C111" s="557"/>
      <c r="D111" s="557"/>
      <c r="E111" s="557"/>
      <c r="F111" s="557"/>
      <c r="G111" s="588"/>
      <c r="H111" s="588"/>
      <c r="I111" s="588"/>
      <c r="J111" s="588"/>
      <c r="K111" s="588"/>
      <c r="L111" s="588"/>
      <c r="M111" s="589"/>
      <c r="N111" s="1142"/>
      <c r="O111" s="1142"/>
      <c r="P111" s="44"/>
      <c r="Q111" s="501"/>
    </row>
    <row r="112" spans="1:17" ht="15" thickTop="1">
      <c r="A112" s="672"/>
      <c r="B112" s="535">
        <f>B36</f>
        <v>111</v>
      </c>
      <c r="C112" s="520"/>
      <c r="D112" s="520"/>
      <c r="E112" s="520"/>
      <c r="F112" s="520"/>
      <c r="G112" s="580"/>
      <c r="H112" s="580"/>
      <c r="I112" s="580"/>
      <c r="J112" s="580"/>
      <c r="K112" s="581"/>
      <c r="L112" s="582"/>
      <c r="M112" s="583"/>
      <c r="N112" s="1141"/>
      <c r="O112" s="1141"/>
      <c r="P112" s="44"/>
      <c r="Q112" s="501"/>
    </row>
    <row r="113" spans="1:17" ht="15.75" thickBot="1">
      <c r="A113" s="531"/>
      <c r="B113" s="540"/>
      <c r="C113" s="567"/>
      <c r="D113" s="567"/>
      <c r="E113" s="567"/>
      <c r="F113" s="567"/>
      <c r="G113" s="533"/>
      <c r="H113" s="533"/>
      <c r="I113" s="533"/>
      <c r="J113" s="533"/>
      <c r="K113" s="533"/>
      <c r="L113" s="533"/>
      <c r="M113" s="534"/>
      <c r="N113" s="1142"/>
      <c r="O113" s="1142"/>
      <c r="P113" s="44"/>
      <c r="Q113" s="501"/>
    </row>
    <row r="114" spans="1:17" s="468" customFormat="1" ht="15" thickTop="1">
      <c r="A114" s="590"/>
      <c r="B114" s="591">
        <f>B37</f>
        <v>111</v>
      </c>
      <c r="C114" s="592"/>
      <c r="D114" s="592"/>
      <c r="E114" s="592"/>
      <c r="F114" s="592"/>
      <c r="G114" s="592"/>
      <c r="H114" s="592"/>
      <c r="I114" s="592"/>
      <c r="J114" s="593"/>
      <c r="K114" s="593"/>
      <c r="L114" s="594"/>
      <c r="M114" s="595"/>
      <c r="N114" s="1143"/>
      <c r="O114" s="1143"/>
      <c r="P114" s="555"/>
      <c r="Q114" s="556"/>
    </row>
    <row r="115" spans="1:17" s="468" customFormat="1" ht="15.75" thickBot="1">
      <c r="A115" s="550"/>
      <c r="B115" s="543"/>
      <c r="C115" s="509"/>
      <c r="D115" s="674"/>
      <c r="E115" s="674"/>
      <c r="F115" s="674"/>
      <c r="G115" s="674"/>
      <c r="H115" s="674"/>
      <c r="I115" s="674"/>
      <c r="J115" s="674"/>
      <c r="K115" s="674"/>
      <c r="L115" s="674"/>
      <c r="M115" s="696"/>
      <c r="N115" s="1142"/>
      <c r="O115" s="1142"/>
      <c r="P115" s="555"/>
      <c r="Q115" s="556"/>
    </row>
    <row r="116" spans="1:17" ht="28.5">
      <c r="A116" s="524" t="s">
        <v>2546</v>
      </c>
      <c r="B116" s="525" t="s">
        <v>2774</v>
      </c>
      <c r="C116" s="526" t="str">
        <f>C117&amp;"(含)"&amp;"-"&amp;D117</f>
        <v>0(含)-100000</v>
      </c>
      <c r="D116" s="526" t="str">
        <f t="shared" ref="D116:M116" si="26">D117&amp;"(含)"&amp;"-"&amp;E117</f>
        <v>100000(含)-200000</v>
      </c>
      <c r="E116" s="526" t="str">
        <f t="shared" si="26"/>
        <v>200000(含)-300000</v>
      </c>
      <c r="F116" s="526" t="str">
        <f t="shared" si="26"/>
        <v>300000(含)-400000</v>
      </c>
      <c r="G116" s="526" t="str">
        <f t="shared" si="26"/>
        <v>400000(含)-500000</v>
      </c>
      <c r="H116" s="526" t="str">
        <f t="shared" si="26"/>
        <v>500000(含)-1000000</v>
      </c>
      <c r="I116" s="526" t="str">
        <f t="shared" si="26"/>
        <v>1000000(含)-</v>
      </c>
      <c r="J116" s="526" t="str">
        <f t="shared" si="26"/>
        <v>(含)-</v>
      </c>
      <c r="K116" s="526" t="str">
        <f t="shared" si="26"/>
        <v>(含)-</v>
      </c>
      <c r="L116" s="526" t="str">
        <f t="shared" si="26"/>
        <v>(含)-</v>
      </c>
      <c r="M116" s="526" t="str">
        <f t="shared" si="26"/>
        <v>(含)-</v>
      </c>
      <c r="N116" s="1141"/>
      <c r="O116" s="1141"/>
      <c r="P116" s="44"/>
      <c r="Q116" s="501"/>
    </row>
    <row r="117" spans="1:17" ht="15">
      <c r="A117" s="531"/>
      <c r="B117" s="543"/>
      <c r="C117" s="592">
        <v>0</v>
      </c>
      <c r="D117" s="592">
        <v>100000</v>
      </c>
      <c r="E117" s="592">
        <v>200000</v>
      </c>
      <c r="F117" s="592">
        <v>300000</v>
      </c>
      <c r="G117" s="592">
        <v>400000</v>
      </c>
      <c r="H117" s="592">
        <v>500000</v>
      </c>
      <c r="I117" s="592">
        <v>1000000</v>
      </c>
      <c r="J117" s="593"/>
      <c r="K117" s="593"/>
      <c r="L117" s="594"/>
      <c r="M117" s="595"/>
      <c r="N117" s="1141"/>
      <c r="O117" s="1141"/>
      <c r="P117" s="44"/>
      <c r="Q117" s="501"/>
    </row>
    <row r="118" spans="1:17" ht="15.75" thickBot="1">
      <c r="A118" s="531"/>
      <c r="B118" s="540"/>
      <c r="C118" s="567">
        <v>100</v>
      </c>
      <c r="D118" s="588">
        <v>101</v>
      </c>
      <c r="E118" s="588">
        <v>102</v>
      </c>
      <c r="F118" s="588">
        <v>103</v>
      </c>
      <c r="G118" s="588">
        <v>104</v>
      </c>
      <c r="H118" s="588">
        <v>105</v>
      </c>
      <c r="I118" s="588"/>
      <c r="J118" s="588"/>
      <c r="K118" s="588"/>
      <c r="L118" s="588"/>
      <c r="M118" s="589"/>
      <c r="N118" s="1142"/>
      <c r="O118" s="1142"/>
      <c r="P118" s="44"/>
      <c r="Q118" s="501"/>
    </row>
    <row r="119" spans="1:17" ht="15" thickTop="1">
      <c r="A119" s="596"/>
      <c r="B119" s="535" t="s">
        <v>2775</v>
      </c>
      <c r="C119" s="580" t="s">
        <v>3216</v>
      </c>
      <c r="D119" s="580" t="s">
        <v>3217</v>
      </c>
      <c r="E119" s="2951" t="s">
        <v>4459</v>
      </c>
      <c r="F119" s="580"/>
      <c r="G119" s="580"/>
      <c r="H119" s="580"/>
      <c r="I119" s="580"/>
      <c r="J119" s="580"/>
      <c r="K119" s="581"/>
      <c r="L119" s="582"/>
      <c r="M119" s="583"/>
      <c r="N119" s="1141"/>
      <c r="O119" s="1141"/>
      <c r="P119" s="44"/>
      <c r="Q119" s="501"/>
    </row>
    <row r="120" spans="1:17" ht="15.75" thickBot="1">
      <c r="A120" s="531"/>
      <c r="B120" s="540"/>
      <c r="C120" s="541">
        <v>100</v>
      </c>
      <c r="D120" s="541">
        <f t="shared" ref="D120:M120" si="27">C120-$K39</f>
        <v>97</v>
      </c>
      <c r="E120" s="541">
        <f t="shared" si="27"/>
        <v>94</v>
      </c>
      <c r="F120" s="541">
        <f t="shared" si="27"/>
        <v>91</v>
      </c>
      <c r="G120" s="541">
        <f t="shared" si="27"/>
        <v>88</v>
      </c>
      <c r="H120" s="541">
        <f t="shared" si="27"/>
        <v>85</v>
      </c>
      <c r="I120" s="541">
        <f t="shared" si="27"/>
        <v>82</v>
      </c>
      <c r="J120" s="541">
        <f t="shared" si="27"/>
        <v>79</v>
      </c>
      <c r="K120" s="541">
        <f t="shared" si="27"/>
        <v>76</v>
      </c>
      <c r="L120" s="541">
        <f t="shared" si="27"/>
        <v>73</v>
      </c>
      <c r="M120" s="542">
        <f t="shared" si="27"/>
        <v>70</v>
      </c>
      <c r="N120" s="1142"/>
      <c r="O120" s="1142"/>
      <c r="P120" s="44"/>
      <c r="Q120" s="501"/>
    </row>
    <row r="121" spans="1:17" ht="15" thickTop="1">
      <c r="A121" s="596"/>
      <c r="B121" s="535" t="s">
        <v>2776</v>
      </c>
      <c r="C121" s="551" t="s">
        <v>3218</v>
      </c>
      <c r="D121" s="551" t="s">
        <v>3219</v>
      </c>
      <c r="E121" s="551"/>
      <c r="F121" s="580"/>
      <c r="G121" s="580"/>
      <c r="H121" s="580"/>
      <c r="I121" s="580"/>
      <c r="J121" s="580"/>
      <c r="K121" s="581"/>
      <c r="L121" s="582"/>
      <c r="M121" s="583"/>
      <c r="N121" s="1141"/>
      <c r="O121" s="1141"/>
      <c r="P121" s="44"/>
      <c r="Q121" s="501"/>
    </row>
    <row r="122" spans="1:17" ht="15.75" thickBot="1">
      <c r="A122" s="531"/>
      <c r="B122" s="540"/>
      <c r="C122" s="541">
        <v>100</v>
      </c>
      <c r="D122" s="541">
        <f t="shared" ref="D122:M122" si="28">C122-$K40</f>
        <v>98</v>
      </c>
      <c r="E122" s="541">
        <f t="shared" si="28"/>
        <v>96</v>
      </c>
      <c r="F122" s="541">
        <f t="shared" si="28"/>
        <v>94</v>
      </c>
      <c r="G122" s="541">
        <f t="shared" si="28"/>
        <v>92</v>
      </c>
      <c r="H122" s="541">
        <f t="shared" si="28"/>
        <v>90</v>
      </c>
      <c r="I122" s="541">
        <f t="shared" si="28"/>
        <v>88</v>
      </c>
      <c r="J122" s="541">
        <f t="shared" si="28"/>
        <v>86</v>
      </c>
      <c r="K122" s="541">
        <f t="shared" si="28"/>
        <v>84</v>
      </c>
      <c r="L122" s="541">
        <f t="shared" si="28"/>
        <v>82</v>
      </c>
      <c r="M122" s="542">
        <f t="shared" si="28"/>
        <v>80</v>
      </c>
      <c r="N122" s="1142"/>
      <c r="O122" s="1142"/>
      <c r="P122" s="44"/>
      <c r="Q122" s="501"/>
    </row>
    <row r="123" spans="1:17" s="468" customFormat="1" ht="15" thickTop="1">
      <c r="A123" s="590"/>
      <c r="B123" s="535" t="s">
        <v>2777</v>
      </c>
      <c r="C123" s="551" t="s">
        <v>3064</v>
      </c>
      <c r="D123" s="551" t="s">
        <v>3220</v>
      </c>
      <c r="E123" s="551" t="s">
        <v>3221</v>
      </c>
      <c r="F123" s="551" t="s">
        <v>3222</v>
      </c>
      <c r="G123" s="551"/>
      <c r="H123" s="580"/>
      <c r="I123" s="580"/>
      <c r="J123" s="580"/>
      <c r="K123" s="581"/>
      <c r="L123" s="582"/>
      <c r="M123" s="583"/>
      <c r="N123" s="1143"/>
      <c r="O123" s="1143"/>
      <c r="P123" s="555"/>
      <c r="Q123" s="556"/>
    </row>
    <row r="124" spans="1:17" s="468" customFormat="1" ht="15.75" thickBot="1">
      <c r="A124" s="550"/>
      <c r="B124" s="540"/>
      <c r="C124" s="541">
        <v>100</v>
      </c>
      <c r="D124" s="541">
        <f>C124-$K41</f>
        <v>99</v>
      </c>
      <c r="E124" s="541">
        <f t="shared" ref="E124:M124" si="29">D124-$K41</f>
        <v>98</v>
      </c>
      <c r="F124" s="541">
        <f t="shared" si="29"/>
        <v>97</v>
      </c>
      <c r="G124" s="541">
        <f t="shared" si="29"/>
        <v>96</v>
      </c>
      <c r="H124" s="541">
        <f t="shared" si="29"/>
        <v>95</v>
      </c>
      <c r="I124" s="541">
        <f t="shared" si="29"/>
        <v>94</v>
      </c>
      <c r="J124" s="541">
        <f t="shared" si="29"/>
        <v>93</v>
      </c>
      <c r="K124" s="541">
        <f t="shared" si="29"/>
        <v>92</v>
      </c>
      <c r="L124" s="541">
        <f t="shared" si="29"/>
        <v>91</v>
      </c>
      <c r="M124" s="542">
        <f t="shared" si="29"/>
        <v>90</v>
      </c>
      <c r="N124" s="1143"/>
      <c r="O124" s="1143"/>
      <c r="P124" s="555"/>
      <c r="Q124" s="556"/>
    </row>
    <row r="125" spans="1:17" ht="15" thickTop="1">
      <c r="A125" s="596"/>
      <c r="B125" s="535" t="s">
        <v>2778</v>
      </c>
      <c r="C125" s="551" t="s">
        <v>3066</v>
      </c>
      <c r="D125" s="551"/>
      <c r="E125" s="580"/>
      <c r="F125" s="580"/>
      <c r="G125" s="580"/>
      <c r="H125" s="580"/>
      <c r="I125" s="580"/>
      <c r="J125" s="580"/>
      <c r="K125" s="581"/>
      <c r="L125" s="582"/>
      <c r="M125" s="583"/>
      <c r="N125" s="1141"/>
      <c r="O125" s="1141"/>
      <c r="P125" s="44"/>
      <c r="Q125" s="501"/>
    </row>
    <row r="126" spans="1:17" ht="15.75" thickBot="1">
      <c r="A126" s="531"/>
      <c r="B126" s="540"/>
      <c r="C126" s="541">
        <v>100</v>
      </c>
      <c r="D126" s="541">
        <f t="shared" ref="D126:M126" si="30">C126-$K42</f>
        <v>98</v>
      </c>
      <c r="E126" s="541">
        <f t="shared" si="30"/>
        <v>96</v>
      </c>
      <c r="F126" s="541">
        <f t="shared" si="30"/>
        <v>94</v>
      </c>
      <c r="G126" s="541">
        <f t="shared" si="30"/>
        <v>92</v>
      </c>
      <c r="H126" s="541">
        <f t="shared" si="30"/>
        <v>90</v>
      </c>
      <c r="I126" s="541">
        <f t="shared" si="30"/>
        <v>88</v>
      </c>
      <c r="J126" s="541">
        <f t="shared" si="30"/>
        <v>86</v>
      </c>
      <c r="K126" s="541">
        <f t="shared" si="30"/>
        <v>84</v>
      </c>
      <c r="L126" s="541">
        <f t="shared" si="30"/>
        <v>82</v>
      </c>
      <c r="M126" s="542">
        <f t="shared" si="30"/>
        <v>80</v>
      </c>
      <c r="N126" s="1142"/>
      <c r="O126" s="1142"/>
      <c r="P126" s="44"/>
      <c r="Q126" s="501"/>
    </row>
    <row r="127" spans="1:17" ht="15" thickTop="1">
      <c r="A127" s="596"/>
      <c r="B127" s="535">
        <f>B43</f>
        <v>111</v>
      </c>
      <c r="C127" s="551"/>
      <c r="D127" s="551"/>
      <c r="E127" s="551"/>
      <c r="F127" s="551"/>
      <c r="G127" s="551"/>
      <c r="H127" s="580"/>
      <c r="I127" s="580"/>
      <c r="J127" s="580"/>
      <c r="K127" s="581"/>
      <c r="L127" s="582"/>
      <c r="M127" s="583"/>
      <c r="N127" s="1141"/>
      <c r="O127" s="1141"/>
      <c r="P127" s="44"/>
      <c r="Q127" s="501"/>
    </row>
    <row r="128" spans="1:17" ht="15.75" thickBot="1">
      <c r="A128" s="531"/>
      <c r="B128" s="540"/>
      <c r="C128" s="557"/>
      <c r="D128" s="557"/>
      <c r="E128" s="557"/>
      <c r="F128" s="557"/>
      <c r="G128" s="533"/>
      <c r="H128" s="533"/>
      <c r="I128" s="533"/>
      <c r="J128" s="533"/>
      <c r="K128" s="533"/>
      <c r="L128" s="533"/>
      <c r="M128" s="534"/>
      <c r="N128" s="1142"/>
      <c r="O128" s="1142"/>
      <c r="P128" s="44"/>
      <c r="Q128" s="501"/>
    </row>
    <row r="129" spans="1:17" ht="15" thickTop="1">
      <c r="A129" s="596"/>
      <c r="B129" s="535">
        <f>B44</f>
        <v>111</v>
      </c>
      <c r="C129" s="520"/>
      <c r="D129" s="520"/>
      <c r="E129" s="520"/>
      <c r="F129" s="520"/>
      <c r="G129" s="580"/>
      <c r="H129" s="580"/>
      <c r="I129" s="580"/>
      <c r="J129" s="580"/>
      <c r="K129" s="581"/>
      <c r="L129" s="582"/>
      <c r="M129" s="583"/>
      <c r="N129" s="1141"/>
      <c r="O129" s="1141"/>
      <c r="P129" s="44"/>
      <c r="Q129" s="501"/>
    </row>
    <row r="130" spans="1:17" ht="15.75" thickBot="1">
      <c r="A130" s="531"/>
      <c r="B130" s="540"/>
      <c r="C130" s="567"/>
      <c r="D130" s="567"/>
      <c r="E130" s="567"/>
      <c r="F130" s="567"/>
      <c r="G130" s="533"/>
      <c r="H130" s="533"/>
      <c r="I130" s="533"/>
      <c r="J130" s="533"/>
      <c r="K130" s="533"/>
      <c r="L130" s="533"/>
      <c r="M130" s="534"/>
      <c r="N130" s="1142"/>
      <c r="O130" s="1142"/>
      <c r="P130" s="44"/>
      <c r="Q130" s="501"/>
    </row>
    <row r="131" spans="1:17" s="468" customFormat="1" ht="15" thickTop="1">
      <c r="A131" s="590"/>
      <c r="B131" s="535">
        <f>B45</f>
        <v>111</v>
      </c>
      <c r="C131" s="520"/>
      <c r="D131" s="520"/>
      <c r="E131" s="520"/>
      <c r="F131" s="520"/>
      <c r="G131" s="552"/>
      <c r="H131" s="552"/>
      <c r="I131" s="552"/>
      <c r="J131" s="552"/>
      <c r="K131" s="552"/>
      <c r="L131" s="553"/>
      <c r="M131" s="554"/>
      <c r="N131" s="1143"/>
      <c r="O131" s="1143"/>
      <c r="P131" s="555"/>
      <c r="Q131" s="556"/>
    </row>
    <row r="132" spans="1:17" s="468" customFormat="1" ht="15.75" thickBot="1">
      <c r="A132" s="565"/>
      <c r="B132" s="697"/>
      <c r="C132" s="567"/>
      <c r="D132" s="567"/>
      <c r="E132" s="567"/>
      <c r="F132" s="567"/>
      <c r="G132" s="588"/>
      <c r="H132" s="588"/>
      <c r="I132" s="588"/>
      <c r="J132" s="588"/>
      <c r="K132" s="588"/>
      <c r="L132" s="588"/>
      <c r="M132" s="589"/>
      <c r="N132" s="1143"/>
      <c r="O132" s="1143"/>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5" sqref="H4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2312</v>
      </c>
      <c r="B1" s="1923"/>
      <c r="C1" s="240"/>
      <c r="D1" s="240"/>
      <c r="E1" s="240"/>
      <c r="F1" s="240"/>
      <c r="G1" s="1368">
        <f>MATCH(B1,'数据-取费表'!A6:A16,0)+5</f>
        <v>7</v>
      </c>
    </row>
    <row r="2" spans="1:9" s="242" customFormat="1" ht="18" customHeight="1">
      <c r="A2" s="243" t="s">
        <v>2313</v>
      </c>
      <c r="B2" s="244">
        <f ca="1">IF(D2="——",C52,C52-E2)</f>
        <v>22060</v>
      </c>
      <c r="C2" s="241" t="s">
        <v>2314</v>
      </c>
      <c r="D2" s="2528" t="s">
        <v>70</v>
      </c>
      <c r="E2" s="1429" t="e">
        <f ca="1">SUMIF(INDIRECT("'"&amp;G2&amp;"'"&amp;"!A:A"),"承租人权益价值",INDIRECT("'"&amp;G2&amp;"'"&amp;"!c:c"))</f>
        <v>#REF!</v>
      </c>
      <c r="F2" s="2529" t="s">
        <v>2314</v>
      </c>
      <c r="G2" s="2530"/>
    </row>
    <row r="3" spans="1:9" s="242" customFormat="1" ht="18" customHeight="1" thickBot="1">
      <c r="A3" s="245" t="s">
        <v>2315</v>
      </c>
      <c r="B3" s="246">
        <f ca="1">ROUND(B2*10000/(IF(B1="",'数据-汇总表'!E3,INDIRECT("'数据-取费表'!k"&amp;$G$1))),0)</f>
        <v>3308</v>
      </c>
      <c r="C3" s="241" t="s">
        <v>2316</v>
      </c>
      <c r="D3" s="241"/>
      <c r="E3" s="241"/>
      <c r="F3" s="241"/>
      <c r="G3" s="241"/>
    </row>
    <row r="4" spans="1:9" s="250" customFormat="1" ht="15.75">
      <c r="A4" s="247" t="s">
        <v>2317</v>
      </c>
      <c r="B4" s="248"/>
      <c r="C4" s="248"/>
      <c r="D4" s="248"/>
      <c r="E4" s="248"/>
      <c r="F4" s="248"/>
      <c r="G4" s="249"/>
    </row>
    <row r="5" spans="1:9" s="256" customFormat="1" ht="13.5" customHeight="1">
      <c r="A5" s="297" t="s">
        <v>2318</v>
      </c>
      <c r="B5" s="252" t="s">
        <v>2319</v>
      </c>
      <c r="C5" s="253">
        <f>C6+C7+C8</f>
        <v>20259</v>
      </c>
      <c r="D5" s="253" t="s">
        <v>2320</v>
      </c>
      <c r="E5" s="254" t="s">
        <v>2321</v>
      </c>
      <c r="F5" s="254" t="s">
        <v>2322</v>
      </c>
      <c r="G5" s="255"/>
    </row>
    <row r="6" spans="1:9" s="256" customFormat="1" ht="13.5" customHeight="1">
      <c r="A6" s="939" t="s">
        <v>2323</v>
      </c>
      <c r="B6" s="257" t="s">
        <v>2324</v>
      </c>
      <c r="C6" s="258">
        <f>'土地比较法-住宅、综合'!B2</f>
        <v>19659</v>
      </c>
      <c r="D6" s="259"/>
      <c r="E6" s="260"/>
      <c r="F6" s="260"/>
      <c r="G6" s="261"/>
    </row>
    <row r="7" spans="1:9" s="256" customFormat="1" ht="13.5" customHeight="1">
      <c r="A7" s="939" t="s">
        <v>2325</v>
      </c>
      <c r="B7" s="257" t="s">
        <v>2326</v>
      </c>
      <c r="C7" s="262">
        <f>ROUND(C6*F7,0)</f>
        <v>600</v>
      </c>
      <c r="D7" s="262"/>
      <c r="E7" s="260"/>
      <c r="F7" s="263">
        <f>IF(项目基本情况!B8="出让",0,'数据-取费表'!B48+'数据-取费表'!B49)</f>
        <v>3.0499999999999999E-2</v>
      </c>
      <c r="G7" s="261"/>
    </row>
    <row r="8" spans="1:9" s="265" customFormat="1">
      <c r="A8" s="939" t="s">
        <v>2327</v>
      </c>
      <c r="B8" s="257" t="s">
        <v>2328</v>
      </c>
      <c r="C8" s="262">
        <f>IF(G8="已包含在土地购买价格中","0",IF(B1="",'数据-取费表'!B29,IF(G9="全部缴纳",C9+C10,H9)))</f>
        <v>0</v>
      </c>
      <c r="D8" s="264"/>
      <c r="E8" s="262"/>
      <c r="F8" s="263"/>
      <c r="G8" s="2531" t="s">
        <v>3224</v>
      </c>
    </row>
    <row r="9" spans="1:9" s="256" customFormat="1" ht="13.5" customHeight="1">
      <c r="A9" s="940" t="s">
        <v>800</v>
      </c>
      <c r="B9" s="266" t="s">
        <v>2329</v>
      </c>
      <c r="C9" s="267">
        <f ca="1">ROUND(D9*E9/10000,0)</f>
        <v>0</v>
      </c>
      <c r="D9" s="1022">
        <f ca="1">IF(B1="",'数据-汇总表'!E5,IF(INDIRECT("'数据-取费表'!c"&amp;$G$1)="住宅",INDIRECT("'数据-取费表'!k"&amp;$G$1),0))</f>
        <v>0</v>
      </c>
      <c r="E9" s="267">
        <f>'数据-取费表'!B27</f>
        <v>0</v>
      </c>
      <c r="F9" s="263"/>
      <c r="G9" s="2532" t="s">
        <v>3225</v>
      </c>
      <c r="H9" s="1379"/>
      <c r="I9" s="2533" t="s">
        <v>2330</v>
      </c>
    </row>
    <row r="10" spans="1:9" s="256" customFormat="1" ht="13.5" customHeight="1">
      <c r="A10" s="940" t="s">
        <v>801</v>
      </c>
      <c r="B10" s="266" t="s">
        <v>2331</v>
      </c>
      <c r="C10" s="267">
        <f ca="1">ROUND(D10*E10/10000,0)</f>
        <v>0</v>
      </c>
      <c r="D10" s="1022">
        <f ca="1">IF(B1="",'数据-汇总表'!E6,IF(INDIRECT("'数据-取费表'!c"&amp;$G$1)="住宅",INDIRECT("'数据-取费表'!s"&amp;$G$1),INDIRECT("'数据-取费表'!k"&amp;$G$1)+INDIRECT("'数据-取费表'!s"&amp;$G$1)))</f>
        <v>66687.25</v>
      </c>
      <c r="E10" s="267">
        <f>'数据-取费表'!B28</f>
        <v>0</v>
      </c>
      <c r="F10" s="263"/>
      <c r="G10" s="268"/>
    </row>
    <row r="11" spans="1:9" s="256" customFormat="1" ht="13.5" hidden="1" customHeight="1">
      <c r="A11" s="269" t="s">
        <v>7</v>
      </c>
      <c r="B11" s="257" t="s">
        <v>2332</v>
      </c>
      <c r="C11" s="253"/>
      <c r="D11" s="1024"/>
      <c r="E11" s="260"/>
      <c r="F11" s="260"/>
      <c r="G11" s="261"/>
    </row>
    <row r="12" spans="1:9" s="256" customFormat="1" ht="13.5" hidden="1" customHeight="1">
      <c r="A12" s="269" t="s">
        <v>8</v>
      </c>
      <c r="B12" s="257" t="s">
        <v>2333</v>
      </c>
      <c r="C12" s="253">
        <v>0</v>
      </c>
      <c r="D12" s="1024"/>
      <c r="E12" s="270"/>
      <c r="F12" s="263">
        <v>3.0499999999999999E-2</v>
      </c>
      <c r="G12" s="261"/>
    </row>
    <row r="13" spans="1:9" s="256" customFormat="1" ht="13.5" hidden="1" customHeight="1">
      <c r="A13" s="269" t="s">
        <v>9</v>
      </c>
      <c r="B13" s="257" t="s">
        <v>2334</v>
      </c>
      <c r="C13" s="253"/>
      <c r="D13" s="1024"/>
      <c r="E13" s="260"/>
      <c r="F13" s="260"/>
      <c r="G13" s="261"/>
    </row>
    <row r="14" spans="1:9" s="256" customFormat="1" ht="13.5" hidden="1" customHeight="1">
      <c r="A14" s="269" t="s">
        <v>10</v>
      </c>
      <c r="B14" s="257" t="s">
        <v>2335</v>
      </c>
      <c r="C14" s="253"/>
      <c r="D14" s="1024"/>
      <c r="E14" s="260"/>
      <c r="F14" s="260"/>
      <c r="G14" s="261" t="s">
        <v>2336</v>
      </c>
    </row>
    <row r="15" spans="1:9" s="256" customFormat="1" ht="13.5" hidden="1" customHeight="1">
      <c r="A15" s="269" t="s">
        <v>11</v>
      </c>
      <c r="B15" s="257" t="s">
        <v>2337</v>
      </c>
      <c r="C15" s="262"/>
      <c r="D15" s="1024"/>
      <c r="E15" s="260"/>
      <c r="F15" s="260"/>
      <c r="G15" s="261" t="s">
        <v>2338</v>
      </c>
    </row>
    <row r="16" spans="1:9" s="256" customFormat="1" ht="13.5" hidden="1" customHeight="1">
      <c r="A16" s="269" t="s">
        <v>12</v>
      </c>
      <c r="B16" s="257" t="s">
        <v>2335</v>
      </c>
      <c r="C16" s="262"/>
      <c r="D16" s="1024"/>
      <c r="E16" s="260"/>
      <c r="F16" s="260"/>
      <c r="G16" s="261"/>
    </row>
    <row r="17" spans="1:7" s="256" customFormat="1" ht="13.5" hidden="1" customHeight="1">
      <c r="A17" s="269" t="s">
        <v>13</v>
      </c>
      <c r="B17" s="257" t="s">
        <v>2339</v>
      </c>
      <c r="C17" s="271"/>
      <c r="D17" s="1025"/>
      <c r="E17" s="271"/>
      <c r="F17" s="271"/>
      <c r="G17" s="261" t="s">
        <v>2338</v>
      </c>
    </row>
    <row r="18" spans="1:7" s="256" customFormat="1" ht="13.5" hidden="1" customHeight="1">
      <c r="A18" s="269" t="s">
        <v>14</v>
      </c>
      <c r="B18" s="257" t="s">
        <v>2340</v>
      </c>
      <c r="C18" s="262">
        <v>0</v>
      </c>
      <c r="D18" s="1024"/>
      <c r="E18" s="260"/>
      <c r="F18" s="263">
        <v>3.0499999999999999E-2</v>
      </c>
      <c r="G18" s="261" t="s">
        <v>2341</v>
      </c>
    </row>
    <row r="19" spans="1:7" s="265" customFormat="1" ht="13.5" customHeight="1">
      <c r="A19" s="297" t="s">
        <v>2342</v>
      </c>
      <c r="B19" s="252" t="s">
        <v>2343</v>
      </c>
      <c r="C19" s="253" t="str">
        <f>IF(G19="已包含在土地取得成本中","0",ROUND(D19*E19/10000,0))</f>
        <v>0</v>
      </c>
      <c r="D19" s="1026">
        <f ca="1">D9+D10</f>
        <v>66687.25</v>
      </c>
      <c r="E19" s="253">
        <f>'数据-取费表'!B31</f>
        <v>50</v>
      </c>
      <c r="F19" s="273"/>
      <c r="G19" s="2531" t="s">
        <v>3226</v>
      </c>
    </row>
    <row r="20" spans="1:7" s="256" customFormat="1" ht="13.5" customHeight="1">
      <c r="A20" s="297" t="s">
        <v>2344</v>
      </c>
      <c r="B20" s="252" t="s">
        <v>2345</v>
      </c>
      <c r="C20" s="274">
        <f>ROUND((C5+C19)*F20,0)</f>
        <v>405</v>
      </c>
      <c r="D20" s="274"/>
      <c r="E20" s="274"/>
      <c r="F20" s="275">
        <f>'数据-取费表'!B37</f>
        <v>0.02</v>
      </c>
      <c r="G20" s="276" t="s">
        <v>2346</v>
      </c>
    </row>
    <row r="21" spans="1:7" s="256" customFormat="1" ht="13.5" customHeight="1">
      <c r="A21" s="297" t="s">
        <v>2347</v>
      </c>
      <c r="B21" s="252" t="s">
        <v>2348</v>
      </c>
      <c r="C21" s="277">
        <f>F21</f>
        <v>0.01</v>
      </c>
      <c r="D21" s="278" t="s">
        <v>2349</v>
      </c>
      <c r="E21" s="274"/>
      <c r="F21" s="275">
        <f>'数据-取费表'!B38</f>
        <v>0.01</v>
      </c>
      <c r="G21" s="276" t="s">
        <v>2350</v>
      </c>
    </row>
    <row r="22" spans="1:7" s="256" customFormat="1" ht="13.5" customHeight="1">
      <c r="A22" s="297" t="s">
        <v>2351</v>
      </c>
      <c r="B22" s="252" t="s">
        <v>2352</v>
      </c>
      <c r="C22" s="1343">
        <f ca="1">ROUND(SUM(C23:C25),0)</f>
        <v>0</v>
      </c>
      <c r="D22" s="277">
        <f ca="1">C26</f>
        <v>0</v>
      </c>
      <c r="E22" s="278" t="s">
        <v>2349</v>
      </c>
      <c r="F22" s="279">
        <f ca="1">'数据-取费表'!B40</f>
        <v>4.7500000000000001E-2</v>
      </c>
      <c r="G22" s="276" t="str">
        <f>IF('数据-取费表'!B22&lt;=1,"单利计息","复利计息")</f>
        <v>复利计息</v>
      </c>
    </row>
    <row r="23" spans="1:7" s="256" customFormat="1" ht="13.5" customHeight="1">
      <c r="A23" s="941" t="s">
        <v>2353</v>
      </c>
      <c r="B23" s="257" t="s">
        <v>2354</v>
      </c>
      <c r="C23" s="1344">
        <f ca="1">ROUND(IF('数据-取费表'!B22&lt;=1,C5*F22*'数据-取费表'!B23,C5*(POWER((1+F22),'数据-取费表'!B23)-1)),0)</f>
        <v>0</v>
      </c>
      <c r="D23" s="280"/>
      <c r="E23" s="280"/>
      <c r="F23" s="281"/>
      <c r="G23" s="282" t="s">
        <v>2355</v>
      </c>
    </row>
    <row r="24" spans="1:7" s="256" customFormat="1" ht="13.5" customHeight="1">
      <c r="A24" s="941" t="s">
        <v>2356</v>
      </c>
      <c r="B24" s="257" t="s">
        <v>2357</v>
      </c>
      <c r="C24" s="1344">
        <f ca="1">ROUND(IF('数据-取费表'!B22&lt;=1,C19*F22*('数据-取费表'!B19/2+'数据-取费表'!B21),C19*(POWER((1+F22),('数据-取费表'!B19/2+'数据-取费表'!B21))-1)),0)</f>
        <v>0</v>
      </c>
      <c r="D24" s="280"/>
      <c r="E24" s="280"/>
      <c r="F24" s="281"/>
      <c r="G24" s="282" t="s">
        <v>2358</v>
      </c>
    </row>
    <row r="25" spans="1:7" s="256" customFormat="1" ht="24">
      <c r="A25" s="941" t="s">
        <v>2359</v>
      </c>
      <c r="B25" s="257" t="s">
        <v>2360</v>
      </c>
      <c r="C25" s="1344">
        <f ca="1">ROUND(IF('数据-取费表'!B22&lt;=1,C20*F22*'数据-取费表'!B23/2,C20*(POWER((1+F22),'数据-取费表'!B23/2)-1)),0)</f>
        <v>0</v>
      </c>
      <c r="D25" s="280"/>
      <c r="E25" s="283"/>
      <c r="F25" s="281"/>
      <c r="G25" s="284" t="s">
        <v>2361</v>
      </c>
    </row>
    <row r="26" spans="1:7" s="256" customFormat="1">
      <c r="A26" s="941" t="s">
        <v>795</v>
      </c>
      <c r="B26" s="257" t="s">
        <v>2362</v>
      </c>
      <c r="C26" s="280">
        <f ca="1">ROUND(IF('数据-取费表'!B22&lt;=1,F21*F22*'数据-取费表'!B23/2,F21*(POWER((1+F22),'数据-取费表'!B23/2)-1)),4)</f>
        <v>0</v>
      </c>
      <c r="D26" s="280"/>
      <c r="E26" s="283"/>
      <c r="F26" s="281"/>
      <c r="G26" s="285"/>
    </row>
    <row r="27" spans="1:7" s="256" customFormat="1" ht="24.75">
      <c r="A27" s="297" t="s">
        <v>2363</v>
      </c>
      <c r="B27" s="286" t="s">
        <v>2364</v>
      </c>
      <c r="C27" s="287">
        <f ca="1">C28</f>
        <v>0</v>
      </c>
      <c r="D27" s="277">
        <f ca="1">C29</f>
        <v>0</v>
      </c>
      <c r="E27" s="278" t="s">
        <v>2365</v>
      </c>
      <c r="F27" s="288">
        <f ca="1">IF(B1="",'数据-取费表'!Q16,INDIRECT("'数据-取费表'!q"&amp;$G$1))</f>
        <v>0.2</v>
      </c>
      <c r="G27" s="289" t="s">
        <v>2366</v>
      </c>
    </row>
    <row r="28" spans="1:7" s="256" customFormat="1" ht="13.5" customHeight="1">
      <c r="A28" s="941" t="s">
        <v>791</v>
      </c>
      <c r="B28" s="290" t="s">
        <v>2367</v>
      </c>
      <c r="C28" s="291">
        <f ca="1">ROUND((C5+C19+C20)*F27*'数据-取费表'!B21/'数据-取费表'!B20,0)</f>
        <v>0</v>
      </c>
      <c r="D28" s="277"/>
      <c r="E28" s="278"/>
      <c r="F28" s="288"/>
      <c r="G28" s="289"/>
    </row>
    <row r="29" spans="1:7" s="256" customFormat="1" ht="13.5" customHeight="1">
      <c r="A29" s="941" t="s">
        <v>792</v>
      </c>
      <c r="B29" s="290" t="s">
        <v>2368</v>
      </c>
      <c r="C29" s="280">
        <f ca="1">ROUND(C21*F27*'数据-取费表'!B21/'数据-取费表'!B20,4)</f>
        <v>0</v>
      </c>
      <c r="D29" s="277"/>
      <c r="E29" s="278"/>
      <c r="F29" s="288"/>
      <c r="G29" s="289"/>
    </row>
    <row r="30" spans="1:7" s="256" customFormat="1" ht="13.5" customHeight="1">
      <c r="A30" s="297" t="s">
        <v>2369</v>
      </c>
      <c r="B30" s="252" t="s">
        <v>2370</v>
      </c>
      <c r="C30" s="277">
        <f>ROUND(F30/(1+'数据-取费表'!C42),4)</f>
        <v>5.33E-2</v>
      </c>
      <c r="D30" s="278" t="s">
        <v>2365</v>
      </c>
      <c r="E30" s="283"/>
      <c r="F30" s="279">
        <f>'数据-取费表'!B41</f>
        <v>5.6000000000000001E-2</v>
      </c>
      <c r="G30" s="276" t="s">
        <v>2371</v>
      </c>
    </row>
    <row r="31" spans="1:7" ht="16.5" customHeight="1">
      <c r="A31" s="251">
        <v>1</v>
      </c>
      <c r="B31" s="252" t="s">
        <v>2372</v>
      </c>
      <c r="C31" s="253">
        <f ca="1">ROUND((C5+C19+C20+C22+C27)/(1-C21-D22-D27-C30),0)</f>
        <v>22060</v>
      </c>
      <c r="D31" s="272"/>
      <c r="E31" s="253"/>
      <c r="F31" s="292"/>
      <c r="G31" s="276" t="s">
        <v>2373</v>
      </c>
    </row>
    <row r="32" spans="1:7" s="250" customFormat="1" ht="15.75">
      <c r="A32" s="294" t="s">
        <v>2374</v>
      </c>
      <c r="B32" s="295"/>
      <c r="C32" s="295"/>
      <c r="D32" s="295"/>
      <c r="E32" s="295"/>
      <c r="F32" s="295"/>
      <c r="G32" s="296"/>
    </row>
    <row r="33" spans="1:7" s="256" customFormat="1" ht="13.5" customHeight="1">
      <c r="A33" s="297" t="s">
        <v>782</v>
      </c>
      <c r="B33" s="252" t="s">
        <v>2375</v>
      </c>
      <c r="C33" s="298">
        <f ca="1">SUM(C34:C38)</f>
        <v>0</v>
      </c>
      <c r="D33" s="274"/>
      <c r="E33" s="254"/>
      <c r="F33" s="283"/>
      <c r="G33" s="276"/>
    </row>
    <row r="34" spans="1:7" s="300" customFormat="1" ht="13.5" customHeight="1">
      <c r="A34" s="941" t="s">
        <v>791</v>
      </c>
      <c r="B34" s="257" t="s">
        <v>2376</v>
      </c>
      <c r="C34" s="262">
        <f ca="1">IF(B1="",IF(F34=100%,'数据-取费表'!M16,'数据-取费表'!O16),IF(F34=100%,INDIRECT("'数据-取费表'!m"&amp;$G$1)+INDIRECT("'数据-取费表'!t"&amp;$G$1),INDIRECT("'数据-取费表'!o"&amp;$G$1)+INDIRECT("'数据-取费表'!aq"&amp;$G$1)))</f>
        <v>0</v>
      </c>
      <c r="D34" s="259"/>
      <c r="E34" s="262"/>
      <c r="F34" s="299">
        <f ca="1">IF('数据-取费表'!B24=0,1,IF(B1="",'数据-取费表'!N16,INDIRECT("'数据-取费表'!n"&amp;$G$1)))</f>
        <v>0</v>
      </c>
      <c r="G34" s="261" t="s">
        <v>2377</v>
      </c>
    </row>
    <row r="35" spans="1:7" ht="13.5" customHeight="1">
      <c r="A35" s="941" t="s">
        <v>796</v>
      </c>
      <c r="B35" s="257" t="s">
        <v>2378</v>
      </c>
      <c r="C35" s="262">
        <f ca="1">ROUND(C34*F35,0)</f>
        <v>0</v>
      </c>
      <c r="D35" s="262"/>
      <c r="E35" s="262"/>
      <c r="F35" s="301">
        <f>'数据-取费表'!B33</f>
        <v>0.03</v>
      </c>
      <c r="G35" s="261" t="s">
        <v>2379</v>
      </c>
    </row>
    <row r="36" spans="1:7" ht="24">
      <c r="A36" s="941" t="s">
        <v>797</v>
      </c>
      <c r="B36" s="257" t="s">
        <v>2380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2381</v>
      </c>
    </row>
    <row r="37" spans="1:7" s="300" customFormat="1" ht="13.5" customHeight="1">
      <c r="A37" s="941" t="s">
        <v>798</v>
      </c>
      <c r="B37" s="257" t="s">
        <v>2382</v>
      </c>
      <c r="C37" s="291">
        <f ca="1">ROUND(E37*D37*F34/10000,0)</f>
        <v>0</v>
      </c>
      <c r="D37" s="259">
        <f ca="1">D19</f>
        <v>66687.25</v>
      </c>
      <c r="E37" s="291">
        <f>'数据-取费表'!B35</f>
        <v>200</v>
      </c>
      <c r="F37" s="301"/>
      <c r="G37" s="303" t="s">
        <v>2383</v>
      </c>
    </row>
    <row r="38" spans="1:7" ht="13.5" customHeight="1">
      <c r="A38" s="941" t="s">
        <v>799</v>
      </c>
      <c r="B38" s="257" t="s">
        <v>2384</v>
      </c>
      <c r="C38" s="262">
        <f ca="1">ROUND(C34*F38,0)</f>
        <v>0</v>
      </c>
      <c r="D38" s="262"/>
      <c r="E38" s="262"/>
      <c r="F38" s="301">
        <f>'数据-取费表'!B36</f>
        <v>1.4999999999999999E-2</v>
      </c>
      <c r="G38" s="261" t="s">
        <v>2379</v>
      </c>
    </row>
    <row r="39" spans="1:7" s="256" customFormat="1" ht="13.5" customHeight="1">
      <c r="A39" s="297" t="s">
        <v>2385</v>
      </c>
      <c r="B39" s="252" t="s">
        <v>2386</v>
      </c>
      <c r="C39" s="274">
        <f ca="1">ROUND(C33*F20,0)</f>
        <v>0</v>
      </c>
      <c r="D39" s="274"/>
      <c r="E39" s="274"/>
      <c r="F39" s="275"/>
      <c r="G39" s="276" t="s">
        <v>2387</v>
      </c>
    </row>
    <row r="40" spans="1:7" s="256" customFormat="1" ht="13.5" customHeight="1">
      <c r="A40" s="297" t="s">
        <v>2388</v>
      </c>
      <c r="B40" s="252" t="s">
        <v>2389</v>
      </c>
      <c r="C40" s="1716">
        <f>F21</f>
        <v>0.01</v>
      </c>
      <c r="D40" s="278" t="s">
        <v>2390</v>
      </c>
      <c r="E40" s="274"/>
      <c r="F40" s="275"/>
      <c r="G40" s="276" t="s">
        <v>2391</v>
      </c>
    </row>
    <row r="41" spans="1:7" s="256" customFormat="1" ht="13.5" customHeight="1">
      <c r="A41" s="297" t="s">
        <v>2392</v>
      </c>
      <c r="B41" s="252" t="s">
        <v>2393</v>
      </c>
      <c r="C41" s="274">
        <f ca="1">ROUND(SUM(C42:C43),0)</f>
        <v>0</v>
      </c>
      <c r="D41" s="277">
        <f ca="1">C44</f>
        <v>0</v>
      </c>
      <c r="E41" s="278" t="s">
        <v>2390</v>
      </c>
      <c r="F41" s="279"/>
      <c r="G41" s="276" t="str">
        <f>IF('数据-取费表'!B22&lt;=1,"单利计息","复利计息")</f>
        <v>复利计息</v>
      </c>
    </row>
    <row r="42" spans="1:7" ht="13.5" customHeight="1">
      <c r="A42" s="941" t="s">
        <v>791</v>
      </c>
      <c r="B42" s="257" t="s">
        <v>2394</v>
      </c>
      <c r="C42" s="280">
        <f ca="1">ROUND(IF('数据-取费表'!B22&lt;=1,C33*F22*'数据-取费表'!B21/2,C33*(POWER((1+F22),'数据-取费表'!B21/2)-1)),0)</f>
        <v>0</v>
      </c>
      <c r="D42" s="280"/>
      <c r="E42" s="280"/>
      <c r="F42" s="281"/>
      <c r="G42" s="3283" t="s">
        <v>2395</v>
      </c>
    </row>
    <row r="43" spans="1:7" ht="13.5" customHeight="1">
      <c r="A43" s="941" t="s">
        <v>792</v>
      </c>
      <c r="B43" s="257" t="s">
        <v>2396</v>
      </c>
      <c r="C43" s="280">
        <f ca="1">ROUND(IF('数据-取费表'!B22&lt;=1,C39*F22*'数据-取费表'!B21/2,C39*(POWER((1+F22),'数据-取费表'!B21/2)-1)),0)</f>
        <v>0</v>
      </c>
      <c r="D43" s="280"/>
      <c r="E43" s="280"/>
      <c r="F43" s="281"/>
      <c r="G43" s="3284"/>
    </row>
    <row r="44" spans="1:7" ht="13.5" customHeight="1">
      <c r="A44" s="941" t="s">
        <v>793</v>
      </c>
      <c r="B44" s="257" t="s">
        <v>2397</v>
      </c>
      <c r="C44" s="280">
        <f ca="1">ROUND(IF('数据-取费表'!B22&lt;=1,C40*F22*'数据-取费表'!B21/2,C40*(POWER((1+F22),'数据-取费表'!B21/2)-1)),4)</f>
        <v>0</v>
      </c>
      <c r="D44" s="280"/>
      <c r="E44" s="280"/>
      <c r="F44" s="281"/>
      <c r="G44" s="3285"/>
    </row>
    <row r="45" spans="1:7" s="256" customFormat="1" ht="13.5" customHeight="1">
      <c r="A45" s="297" t="s">
        <v>2398</v>
      </c>
      <c r="B45" s="286" t="s">
        <v>2364</v>
      </c>
      <c r="C45" s="287">
        <f ca="1">C46</f>
        <v>0</v>
      </c>
      <c r="D45" s="277">
        <f ca="1">C47</f>
        <v>2E-3</v>
      </c>
      <c r="E45" s="278" t="s">
        <v>2390</v>
      </c>
      <c r="F45" s="288"/>
      <c r="G45" s="289" t="s">
        <v>2399</v>
      </c>
    </row>
    <row r="46" spans="1:7" s="256" customFormat="1" ht="13.5" customHeight="1">
      <c r="A46" s="941" t="s">
        <v>791</v>
      </c>
      <c r="B46" s="290" t="s">
        <v>2400</v>
      </c>
      <c r="C46" s="291">
        <f ca="1">ROUND((C33+C39)*F27,0)</f>
        <v>0</v>
      </c>
      <c r="D46" s="305"/>
      <c r="E46" s="278"/>
      <c r="F46" s="288"/>
      <c r="G46" s="289"/>
    </row>
    <row r="47" spans="1:7" s="256" customFormat="1" ht="13.5" customHeight="1">
      <c r="A47" s="941" t="s">
        <v>792</v>
      </c>
      <c r="B47" s="290" t="s">
        <v>2401</v>
      </c>
      <c r="C47" s="280">
        <f ca="1">ROUND(C40*F27,4)</f>
        <v>2E-3</v>
      </c>
      <c r="D47" s="305"/>
      <c r="E47" s="278"/>
      <c r="F47" s="288"/>
      <c r="G47" s="289"/>
    </row>
    <row r="48" spans="1:7" s="256" customFormat="1" ht="13.5" customHeight="1">
      <c r="A48" s="297" t="s">
        <v>2363</v>
      </c>
      <c r="B48" s="252" t="s">
        <v>2402</v>
      </c>
      <c r="C48" s="1716">
        <f>ROUND(F30/(1+'数据-取费表'!C42),4)</f>
        <v>5.33E-2</v>
      </c>
      <c r="D48" s="278" t="s">
        <v>2390</v>
      </c>
      <c r="E48" s="274"/>
      <c r="F48" s="279"/>
      <c r="G48" s="276" t="s">
        <v>2403</v>
      </c>
    </row>
    <row r="49" spans="1:7" ht="16.5" customHeight="1">
      <c r="A49" s="297" t="s">
        <v>2369</v>
      </c>
      <c r="B49" s="252" t="s">
        <v>2404</v>
      </c>
      <c r="C49" s="274">
        <f ca="1">ROUND((C33+C39+C41+C45)/(1-C40-D41-D45-C48),0)</f>
        <v>0</v>
      </c>
      <c r="D49" s="274"/>
      <c r="E49" s="274"/>
      <c r="F49" s="306"/>
      <c r="G49" s="276" t="s">
        <v>2405</v>
      </c>
    </row>
    <row r="50" spans="1:7" s="300" customFormat="1" ht="24">
      <c r="A50" s="297" t="s">
        <v>2406</v>
      </c>
      <c r="B50" s="252" t="s">
        <v>2407</v>
      </c>
      <c r="C50" s="274"/>
      <c r="D50" s="274"/>
      <c r="E50" s="274"/>
      <c r="F50" s="306">
        <f>IF('数据-取费表'!B24=0,'数据-取费表'!N16,1)</f>
        <v>1</v>
      </c>
      <c r="G50" s="289" t="s">
        <v>2408</v>
      </c>
    </row>
    <row r="51" spans="1:7" ht="16.5" customHeight="1">
      <c r="A51" s="297" t="s">
        <v>2409</v>
      </c>
      <c r="B51" s="252" t="s">
        <v>2410</v>
      </c>
      <c r="C51" s="274">
        <f ca="1">ROUND(C49*F50,0)</f>
        <v>0</v>
      </c>
      <c r="D51" s="274"/>
      <c r="E51" s="274"/>
      <c r="F51" s="306"/>
      <c r="G51" s="276" t="s">
        <v>2411</v>
      </c>
    </row>
    <row r="52" spans="1:7" s="250" customFormat="1" ht="16.5" thickBot="1">
      <c r="A52" s="307" t="s">
        <v>2412</v>
      </c>
      <c r="B52" s="308"/>
      <c r="C52" s="309">
        <f ca="1">C31+C51</f>
        <v>22060</v>
      </c>
      <c r="D52" s="308"/>
      <c r="E52" s="308"/>
      <c r="F52" s="308"/>
      <c r="G52" s="310"/>
    </row>
    <row r="55" spans="1:7" ht="15">
      <c r="B55" s="312" t="s">
        <v>2413</v>
      </c>
      <c r="C55" s="313"/>
    </row>
    <row r="56" spans="1:7">
      <c r="B56" s="315" t="s">
        <v>1508</v>
      </c>
      <c r="C56" s="317">
        <f ca="1">1-C57</f>
        <v>1</v>
      </c>
    </row>
    <row r="57" spans="1:7">
      <c r="B57" s="315" t="s">
        <v>1509</v>
      </c>
      <c r="C57" s="316">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2312</v>
      </c>
      <c r="B1" s="1923"/>
      <c r="C1" s="2534" t="s">
        <v>2414</v>
      </c>
      <c r="D1" s="240"/>
      <c r="E1" s="240"/>
      <c r="F1" s="240"/>
      <c r="G1" s="1368">
        <f>MATCH(B1,'数据-取费表'!A6:A16,0)+5</f>
        <v>7</v>
      </c>
      <c r="H1" s="1271" t="str">
        <f>IF(ISERROR(FIND("住宅",B1)),"非住宅","住宅")</f>
        <v>非住宅</v>
      </c>
    </row>
    <row r="2" spans="1:8" s="242" customFormat="1" ht="18" customHeight="1">
      <c r="A2" s="243" t="s">
        <v>2313</v>
      </c>
      <c r="B2" s="244">
        <f ca="1">ROUND(IF(D2="——",C52/10000,C52/10000-E2),0)</f>
        <v>23642</v>
      </c>
      <c r="C2" s="241" t="s">
        <v>2314</v>
      </c>
      <c r="D2" s="2528" t="s">
        <v>70</v>
      </c>
      <c r="E2" s="1429" t="e">
        <f ca="1">SUMIF(INDIRECT("'"&amp;G2&amp;"'"&amp;"!A:A"),"承租人权益价值",INDIRECT("'"&amp;G2&amp;"'"&amp;"!c:c"))</f>
        <v>#REF!</v>
      </c>
      <c r="F2" s="2529" t="s">
        <v>2314</v>
      </c>
      <c r="G2" s="2530"/>
    </row>
    <row r="3" spans="1:8" s="242" customFormat="1" ht="18" customHeight="1" thickBot="1">
      <c r="A3" s="245" t="s">
        <v>2315</v>
      </c>
      <c r="B3" s="246">
        <f ca="1">ROUND(B2*10000/(IF(B1="",'数据-汇总表'!E3,INDIRECT("'数据-取费表'!k"&amp;$G$1))),0)</f>
        <v>3545</v>
      </c>
      <c r="C3" s="241" t="s">
        <v>2316</v>
      </c>
      <c r="D3" s="241"/>
      <c r="E3" s="241"/>
      <c r="F3" s="241"/>
      <c r="G3" s="241"/>
    </row>
    <row r="4" spans="1:8" s="250" customFormat="1" ht="15.75">
      <c r="A4" s="247" t="s">
        <v>2317</v>
      </c>
      <c r="B4" s="248"/>
      <c r="C4" s="248"/>
      <c r="D4" s="248"/>
      <c r="E4" s="248"/>
      <c r="F4" s="248"/>
      <c r="G4" s="249"/>
    </row>
    <row r="5" spans="1:8" s="256" customFormat="1" ht="13.5" customHeight="1">
      <c r="A5" s="297" t="s">
        <v>2318</v>
      </c>
      <c r="B5" s="252" t="s">
        <v>2319</v>
      </c>
      <c r="C5" s="253">
        <f ca="1">C6+C7+C8</f>
        <v>0</v>
      </c>
      <c r="D5" s="253" t="s">
        <v>2320</v>
      </c>
      <c r="E5" s="254" t="s">
        <v>2321</v>
      </c>
      <c r="F5" s="254" t="s">
        <v>2322</v>
      </c>
      <c r="G5" s="255"/>
    </row>
    <row r="6" spans="1:8" s="256" customFormat="1" ht="13.5" customHeight="1">
      <c r="A6" s="939" t="s">
        <v>2323</v>
      </c>
      <c r="B6" s="257" t="s">
        <v>2324</v>
      </c>
      <c r="C6" s="258"/>
      <c r="D6" s="259"/>
      <c r="E6" s="260"/>
      <c r="F6" s="260"/>
      <c r="G6" s="261"/>
    </row>
    <row r="7" spans="1:8" s="256" customFormat="1" ht="13.5" customHeight="1">
      <c r="A7" s="939" t="s">
        <v>2325</v>
      </c>
      <c r="B7" s="257" t="s">
        <v>2326</v>
      </c>
      <c r="C7" s="262">
        <f>ROUND(C6*F7,0)</f>
        <v>0</v>
      </c>
      <c r="D7" s="262"/>
      <c r="E7" s="260"/>
      <c r="F7" s="263">
        <f>IF(项目基本情况!B8="出让",0,'数据-取费表'!B48+'数据-取费表'!B49)</f>
        <v>3.0499999999999999E-2</v>
      </c>
      <c r="G7" s="261"/>
    </row>
    <row r="8" spans="1:8" s="265" customFormat="1">
      <c r="A8" s="939" t="s">
        <v>2327</v>
      </c>
      <c r="B8" s="257" t="s">
        <v>2328</v>
      </c>
      <c r="C8" s="262">
        <f ca="1">IF(G8="已包含在土地购买价格中",0,C9+C10)</f>
        <v>0</v>
      </c>
      <c r="D8" s="264"/>
      <c r="E8" s="262"/>
      <c r="F8" s="263"/>
      <c r="G8" s="2531"/>
    </row>
    <row r="9" spans="1:8" s="256" customFormat="1" ht="13.5" customHeight="1">
      <c r="A9" s="940" t="s">
        <v>800</v>
      </c>
      <c r="B9" s="266" t="s">
        <v>2329</v>
      </c>
      <c r="C9" s="267">
        <f ca="1">ROUND(D9*E9,0)</f>
        <v>0</v>
      </c>
      <c r="D9" s="1022">
        <f ca="1">IF(B1="",'数据-汇总表'!E5,IF(INDIRECT("'数据-取费表'!c"&amp;$G$1)="住宅",INDIRECT("'数据-取费表'!k"&amp;$G$1),0))</f>
        <v>0</v>
      </c>
      <c r="E9" s="267">
        <f>'数据-取费表'!B27</f>
        <v>0</v>
      </c>
      <c r="F9" s="263"/>
      <c r="G9" s="268"/>
    </row>
    <row r="10" spans="1:8" s="256" customFormat="1" ht="13.5" customHeight="1">
      <c r="A10" s="940" t="s">
        <v>801</v>
      </c>
      <c r="B10" s="266" t="s">
        <v>2331</v>
      </c>
      <c r="C10" s="267">
        <f ca="1">ROUND(D10*E10,0)</f>
        <v>0</v>
      </c>
      <c r="D10" s="1022">
        <f ca="1">IF(B1="",'数据-汇总表'!E6,IF(INDIRECT("'数据-取费表'!c"&amp;$G$1)="住宅",INDIRECT("'数据-取费表'!s"&amp;$G$1),INDIRECT("'数据-取费表'!k"&amp;$G$1)+INDIRECT("'数据-取费表'!s"&amp;$G$1)))</f>
        <v>66687.25</v>
      </c>
      <c r="E10" s="267">
        <f>'数据-取费表'!B28</f>
        <v>0</v>
      </c>
      <c r="F10" s="263"/>
      <c r="G10" s="268"/>
    </row>
    <row r="11" spans="1:8" s="256" customFormat="1" ht="13.5" hidden="1" customHeight="1">
      <c r="A11" s="269" t="s">
        <v>7</v>
      </c>
      <c r="B11" s="257" t="s">
        <v>2332</v>
      </c>
      <c r="C11" s="253"/>
      <c r="D11" s="1024"/>
      <c r="E11" s="260"/>
      <c r="F11" s="260"/>
      <c r="G11" s="261"/>
    </row>
    <row r="12" spans="1:8" s="256" customFormat="1" ht="13.5" hidden="1" customHeight="1">
      <c r="A12" s="269" t="s">
        <v>8</v>
      </c>
      <c r="B12" s="257" t="s">
        <v>2415</v>
      </c>
      <c r="C12" s="253">
        <v>0</v>
      </c>
      <c r="D12" s="1024"/>
      <c r="E12" s="270"/>
      <c r="F12" s="263">
        <v>3.0499999999999999E-2</v>
      </c>
      <c r="G12" s="261"/>
    </row>
    <row r="13" spans="1:8" s="256" customFormat="1" ht="13.5" hidden="1" customHeight="1">
      <c r="A13" s="269" t="s">
        <v>9</v>
      </c>
      <c r="B13" s="257" t="s">
        <v>2416</v>
      </c>
      <c r="C13" s="253"/>
      <c r="D13" s="1024"/>
      <c r="E13" s="260"/>
      <c r="F13" s="260"/>
      <c r="G13" s="261"/>
    </row>
    <row r="14" spans="1:8" s="256" customFormat="1" ht="13.5" hidden="1" customHeight="1">
      <c r="A14" s="269" t="s">
        <v>10</v>
      </c>
      <c r="B14" s="257" t="s">
        <v>2328</v>
      </c>
      <c r="C14" s="253"/>
      <c r="D14" s="1024"/>
      <c r="E14" s="260"/>
      <c r="F14" s="260"/>
      <c r="G14" s="261" t="s">
        <v>2417</v>
      </c>
    </row>
    <row r="15" spans="1:8" s="256" customFormat="1" ht="13.5" hidden="1" customHeight="1">
      <c r="A15" s="269" t="s">
        <v>11</v>
      </c>
      <c r="B15" s="257" t="s">
        <v>2418</v>
      </c>
      <c r="C15" s="262"/>
      <c r="D15" s="1024"/>
      <c r="E15" s="260"/>
      <c r="F15" s="260"/>
      <c r="G15" s="261" t="s">
        <v>2419</v>
      </c>
    </row>
    <row r="16" spans="1:8" s="256" customFormat="1" ht="13.5" hidden="1" customHeight="1">
      <c r="A16" s="269" t="s">
        <v>12</v>
      </c>
      <c r="B16" s="257" t="s">
        <v>2328</v>
      </c>
      <c r="C16" s="262"/>
      <c r="D16" s="1024"/>
      <c r="E16" s="260"/>
      <c r="F16" s="260"/>
      <c r="G16" s="261"/>
    </row>
    <row r="17" spans="1:7" s="256" customFormat="1" ht="13.5" hidden="1" customHeight="1">
      <c r="A17" s="269" t="s">
        <v>13</v>
      </c>
      <c r="B17" s="257" t="s">
        <v>2420</v>
      </c>
      <c r="C17" s="271"/>
      <c r="D17" s="1025"/>
      <c r="E17" s="271"/>
      <c r="F17" s="271"/>
      <c r="G17" s="261" t="s">
        <v>2419</v>
      </c>
    </row>
    <row r="18" spans="1:7" s="256" customFormat="1" ht="13.5" hidden="1" customHeight="1">
      <c r="A18" s="269" t="s">
        <v>14</v>
      </c>
      <c r="B18" s="257" t="s">
        <v>2421</v>
      </c>
      <c r="C18" s="262">
        <v>0</v>
      </c>
      <c r="D18" s="1024"/>
      <c r="E18" s="260"/>
      <c r="F18" s="263">
        <v>3.0499999999999999E-2</v>
      </c>
      <c r="G18" s="261" t="s">
        <v>2422</v>
      </c>
    </row>
    <row r="19" spans="1:7" s="265" customFormat="1" ht="13.5" customHeight="1">
      <c r="A19" s="297" t="s">
        <v>2423</v>
      </c>
      <c r="B19" s="252" t="s">
        <v>2424</v>
      </c>
      <c r="C19" s="253">
        <f ca="1">IF(G19="已包含在土地取得成本中","0",ROUND(D19*E19,0))</f>
        <v>3334363</v>
      </c>
      <c r="D19" s="1026">
        <f ca="1">D9+D10</f>
        <v>66687.25</v>
      </c>
      <c r="E19" s="253">
        <f>'数据-取费表'!B31</f>
        <v>50</v>
      </c>
      <c r="F19" s="273"/>
      <c r="G19" s="2531"/>
    </row>
    <row r="20" spans="1:7" s="256" customFormat="1" ht="13.5" customHeight="1">
      <c r="A20" s="297" t="s">
        <v>2425</v>
      </c>
      <c r="B20" s="252" t="s">
        <v>2426</v>
      </c>
      <c r="C20" s="274">
        <f ca="1">ROUND((C5+C19)*F20,0)</f>
        <v>66687</v>
      </c>
      <c r="D20" s="274"/>
      <c r="E20" s="274"/>
      <c r="F20" s="275">
        <f>'数据-取费表'!B37</f>
        <v>0.02</v>
      </c>
      <c r="G20" s="276" t="s">
        <v>2427</v>
      </c>
    </row>
    <row r="21" spans="1:7" s="256" customFormat="1" ht="13.5" customHeight="1">
      <c r="A21" s="297" t="s">
        <v>2428</v>
      </c>
      <c r="B21" s="252" t="s">
        <v>2429</v>
      </c>
      <c r="C21" s="277">
        <f>F21</f>
        <v>0.01</v>
      </c>
      <c r="D21" s="278" t="s">
        <v>2430</v>
      </c>
      <c r="E21" s="274"/>
      <c r="F21" s="275">
        <f>'数据-取费表'!B38</f>
        <v>0.01</v>
      </c>
      <c r="G21" s="276" t="s">
        <v>2431</v>
      </c>
    </row>
    <row r="22" spans="1:7" s="256" customFormat="1" ht="13.5" customHeight="1">
      <c r="A22" s="297" t="s">
        <v>2432</v>
      </c>
      <c r="B22" s="252" t="s">
        <v>2433</v>
      </c>
      <c r="C22" s="1369">
        <f ca="1">ROUND(SUM(C23:C25),0)</f>
        <v>502881</v>
      </c>
      <c r="D22" s="277">
        <f ca="1">C26</f>
        <v>6.9999999999999999E-4</v>
      </c>
      <c r="E22" s="278" t="s">
        <v>2430</v>
      </c>
      <c r="F22" s="279">
        <f ca="1">'数据-取费表'!B40</f>
        <v>4.7500000000000001E-2</v>
      </c>
      <c r="G22" s="276" t="str">
        <f>IF('数据-取费表'!B22&lt;=1,"单利计息","复利计息")</f>
        <v>复利计息</v>
      </c>
    </row>
    <row r="23" spans="1:7" s="256" customFormat="1" ht="13.5" customHeight="1">
      <c r="A23" s="941" t="s">
        <v>2323</v>
      </c>
      <c r="B23" s="257" t="s">
        <v>2434</v>
      </c>
      <c r="C23" s="1370">
        <f ca="1">ROUND(IF('数据-取费表'!B22&lt;=1,C5*F22*'数据-取费表'!B22,C5*(POWER((1+F22),'数据-取费表'!B22)-1)),0)</f>
        <v>0</v>
      </c>
      <c r="D23" s="280"/>
      <c r="E23" s="280"/>
      <c r="F23" s="281"/>
      <c r="G23" s="282" t="s">
        <v>2435</v>
      </c>
    </row>
    <row r="24" spans="1:7" s="256" customFormat="1" ht="13.5" customHeight="1">
      <c r="A24" s="941" t="s">
        <v>2325</v>
      </c>
      <c r="B24" s="257" t="s">
        <v>2436</v>
      </c>
      <c r="C24" s="1370">
        <f ca="1">ROUND(IF('数据-取费表'!B22&lt;=1,C19*F22*('数据-取费表'!B19/2+'数据-取费表'!B20),C19*(POWER((1+F22),('数据-取费表'!B19/2+'数据-取费表'!B20))-1)),0)</f>
        <v>498074</v>
      </c>
      <c r="D24" s="280"/>
      <c r="E24" s="280"/>
      <c r="F24" s="281"/>
      <c r="G24" s="282" t="s">
        <v>2437</v>
      </c>
    </row>
    <row r="25" spans="1:7" s="256" customFormat="1" ht="24">
      <c r="A25" s="941" t="s">
        <v>2327</v>
      </c>
      <c r="B25" s="257" t="s">
        <v>2438</v>
      </c>
      <c r="C25" s="1370">
        <f ca="1">ROUND(IF('数据-取费表'!B22&lt;=1,C20*F22*'数据-取费表'!B22/2,C20*(POWER((1+F22),'数据-取费表'!B22/2)-1)),0)</f>
        <v>4807</v>
      </c>
      <c r="D25" s="280"/>
      <c r="E25" s="283"/>
      <c r="F25" s="281"/>
      <c r="G25" s="284" t="s">
        <v>2439</v>
      </c>
    </row>
    <row r="26" spans="1:7" s="256" customFormat="1">
      <c r="A26" s="941" t="s">
        <v>795</v>
      </c>
      <c r="B26" s="257" t="s">
        <v>2362</v>
      </c>
      <c r="C26" s="280">
        <f ca="1">ROUND(IF('数据-取费表'!B22&lt;=1,F21*F22*'数据-取费表'!B22/2,F21*(POWER((1+F22),'数据-取费表'!B22/2)-1)),4)</f>
        <v>6.9999999999999999E-4</v>
      </c>
      <c r="D26" s="280"/>
      <c r="E26" s="283"/>
      <c r="F26" s="281"/>
      <c r="G26" s="285"/>
    </row>
    <row r="27" spans="1:7" s="256" customFormat="1" ht="24.75">
      <c r="A27" s="297" t="s">
        <v>2363</v>
      </c>
      <c r="B27" s="286" t="s">
        <v>2364</v>
      </c>
      <c r="C27" s="287">
        <f ca="1">C28</f>
        <v>680210</v>
      </c>
      <c r="D27" s="277">
        <f ca="1">C29</f>
        <v>2E-3</v>
      </c>
      <c r="E27" s="278" t="s">
        <v>2365</v>
      </c>
      <c r="F27" s="288">
        <f ca="1">IF(B1="",'数据-取费表'!Q16,INDIRECT("'数据-取费表'!q"&amp;$G$1))</f>
        <v>0.2</v>
      </c>
      <c r="G27" s="289" t="s">
        <v>2366</v>
      </c>
    </row>
    <row r="28" spans="1:7" s="256" customFormat="1" ht="13.5" customHeight="1">
      <c r="A28" s="941" t="s">
        <v>791</v>
      </c>
      <c r="B28" s="290" t="s">
        <v>2367</v>
      </c>
      <c r="C28" s="291">
        <f ca="1">ROUND((C5+C19+C20)*F27,0)</f>
        <v>680210</v>
      </c>
      <c r="D28" s="277"/>
      <c r="E28" s="278"/>
      <c r="F28" s="288"/>
      <c r="G28" s="289"/>
    </row>
    <row r="29" spans="1:7" s="256" customFormat="1" ht="13.5" customHeight="1">
      <c r="A29" s="941" t="s">
        <v>792</v>
      </c>
      <c r="B29" s="290" t="s">
        <v>2368</v>
      </c>
      <c r="C29" s="280">
        <f ca="1">ROUND(C21*F27,4)</f>
        <v>2E-3</v>
      </c>
      <c r="D29" s="277"/>
      <c r="E29" s="278"/>
      <c r="F29" s="288"/>
      <c r="G29" s="289"/>
    </row>
    <row r="30" spans="1:7" s="256" customFormat="1" ht="13.5" customHeight="1">
      <c r="A30" s="297" t="s">
        <v>2369</v>
      </c>
      <c r="B30" s="252" t="s">
        <v>2370</v>
      </c>
      <c r="C30" s="277">
        <f>ROUND(F30/(1+'数据-取费表'!C42),4)</f>
        <v>5.33E-2</v>
      </c>
      <c r="D30" s="278" t="s">
        <v>2365</v>
      </c>
      <c r="E30" s="283"/>
      <c r="F30" s="279">
        <f>'数据-取费表'!B41</f>
        <v>5.6000000000000001E-2</v>
      </c>
      <c r="G30" s="276" t="s">
        <v>2371</v>
      </c>
    </row>
    <row r="31" spans="1:7" ht="16.5" customHeight="1">
      <c r="A31" s="251">
        <v>1</v>
      </c>
      <c r="B31" s="252" t="s">
        <v>2372</v>
      </c>
      <c r="C31" s="253">
        <f ca="1">ROUND((C5+C19+C20+C22+C27)/(1-C21-D22-D27-C30),0)</f>
        <v>4908074</v>
      </c>
      <c r="D31" s="272"/>
      <c r="E31" s="253"/>
      <c r="F31" s="292"/>
      <c r="G31" s="276" t="s">
        <v>2373</v>
      </c>
    </row>
    <row r="32" spans="1:7" s="250" customFormat="1" ht="15.75">
      <c r="A32" s="294" t="s">
        <v>2440</v>
      </c>
      <c r="B32" s="295"/>
      <c r="C32" s="295"/>
      <c r="D32" s="295"/>
      <c r="E32" s="295"/>
      <c r="F32" s="295"/>
      <c r="G32" s="296"/>
    </row>
    <row r="33" spans="1:7" s="256" customFormat="1" ht="13.5" customHeight="1">
      <c r="A33" s="297" t="s">
        <v>782</v>
      </c>
      <c r="B33" s="252" t="s">
        <v>2441</v>
      </c>
      <c r="C33" s="298">
        <f ca="1">SUM(C34:C38)</f>
        <v>166651438</v>
      </c>
      <c r="D33" s="274"/>
      <c r="E33" s="254"/>
      <c r="F33" s="283"/>
      <c r="G33" s="276"/>
    </row>
    <row r="34" spans="1:7" s="300" customFormat="1" ht="13.5" customHeight="1">
      <c r="A34" s="941" t="s">
        <v>791</v>
      </c>
      <c r="B34" s="257" t="s">
        <v>2376</v>
      </c>
      <c r="C34" s="262">
        <f ca="1">ROUND(IF(B1="",SUMPRODUCT('数据-取费表'!K6:K14,'数据-取费表'!L6:L14),INDIRECT("'数据-取费表'!l"&amp;$G$1)*INDIRECT("'数据-取费表'!k"&amp;$G$1)+'数据-取费表'!L14*INDIRECT("'数据-取费表'!S"&amp;$G$1)),0)</f>
        <v>146711950</v>
      </c>
      <c r="D34" s="259"/>
      <c r="E34" s="262"/>
      <c r="F34" s="299"/>
      <c r="G34" s="261"/>
    </row>
    <row r="35" spans="1:7" ht="13.5" customHeight="1">
      <c r="A35" s="941" t="s">
        <v>796</v>
      </c>
      <c r="B35" s="257" t="s">
        <v>2378</v>
      </c>
      <c r="C35" s="262">
        <f ca="1">ROUND(C34*F35,0)</f>
        <v>4401359</v>
      </c>
      <c r="D35" s="262"/>
      <c r="E35" s="262"/>
      <c r="F35" s="301">
        <f>'数据-取费表'!B33</f>
        <v>0.03</v>
      </c>
      <c r="G35" s="261" t="s">
        <v>2379</v>
      </c>
    </row>
    <row r="36" spans="1:7" ht="24">
      <c r="A36" s="941" t="s">
        <v>797</v>
      </c>
      <c r="B36" s="257" t="s">
        <v>2380</v>
      </c>
      <c r="C36" s="262">
        <f ca="1">ROUND(IF(B1="",SUM('数据-取费表'!AP6:AP13)*F36,IF(INDIRECT("'数据-取费表'!c"&amp;$G$1)="住宅",INDIRECT("'数据-取费表'!k"&amp;$G$1)*INDIRECT("'数据-取费表'!l"&amp;$G$1)*F36,0)),0)</f>
        <v>0</v>
      </c>
      <c r="D36" s="262"/>
      <c r="E36" s="262"/>
      <c r="F36" s="301">
        <f>'数据-取费表'!B34</f>
        <v>0</v>
      </c>
      <c r="G36" s="302" t="s">
        <v>2381</v>
      </c>
    </row>
    <row r="37" spans="1:7" s="300" customFormat="1" ht="13.5" customHeight="1">
      <c r="A37" s="941" t="s">
        <v>798</v>
      </c>
      <c r="B37" s="257" t="s">
        <v>2382</v>
      </c>
      <c r="C37" s="291">
        <f ca="1">ROUND(E37*D37,0)</f>
        <v>13337450</v>
      </c>
      <c r="D37" s="259">
        <f ca="1">D19</f>
        <v>66687.25</v>
      </c>
      <c r="E37" s="291">
        <f>'数据-取费表'!B35</f>
        <v>200</v>
      </c>
      <c r="F37" s="301"/>
      <c r="G37" s="303"/>
    </row>
    <row r="38" spans="1:7" ht="13.5" customHeight="1">
      <c r="A38" s="941" t="s">
        <v>799</v>
      </c>
      <c r="B38" s="257" t="s">
        <v>2384</v>
      </c>
      <c r="C38" s="262">
        <f ca="1">ROUND(C34*F38,0)</f>
        <v>2200679</v>
      </c>
      <c r="D38" s="262"/>
      <c r="E38" s="262"/>
      <c r="F38" s="301">
        <f>'数据-取费表'!B36</f>
        <v>1.4999999999999999E-2</v>
      </c>
      <c r="G38" s="261" t="s">
        <v>2379</v>
      </c>
    </row>
    <row r="39" spans="1:7" s="256" customFormat="1" ht="13.5" customHeight="1">
      <c r="A39" s="297" t="s">
        <v>2385</v>
      </c>
      <c r="B39" s="252" t="s">
        <v>2386</v>
      </c>
      <c r="C39" s="274">
        <f ca="1">ROUND(C33*F20,0)</f>
        <v>3333029</v>
      </c>
      <c r="D39" s="274"/>
      <c r="E39" s="274"/>
      <c r="F39" s="275"/>
      <c r="G39" s="276" t="s">
        <v>2387</v>
      </c>
    </row>
    <row r="40" spans="1:7" s="256" customFormat="1" ht="13.5" customHeight="1">
      <c r="A40" s="297" t="s">
        <v>2388</v>
      </c>
      <c r="B40" s="252" t="s">
        <v>2389</v>
      </c>
      <c r="C40" s="1716">
        <f>F21</f>
        <v>0.01</v>
      </c>
      <c r="D40" s="278" t="s">
        <v>2390</v>
      </c>
      <c r="E40" s="274"/>
      <c r="F40" s="275"/>
      <c r="G40" s="276" t="s">
        <v>2391</v>
      </c>
    </row>
    <row r="41" spans="1:7" s="256" customFormat="1" ht="13.5" customHeight="1">
      <c r="A41" s="297" t="s">
        <v>2392</v>
      </c>
      <c r="B41" s="252" t="s">
        <v>2393</v>
      </c>
      <c r="C41" s="274">
        <f ca="1">ROUND(SUM(C42:C43),0)</f>
        <v>12254097</v>
      </c>
      <c r="D41" s="277">
        <f ca="1">C44</f>
        <v>6.9999999999999999E-4</v>
      </c>
      <c r="E41" s="278" t="s">
        <v>2390</v>
      </c>
      <c r="F41" s="279"/>
      <c r="G41" s="276" t="str">
        <f>IF('数据-取费表'!B22&lt;=1,"单利计息","复利计息")</f>
        <v>复利计息</v>
      </c>
    </row>
    <row r="42" spans="1:7" ht="13.5" customHeight="1">
      <c r="A42" s="941" t="s">
        <v>791</v>
      </c>
      <c r="B42" s="257" t="s">
        <v>2394</v>
      </c>
      <c r="C42" s="280">
        <f ca="1">ROUND(IF('数据-取费表'!B22&lt;=1,C33*F22*'数据-取费表'!B20/2,C33*(POWER((1+F22),'数据-取费表'!B20/2)-1)),0)</f>
        <v>12013821</v>
      </c>
      <c r="D42" s="280"/>
      <c r="E42" s="280"/>
      <c r="F42" s="281"/>
      <c r="G42" s="3283" t="s">
        <v>2442</v>
      </c>
    </row>
    <row r="43" spans="1:7" ht="13.5" customHeight="1">
      <c r="A43" s="941" t="s">
        <v>792</v>
      </c>
      <c r="B43" s="257" t="s">
        <v>2396</v>
      </c>
      <c r="C43" s="280">
        <f ca="1">ROUND(IF('数据-取费表'!B22&lt;=1,C39*F22*'数据-取费表'!B20/2,C39*(POWER((1+F22),'数据-取费表'!B20/2)-1)),0)</f>
        <v>240276</v>
      </c>
      <c r="D43" s="280"/>
      <c r="E43" s="280"/>
      <c r="F43" s="281"/>
      <c r="G43" s="3284"/>
    </row>
    <row r="44" spans="1:7" ht="13.5" customHeight="1">
      <c r="A44" s="941" t="s">
        <v>793</v>
      </c>
      <c r="B44" s="257" t="s">
        <v>2397</v>
      </c>
      <c r="C44" s="280">
        <f ca="1">ROUND(IF('数据-取费表'!B22&lt;=1,C40*F22*'数据-取费表'!B20/2,C40*(POWER((1+F22),'数据-取费表'!B20/2)-1)),4)</f>
        <v>6.9999999999999999E-4</v>
      </c>
      <c r="D44" s="280"/>
      <c r="E44" s="280"/>
      <c r="F44" s="281"/>
      <c r="G44" s="3285"/>
    </row>
    <row r="45" spans="1:7" s="256" customFormat="1" ht="13.5" customHeight="1">
      <c r="A45" s="297" t="s">
        <v>2398</v>
      </c>
      <c r="B45" s="286" t="s">
        <v>2364</v>
      </c>
      <c r="C45" s="287">
        <f ca="1">C46</f>
        <v>33996893</v>
      </c>
      <c r="D45" s="277">
        <f ca="1">C47</f>
        <v>2E-3</v>
      </c>
      <c r="E45" s="278" t="s">
        <v>2390</v>
      </c>
      <c r="F45" s="288"/>
      <c r="G45" s="289" t="s">
        <v>2399</v>
      </c>
    </row>
    <row r="46" spans="1:7" s="256" customFormat="1" ht="13.5" customHeight="1">
      <c r="A46" s="941" t="s">
        <v>791</v>
      </c>
      <c r="B46" s="290" t="s">
        <v>2400</v>
      </c>
      <c r="C46" s="291">
        <f ca="1">ROUND((C33+C39)*F27,0)</f>
        <v>33996893</v>
      </c>
      <c r="D46" s="305"/>
      <c r="E46" s="278"/>
      <c r="F46" s="288"/>
      <c r="G46" s="289"/>
    </row>
    <row r="47" spans="1:7" s="256" customFormat="1" ht="13.5" customHeight="1">
      <c r="A47" s="941" t="s">
        <v>792</v>
      </c>
      <c r="B47" s="290" t="s">
        <v>2401</v>
      </c>
      <c r="C47" s="280">
        <f ca="1">ROUND(C40*F27,4)</f>
        <v>2E-3</v>
      </c>
      <c r="D47" s="305"/>
      <c r="E47" s="278"/>
      <c r="F47" s="288"/>
      <c r="G47" s="289"/>
    </row>
    <row r="48" spans="1:7" s="256" customFormat="1" ht="13.5" customHeight="1">
      <c r="A48" s="297" t="s">
        <v>2363</v>
      </c>
      <c r="B48" s="252" t="s">
        <v>2402</v>
      </c>
      <c r="C48" s="304">
        <f>ROUND(F30/(1+'数据-取费表'!C42),4)</f>
        <v>5.33E-2</v>
      </c>
      <c r="D48" s="278" t="s">
        <v>2390</v>
      </c>
      <c r="E48" s="274"/>
      <c r="F48" s="279"/>
      <c r="G48" s="276" t="s">
        <v>2403</v>
      </c>
    </row>
    <row r="49" spans="1:7" ht="16.5" customHeight="1">
      <c r="A49" s="297" t="s">
        <v>2369</v>
      </c>
      <c r="B49" s="252" t="s">
        <v>2443</v>
      </c>
      <c r="C49" s="274">
        <f ca="1">ROUND((C33+C39+C41+C45)/(1-C40-D41-D45-C48),0)</f>
        <v>231515479</v>
      </c>
      <c r="D49" s="274"/>
      <c r="E49" s="274"/>
      <c r="F49" s="306"/>
      <c r="G49" s="276" t="s">
        <v>2405</v>
      </c>
    </row>
    <row r="50" spans="1:7" s="300" customFormat="1">
      <c r="A50" s="297" t="s">
        <v>2406</v>
      </c>
      <c r="B50" s="252" t="s">
        <v>2407</v>
      </c>
      <c r="C50" s="274"/>
      <c r="D50" s="274"/>
      <c r="E50" s="274"/>
      <c r="F50" s="306">
        <f>IF('数据-取费表'!B24=0,'数据-取费表'!N16,1)</f>
        <v>1</v>
      </c>
      <c r="G50" s="289"/>
    </row>
    <row r="51" spans="1:7" ht="16.5" customHeight="1">
      <c r="A51" s="297" t="s">
        <v>2409</v>
      </c>
      <c r="B51" s="252" t="s">
        <v>2444</v>
      </c>
      <c r="C51" s="274">
        <f ca="1">ROUND(C49*F50,0)</f>
        <v>231515479</v>
      </c>
      <c r="D51" s="274"/>
      <c r="E51" s="274"/>
      <c r="F51" s="306"/>
      <c r="G51" s="276" t="s">
        <v>2411</v>
      </c>
    </row>
    <row r="52" spans="1:7" s="250" customFormat="1" ht="16.5" thickBot="1">
      <c r="A52" s="307" t="s">
        <v>2412</v>
      </c>
      <c r="B52" s="308"/>
      <c r="C52" s="309">
        <f ca="1">C31+C51</f>
        <v>236423553</v>
      </c>
      <c r="D52" s="308"/>
      <c r="E52" s="308"/>
      <c r="F52" s="308"/>
      <c r="G52" s="310"/>
    </row>
    <row r="55" spans="1:7" ht="15">
      <c r="B55" s="312" t="s">
        <v>2413</v>
      </c>
      <c r="C55" s="313"/>
    </row>
    <row r="56" spans="1:7">
      <c r="B56" s="315" t="s">
        <v>1508</v>
      </c>
      <c r="C56" s="317">
        <f ca="1">1-C57</f>
        <v>2.1000000000000019E-2</v>
      </c>
    </row>
    <row r="57" spans="1:7">
      <c r="B57" s="315" t="s">
        <v>1509</v>
      </c>
      <c r="C57" s="316">
        <f ca="1">ROUND(C51/C52,3)</f>
        <v>0.97899999999999998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38" sqref="M38"/>
    </sheetView>
  </sheetViews>
  <sheetFormatPr defaultColWidth="6.625" defaultRowHeight="12.75"/>
  <cols>
    <col min="1" max="1" width="9.75" style="795" customWidth="1"/>
    <col min="2" max="2" width="25.75" style="942" customWidth="1"/>
    <col min="3" max="3" width="10.375" style="985" customWidth="1"/>
    <col min="4" max="4" width="9.875" style="942" customWidth="1"/>
    <col min="5" max="5" width="9.5" style="795"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38" t="s">
        <v>2445</v>
      </c>
      <c r="B1" s="1569"/>
      <c r="C1" s="1570"/>
      <c r="D1" s="1568"/>
      <c r="E1" s="318"/>
      <c r="F1" s="318"/>
      <c r="G1" s="1569"/>
      <c r="H1" s="318"/>
      <c r="I1" s="318"/>
      <c r="J1" s="318"/>
      <c r="K1" s="318">
        <f>MATCH(C1,'数据-取费表'!A6:A16,0)+5</f>
        <v>7</v>
      </c>
    </row>
    <row r="2" spans="1:33" ht="18" customHeight="1">
      <c r="A2" s="243" t="s">
        <v>2313</v>
      </c>
      <c r="B2" s="246">
        <f ca="1">C32</f>
        <v>40522</v>
      </c>
      <c r="C2" s="318" t="s">
        <v>2446</v>
      </c>
      <c r="D2" s="318"/>
      <c r="E2" s="318"/>
      <c r="F2" s="318"/>
      <c r="G2" s="318"/>
      <c r="H2" s="318"/>
      <c r="I2" s="318"/>
      <c r="J2" s="318"/>
      <c r="K2" s="318"/>
    </row>
    <row r="3" spans="1:33" ht="18" customHeight="1" thickBot="1">
      <c r="A3" s="245" t="s">
        <v>2315</v>
      </c>
      <c r="B3" s="246">
        <f ca="1">ROUND(B2*10000/IF(C1="",'数据-汇总表'!E3,INDIRECT("'数据-取费表'!K"&amp;$K$1)),0)</f>
        <v>6076</v>
      </c>
      <c r="C3" s="318" t="s">
        <v>2447</v>
      </c>
      <c r="D3" s="318"/>
      <c r="E3" s="318"/>
      <c r="F3" s="318"/>
      <c r="G3" s="318"/>
      <c r="H3" s="318"/>
      <c r="I3" s="318"/>
      <c r="J3" s="318"/>
      <c r="K3" s="318"/>
    </row>
    <row r="4" spans="1:33" s="946" customFormat="1" ht="16.5" customHeight="1">
      <c r="A4" s="943" t="s">
        <v>2448</v>
      </c>
      <c r="B4" s="944"/>
      <c r="C4" s="986">
        <f ca="1">SUM(C8:K8)</f>
        <v>84786</v>
      </c>
      <c r="D4" s="944"/>
      <c r="E4" s="944"/>
      <c r="F4" s="944"/>
      <c r="G4" s="944"/>
      <c r="H4" s="944"/>
      <c r="I4" s="944"/>
      <c r="J4" s="944"/>
      <c r="K4" s="945"/>
    </row>
    <row r="5" spans="1:33" s="950" customFormat="1" ht="15">
      <c r="A5" s="947" t="s">
        <v>2449</v>
      </c>
      <c r="B5" s="948" t="s">
        <v>2450</v>
      </c>
      <c r="C5" s="2535" t="s">
        <v>1373</v>
      </c>
      <c r="D5" s="2535"/>
      <c r="E5" s="2535"/>
      <c r="F5" s="2535"/>
      <c r="G5" s="2535"/>
      <c r="H5" s="2535"/>
      <c r="I5" s="2535"/>
      <c r="J5" s="2535"/>
      <c r="K5" s="2535"/>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38" t="s">
        <v>2451</v>
      </c>
      <c r="C6" s="952">
        <f ca="1">收益法!B3</f>
        <v>12714</v>
      </c>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2452</v>
      </c>
      <c r="B7" s="138" t="s">
        <v>2453</v>
      </c>
      <c r="C7" s="319">
        <f>SUMIF('数据-汇总表'!$C19:$C33,假设开发法!C5,'数据-汇总表'!$E19:$E33)</f>
        <v>66687.25</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36" t="s">
        <v>2454</v>
      </c>
      <c r="B8" s="175" t="s">
        <v>2455</v>
      </c>
      <c r="C8" s="987">
        <f ca="1">收益法!B2</f>
        <v>84786</v>
      </c>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2456</v>
      </c>
      <c r="B9" s="944"/>
      <c r="C9" s="944"/>
      <c r="D9" s="944"/>
      <c r="E9" s="944"/>
      <c r="F9" s="944"/>
      <c r="G9" s="944"/>
      <c r="H9" s="944"/>
      <c r="I9" s="944"/>
      <c r="J9" s="944"/>
      <c r="K9" s="945"/>
    </row>
    <row r="10" spans="1:33" s="960" customFormat="1" ht="13.5" customHeight="1">
      <c r="A10" s="947" t="s">
        <v>2457</v>
      </c>
      <c r="B10" s="8" t="s">
        <v>2458</v>
      </c>
      <c r="C10" s="956" t="s">
        <v>2459</v>
      </c>
      <c r="D10" s="957" t="s">
        <v>2460</v>
      </c>
      <c r="E10" s="957" t="s">
        <v>2461</v>
      </c>
      <c r="F10" s="957" t="s">
        <v>2462</v>
      </c>
      <c r="G10" s="8"/>
      <c r="H10" s="958"/>
      <c r="I10" s="958"/>
      <c r="J10" s="958"/>
      <c r="K10" s="959"/>
    </row>
    <row r="11" spans="1:33" s="965" customFormat="1" ht="13.5" customHeight="1">
      <c r="A11" s="961" t="s">
        <v>1330</v>
      </c>
      <c r="B11" s="962" t="s">
        <v>2463</v>
      </c>
      <c r="C11" s="321">
        <f ca="1">IF(C1="",'数据-取费表'!P16,INDIRECT("'数据-取费表'!p"&amp;$K$1)+INDIRECT("'数据-取费表'!ar"&amp;$K$1))</f>
        <v>14671</v>
      </c>
      <c r="D11" s="963"/>
      <c r="E11" s="373"/>
      <c r="F11" s="964">
        <f ca="1">1-IF('数据-取费表'!B24=0,1,IF(C1="",'数据-取费表'!N16,INDIRECT("'数据-取费表'!n"&amp;$K$1)))</f>
        <v>1</v>
      </c>
      <c r="G11" s="8"/>
      <c r="H11" s="958"/>
      <c r="I11" s="958"/>
      <c r="J11" s="958"/>
      <c r="K11" s="959"/>
    </row>
    <row r="12" spans="1:33" s="965" customFormat="1" ht="13.5" customHeight="1">
      <c r="A12" s="961" t="s">
        <v>1331</v>
      </c>
      <c r="B12" s="962" t="s">
        <v>2464</v>
      </c>
      <c r="C12" s="23">
        <f ca="1">ROUND(C11*F12,0)</f>
        <v>440</v>
      </c>
      <c r="D12" s="963"/>
      <c r="E12" s="373"/>
      <c r="F12" s="966">
        <f>'数据-取费表'!B33</f>
        <v>0.03</v>
      </c>
      <c r="G12" s="8" t="s">
        <v>2465</v>
      </c>
      <c r="H12" s="958"/>
      <c r="I12" s="958"/>
      <c r="J12" s="958"/>
      <c r="K12" s="959"/>
    </row>
    <row r="13" spans="1:33" s="965" customFormat="1" ht="13.5" customHeight="1">
      <c r="A13" s="961" t="s">
        <v>1332</v>
      </c>
      <c r="B13" s="962" t="s">
        <v>2466</v>
      </c>
      <c r="C13" s="23">
        <f ca="1">ROUND(IF(C1="",SUMIF('数据-取费表'!C:C,"住宅",'数据-取费表'!P:P)*F13,IF(INDIRECT("'数据-取费表'!c"&amp;$K$1)="住宅",INDIRECT("'数据-取费表'!P"&amp;$K$1)*F13,0)),0)</f>
        <v>0</v>
      </c>
      <c r="D13" s="1023"/>
      <c r="E13" s="373"/>
      <c r="F13" s="966">
        <f>'数据-取费表'!B34</f>
        <v>0</v>
      </c>
      <c r="G13" s="8" t="s">
        <v>2467</v>
      </c>
      <c r="H13" s="958"/>
      <c r="I13" s="958"/>
      <c r="J13" s="958"/>
      <c r="K13" s="959"/>
    </row>
    <row r="14" spans="1:33" s="967" customFormat="1" ht="13.5" customHeight="1">
      <c r="A14" s="961" t="s">
        <v>1333</v>
      </c>
      <c r="B14" s="962" t="s">
        <v>2468</v>
      </c>
      <c r="C14" s="23">
        <f ca="1">ROUND(D14*E14*F11/10000,0)</f>
        <v>1334</v>
      </c>
      <c r="D14" s="1023">
        <f ca="1">IF(C1="",'数据-汇总表'!E3,INDIRECT("'数据-取费表'!K"&amp;$K$1)+INDIRECT("'数据-取费表'!S"&amp;$K$1))</f>
        <v>66687.25</v>
      </c>
      <c r="E14" s="23">
        <f>'数据-取费表'!B35</f>
        <v>200</v>
      </c>
      <c r="F14" s="966"/>
      <c r="G14" s="8" t="s">
        <v>2469</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1334</v>
      </c>
      <c r="B15" s="962" t="s">
        <v>2470</v>
      </c>
      <c r="C15" s="973">
        <f ca="1">ROUND(C11*F15,0)</f>
        <v>220</v>
      </c>
      <c r="D15" s="968"/>
      <c r="E15" s="973"/>
      <c r="F15" s="974">
        <f>'数据-取费表'!B36</f>
        <v>1.4999999999999999E-2</v>
      </c>
      <c r="G15" s="138" t="s">
        <v>2471</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2472</v>
      </c>
      <c r="C16" s="973">
        <f ca="1">SUM(C11:C15)</f>
        <v>16665</v>
      </c>
      <c r="D16" s="968"/>
      <c r="E16" s="973"/>
      <c r="F16" s="974"/>
      <c r="G16" s="138"/>
      <c r="H16" s="1566"/>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2473</v>
      </c>
      <c r="C17" s="23">
        <f ca="1">ROUND(D17*E17/10000,0)</f>
        <v>1000</v>
      </c>
      <c r="D17" s="1023">
        <f ca="1">D14</f>
        <v>66687.25</v>
      </c>
      <c r="E17" s="23">
        <f>'数据-取费表'!B32</f>
        <v>150</v>
      </c>
      <c r="F17" s="968"/>
      <c r="G17" s="138" t="s">
        <v>2474</v>
      </c>
      <c r="H17" s="1566"/>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1335</v>
      </c>
      <c r="B18" s="962" t="s">
        <v>2475</v>
      </c>
      <c r="C18" s="23">
        <f ca="1">C19+C20-IF(C1="",'数据-取费表'!B29,IF(G18="已全部缴纳",C19+C20,H18))</f>
        <v>0</v>
      </c>
      <c r="D18" s="1023"/>
      <c r="E18" s="23"/>
      <c r="F18" s="966"/>
      <c r="G18" s="2537" t="s">
        <v>3227</v>
      </c>
      <c r="H18" s="1565"/>
      <c r="I18" s="2538" t="s">
        <v>2476</v>
      </c>
      <c r="J18" s="969"/>
      <c r="K18" s="970"/>
    </row>
    <row r="19" spans="1:33" s="965" customFormat="1" ht="13.5" customHeight="1">
      <c r="A19" s="961" t="s">
        <v>805</v>
      </c>
      <c r="B19" s="962" t="s">
        <v>2477</v>
      </c>
      <c r="C19" s="23">
        <f ca="1">ROUND(D19*E19/10000,0)</f>
        <v>0</v>
      </c>
      <c r="D19" s="1023">
        <f ca="1">IF(C1="",'数据-汇总表'!E5,IF(INDIRECT("'数据-取费表'!c"&amp;$K$1)="住宅",INDIRECT("'数据-取费表'!k"&amp;$K$1),0))</f>
        <v>0</v>
      </c>
      <c r="E19" s="23">
        <f>'数据-取费表'!B27</f>
        <v>0</v>
      </c>
      <c r="F19" s="966"/>
      <c r="G19" s="14"/>
      <c r="H19" s="1567"/>
      <c r="I19" s="971"/>
      <c r="J19" s="971"/>
      <c r="K19" s="972"/>
    </row>
    <row r="20" spans="1:33" s="965" customFormat="1" ht="13.5" customHeight="1">
      <c r="A20" s="961" t="s">
        <v>806</v>
      </c>
      <c r="B20" s="962" t="s">
        <v>2478</v>
      </c>
      <c r="C20" s="23">
        <f ca="1">ROUND(D20*E20/10000,0)</f>
        <v>0</v>
      </c>
      <c r="D20" s="1023">
        <f ca="1">IF(C1="",'数据-汇总表'!E6,IF(INDIRECT("'数据-取费表'!c"&amp;$K$1)="住宅",INDIRECT("'数据-取费表'!s"&amp;$K$1),INDIRECT("'数据-取费表'!k"&amp;$K$1)+INDIRECT("'数据-取费表'!s"&amp;$K$1)))</f>
        <v>66687.25</v>
      </c>
      <c r="E20" s="23">
        <f>'数据-取费表'!B28</f>
        <v>0</v>
      </c>
      <c r="F20" s="966"/>
      <c r="G20" s="14"/>
      <c r="H20" s="971"/>
      <c r="I20" s="971"/>
      <c r="J20" s="971"/>
      <c r="K20" s="972"/>
    </row>
    <row r="21" spans="1:33" s="965" customFormat="1" ht="13.5" customHeight="1">
      <c r="A21" s="951" t="s">
        <v>802</v>
      </c>
      <c r="B21" s="975" t="s">
        <v>2479</v>
      </c>
      <c r="C21" s="976">
        <f ca="1">C16+C17+C18</f>
        <v>17665</v>
      </c>
      <c r="D21" s="977"/>
      <c r="E21" s="323"/>
      <c r="F21" s="323"/>
      <c r="G21" s="138" t="s">
        <v>2480</v>
      </c>
      <c r="H21" s="969"/>
      <c r="I21" s="969"/>
      <c r="J21" s="969"/>
      <c r="K21" s="970"/>
    </row>
    <row r="22" spans="1:33" s="965" customFormat="1" ht="13.5" customHeight="1">
      <c r="A22" s="951" t="s">
        <v>2452</v>
      </c>
      <c r="B22" s="975" t="s">
        <v>2481</v>
      </c>
      <c r="C22" s="976">
        <f ca="1">ROUND(C21*F22,0)</f>
        <v>353</v>
      </c>
      <c r="D22" s="323"/>
      <c r="E22" s="323"/>
      <c r="F22" s="978">
        <f>'数据-取费表'!B37</f>
        <v>0.02</v>
      </c>
      <c r="G22" s="8" t="s">
        <v>2482</v>
      </c>
      <c r="H22" s="958"/>
      <c r="I22" s="958"/>
      <c r="J22" s="958"/>
      <c r="K22" s="959"/>
    </row>
    <row r="23" spans="1:33" s="965" customFormat="1" ht="13.5" customHeight="1">
      <c r="A23" s="951" t="s">
        <v>2454</v>
      </c>
      <c r="B23" s="975" t="s">
        <v>2483</v>
      </c>
      <c r="C23" s="976">
        <f ca="1">ROUND(C4*F23*F11,0)</f>
        <v>848</v>
      </c>
      <c r="D23" s="323"/>
      <c r="E23" s="323"/>
      <c r="F23" s="978">
        <f>'数据-取费表'!B38</f>
        <v>0.01</v>
      </c>
      <c r="G23" s="8" t="s">
        <v>2484</v>
      </c>
      <c r="H23" s="958"/>
      <c r="I23" s="958"/>
      <c r="J23" s="958"/>
      <c r="K23" s="959"/>
    </row>
    <row r="24" spans="1:33" s="965" customFormat="1" ht="13.5" customHeight="1">
      <c r="A24" s="951" t="s">
        <v>2485</v>
      </c>
      <c r="B24" s="975" t="s">
        <v>2486</v>
      </c>
      <c r="C24" s="322">
        <f>ROUND(F24/(1+'数据-取费表'!C42),4)</f>
        <v>2.9000000000000001E-2</v>
      </c>
      <c r="D24" s="323" t="s">
        <v>15</v>
      </c>
      <c r="E24" s="323"/>
      <c r="F24" s="978">
        <f>IF(项目基本情况!B8="出让",0,'数据-取费表'!B48+'数据-取费表'!B49)</f>
        <v>3.0499999999999999E-2</v>
      </c>
      <c r="G24" s="8" t="s">
        <v>2487</v>
      </c>
      <c r="H24" s="980"/>
      <c r="I24" s="980"/>
      <c r="J24" s="980"/>
      <c r="K24" s="981"/>
    </row>
    <row r="25" spans="1:33" s="965" customFormat="1" ht="13.5" customHeight="1">
      <c r="A25" s="951" t="s">
        <v>2488</v>
      </c>
      <c r="B25" s="977" t="s">
        <v>2489</v>
      </c>
      <c r="C25" s="1345">
        <f ca="1">C27</f>
        <v>1360</v>
      </c>
      <c r="D25" s="322">
        <f ca="1">C26</f>
        <v>0.1537</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2490</v>
      </c>
      <c r="C26" s="1346">
        <f ca="1">ROUND(IF('数据-取费表'!B22&lt;=1,(1+C24)*F25*'数据-取费表'!B24,(1+C24)*(POWER((1+F25),'数据-取费表'!B24)-1)),4)</f>
        <v>0.1537</v>
      </c>
      <c r="D26" s="326"/>
      <c r="E26" s="327"/>
      <c r="F26" s="328"/>
      <c r="G26" s="2539"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2491</v>
      </c>
      <c r="C27" s="1347">
        <f ca="1">ROUND(IF('数据-取费表'!B22&lt;=1,(C21+C22+C23)*F25*'数据-取费表'!B24/2,(C21+C22+C23)*(POWER((1+F25),'数据-取费表'!B24/2)-1)),0)</f>
        <v>1360</v>
      </c>
      <c r="D27" s="326"/>
      <c r="E27" s="327"/>
      <c r="F27" s="328"/>
      <c r="G27" s="2539" t="str">
        <f>IF('数据-取费表'!B22&lt;=1,"（1）-（3）项×年利率×建设期÷2","（1）-（3）项×((1+年利率)^(建设期÷2)-1)")</f>
        <v>（1）-（3）项×((1+年利率)^(建设期÷2)-1)</v>
      </c>
      <c r="H27" s="969"/>
      <c r="I27" s="969"/>
      <c r="J27" s="969"/>
      <c r="K27" s="970"/>
    </row>
    <row r="28" spans="1:33" s="331" customFormat="1" ht="13.5" customHeight="1">
      <c r="A28" s="951" t="s">
        <v>2492</v>
      </c>
      <c r="B28" s="2540" t="s">
        <v>2493</v>
      </c>
      <c r="C28" s="329">
        <f ca="1">C30</f>
        <v>3773</v>
      </c>
      <c r="D28" s="322">
        <f ca="1">C29</f>
        <v>0.20580000000000001</v>
      </c>
      <c r="E28" s="324" t="s">
        <v>15</v>
      </c>
      <c r="F28" s="330">
        <f ca="1">IF(C1="",'数据-取费表'!Q16,INDIRECT("'数据-取费表'!q"&amp;$K$1))</f>
        <v>0.2</v>
      </c>
      <c r="G28" s="979"/>
      <c r="H28" s="980"/>
      <c r="I28" s="980"/>
      <c r="J28" s="980"/>
      <c r="K28" s="981"/>
    </row>
    <row r="29" spans="1:33" s="333" customFormat="1" ht="13.5" customHeight="1">
      <c r="A29" s="961" t="s">
        <v>803</v>
      </c>
      <c r="B29" s="984" t="s">
        <v>2494</v>
      </c>
      <c r="C29" s="326">
        <f ca="1">ROUND((1+C24)*F28*'数据-取费表'!B24/'数据-取费表'!B20,4)</f>
        <v>0.20580000000000001</v>
      </c>
      <c r="D29" s="326"/>
      <c r="E29" s="327"/>
      <c r="F29" s="332"/>
      <c r="G29" s="138" t="s">
        <v>2495</v>
      </c>
      <c r="H29" s="969"/>
      <c r="I29" s="969"/>
      <c r="J29" s="969"/>
      <c r="K29" s="970"/>
    </row>
    <row r="30" spans="1:33" s="333" customFormat="1" ht="13.5" customHeight="1">
      <c r="A30" s="961" t="s">
        <v>804</v>
      </c>
      <c r="B30" s="984" t="s">
        <v>2496</v>
      </c>
      <c r="C30" s="334">
        <f ca="1">ROUND((C21+C22+C23)*F28,0)</f>
        <v>3773</v>
      </c>
      <c r="D30" s="326"/>
      <c r="E30" s="327"/>
      <c r="F30" s="332"/>
      <c r="G30" s="138"/>
      <c r="H30" s="969"/>
      <c r="I30" s="969"/>
      <c r="J30" s="969"/>
      <c r="K30" s="970"/>
    </row>
    <row r="31" spans="1:33" s="965" customFormat="1" ht="13.5" customHeight="1" thickBot="1">
      <c r="A31" s="2541" t="s">
        <v>2497</v>
      </c>
      <c r="B31" s="995" t="s">
        <v>2498</v>
      </c>
      <c r="C31" s="996">
        <f ca="1">ROUND(C4*F31/(1+'数据-取费表'!C42),0)</f>
        <v>4522</v>
      </c>
      <c r="D31" s="997"/>
      <c r="E31" s="998"/>
      <c r="F31" s="999">
        <f>'数据-取费表'!B41</f>
        <v>5.6000000000000001E-2</v>
      </c>
      <c r="G31" s="1000" t="s">
        <v>2499</v>
      </c>
      <c r="H31" s="1001"/>
      <c r="I31" s="1001"/>
      <c r="J31" s="1001"/>
      <c r="K31" s="1002"/>
    </row>
    <row r="32" spans="1:33" s="960" customFormat="1" ht="13.5" customHeight="1" thickBot="1">
      <c r="A32" s="990" t="s">
        <v>2500</v>
      </c>
      <c r="B32" s="991"/>
      <c r="C32" s="992">
        <f ca="1">ROUND((C4-C21-C22-C23-C25-C28-C31)/(1+C24+D25+D28),0)</f>
        <v>40522</v>
      </c>
      <c r="D32" s="991"/>
      <c r="E32" s="991"/>
      <c r="F32" s="991"/>
      <c r="G32" s="993" t="s">
        <v>2501</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N47" sqref="N4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7" customFormat="1" ht="28.5" customHeight="1" thickBot="1">
      <c r="A1" s="1606" t="s">
        <v>2511</v>
      </c>
      <c r="B1" s="2563" t="s">
        <v>2512</v>
      </c>
      <c r="C1" s="1622" t="s">
        <v>2513</v>
      </c>
      <c r="D1" s="1609" t="s">
        <v>3046</v>
      </c>
      <c r="E1" s="2564"/>
      <c r="F1" s="2565" t="s">
        <v>2514</v>
      </c>
      <c r="G1" s="1619" t="s">
        <v>2515</v>
      </c>
      <c r="H1" s="1618"/>
      <c r="I1" s="1618"/>
      <c r="J1" s="1618"/>
      <c r="K1" s="1620"/>
      <c r="L1" s="1621"/>
      <c r="M1" s="1622"/>
      <c r="N1" s="1622"/>
      <c r="O1" s="1622"/>
      <c r="P1" s="2566"/>
      <c r="Q1" s="1608"/>
      <c r="R1" s="1608"/>
      <c r="S1" s="1608"/>
      <c r="T1" s="1608"/>
      <c r="U1" s="1608"/>
      <c r="V1" s="1608"/>
      <c r="W1" s="1608"/>
      <c r="X1" s="1608"/>
      <c r="Y1" s="1608"/>
      <c r="Z1" s="1608"/>
      <c r="AA1" s="1608"/>
      <c r="AB1" s="1608"/>
      <c r="AC1" s="1616"/>
    </row>
    <row r="2" spans="1:29" s="391" customFormat="1" ht="28.5" customHeight="1" thickTop="1">
      <c r="A2" s="1605" t="s">
        <v>1389</v>
      </c>
      <c r="B2" s="1407" t="e">
        <f>IF(C2="——",ROUND(C49*D3/10000,0),ROUND(C49*D3/10000,0)-D2)</f>
        <v>#DIV/0!</v>
      </c>
      <c r="C2" s="2567" t="s">
        <v>70</v>
      </c>
      <c r="D2" s="1354" t="e">
        <f ca="1">SUMIF(INDIRECT("'"&amp;F2&amp;"'"&amp;"!A:A"),"承租人权益价值",INDIRECT("'"&amp;F2&amp;"'"&amp;"!c:c"))</f>
        <v>#REF!</v>
      </c>
      <c r="E2" s="2568" t="s">
        <v>2516</v>
      </c>
      <c r="F2" s="2569"/>
      <c r="G2" s="1113"/>
      <c r="H2" s="1113"/>
      <c r="I2" s="1113"/>
      <c r="J2" s="1113"/>
      <c r="K2" s="2570"/>
      <c r="L2" s="2571"/>
      <c r="M2" s="2572"/>
      <c r="N2" s="2572"/>
      <c r="O2" s="2572"/>
      <c r="P2" s="2573"/>
      <c r="Q2" s="2574"/>
      <c r="R2" s="2574"/>
      <c r="S2" s="2574"/>
      <c r="T2" s="2574"/>
      <c r="U2" s="2574"/>
      <c r="V2" s="2574"/>
      <c r="W2" s="2574"/>
      <c r="X2" s="2574"/>
      <c r="Y2" s="2574"/>
      <c r="Z2" s="2574"/>
      <c r="AA2" s="2574"/>
      <c r="AB2" s="2574"/>
      <c r="AC2" s="2575"/>
    </row>
    <row r="3" spans="1:29" s="391" customFormat="1" ht="28.5" customHeight="1" thickBot="1">
      <c r="A3" s="245" t="s">
        <v>1390</v>
      </c>
      <c r="B3" s="397" t="e">
        <f>IF(C2="——",C49,ROUND(B2*10000/D3,0))</f>
        <v>#DIV/0!</v>
      </c>
      <c r="C3" s="398" t="s">
        <v>2517</v>
      </c>
      <c r="D3" s="397">
        <f>IF(D1="",'数据-汇总表'!E3,SUMIF('数据-汇总表'!$C19:$C33,D1,'数据-汇总表'!$E19:$E33))</f>
        <v>0</v>
      </c>
      <c r="E3" s="1113"/>
      <c r="F3" s="2576"/>
      <c r="G3" s="1113"/>
      <c r="H3" s="1113"/>
      <c r="I3" s="1113"/>
      <c r="J3" s="1113"/>
      <c r="K3" s="2570"/>
      <c r="L3" s="2571"/>
      <c r="M3" s="2572"/>
      <c r="N3" s="2572"/>
      <c r="O3" s="2572"/>
      <c r="P3" s="2573"/>
      <c r="Q3" s="2574"/>
      <c r="R3" s="2574"/>
      <c r="S3" s="2574"/>
      <c r="T3" s="2574"/>
      <c r="U3" s="2574"/>
      <c r="V3" s="2574"/>
      <c r="W3" s="2574"/>
      <c r="X3" s="2574"/>
      <c r="Y3" s="2574"/>
      <c r="Z3" s="2574"/>
      <c r="AA3" s="2574"/>
      <c r="AB3" s="2574"/>
      <c r="AC3" s="1271"/>
    </row>
    <row r="4" spans="1:29" ht="15">
      <c r="A4" s="399" t="s">
        <v>2518</v>
      </c>
      <c r="B4" s="400"/>
      <c r="C4" s="3244" t="s">
        <v>2519</v>
      </c>
      <c r="D4" s="3257"/>
      <c r="E4" s="3258" t="s">
        <v>2520</v>
      </c>
      <c r="F4" s="3259"/>
      <c r="G4" s="3244" t="s">
        <v>2521</v>
      </c>
      <c r="H4" s="3257"/>
      <c r="I4" s="3244" t="s">
        <v>2522</v>
      </c>
      <c r="J4" s="3257"/>
      <c r="K4" s="2577" t="s">
        <v>2523</v>
      </c>
      <c r="L4" s="1119"/>
      <c r="M4" s="1120"/>
      <c r="N4" s="1120"/>
      <c r="O4" s="1120"/>
      <c r="P4" s="3260" t="s">
        <v>2524</v>
      </c>
      <c r="Q4" s="3261"/>
      <c r="R4" s="3266" t="s">
        <v>2520</v>
      </c>
      <c r="S4" s="3267"/>
      <c r="T4" s="3266" t="s">
        <v>2521</v>
      </c>
      <c r="U4" s="3267"/>
      <c r="V4" s="3253" t="s">
        <v>2522</v>
      </c>
      <c r="W4" s="3253"/>
      <c r="X4" s="1800"/>
      <c r="Y4" s="3266" t="s">
        <v>2524</v>
      </c>
      <c r="Z4" s="3267"/>
      <c r="AA4" s="3254" t="s">
        <v>2520</v>
      </c>
      <c r="AB4" s="3254" t="s">
        <v>2521</v>
      </c>
      <c r="AC4" s="3254" t="s">
        <v>2522</v>
      </c>
    </row>
    <row r="5" spans="1:29" ht="15">
      <c r="A5" s="402"/>
      <c r="B5" s="403"/>
      <c r="C5" s="3294" t="s">
        <v>4466</v>
      </c>
      <c r="D5" s="3275"/>
      <c r="E5" s="3295" t="s">
        <v>4465</v>
      </c>
      <c r="F5" s="3282"/>
      <c r="G5" s="3294" t="s">
        <v>4442</v>
      </c>
      <c r="H5" s="3275"/>
      <c r="I5" s="3294" t="s">
        <v>4441</v>
      </c>
      <c r="J5" s="3275"/>
      <c r="K5" s="2578"/>
      <c r="L5" s="1119"/>
      <c r="M5" s="1120"/>
      <c r="N5" s="1120"/>
      <c r="O5" s="1120"/>
      <c r="P5" s="3262"/>
      <c r="Q5" s="3263"/>
      <c r="R5" s="3268"/>
      <c r="S5" s="3269"/>
      <c r="T5" s="3268"/>
      <c r="U5" s="3269"/>
      <c r="V5" s="3253"/>
      <c r="W5" s="3253"/>
      <c r="X5" s="1800"/>
      <c r="Y5" s="3268"/>
      <c r="Z5" s="3269"/>
      <c r="AA5" s="3255"/>
      <c r="AB5" s="3255"/>
      <c r="AC5" s="3255"/>
    </row>
    <row r="6" spans="1:29" ht="15.75" thickBot="1">
      <c r="A6" s="404"/>
      <c r="B6" s="405"/>
      <c r="C6" s="3272" t="s">
        <v>2529</v>
      </c>
      <c r="D6" s="3273"/>
      <c r="E6" s="3279" t="s">
        <v>2529</v>
      </c>
      <c r="F6" s="3280"/>
      <c r="G6" s="3272" t="s">
        <v>2529</v>
      </c>
      <c r="H6" s="3273"/>
      <c r="I6" s="3272" t="s">
        <v>2529</v>
      </c>
      <c r="J6" s="3273"/>
      <c r="K6" s="2578" t="s">
        <v>2530</v>
      </c>
      <c r="L6" s="1119"/>
      <c r="M6" s="1120"/>
      <c r="N6" s="1120"/>
      <c r="O6" s="1120"/>
      <c r="P6" s="3264"/>
      <c r="Q6" s="3265"/>
      <c r="R6" s="3268"/>
      <c r="S6" s="3269"/>
      <c r="T6" s="3270"/>
      <c r="U6" s="3271"/>
      <c r="V6" s="3253"/>
      <c r="W6" s="3253"/>
      <c r="X6" s="1800"/>
      <c r="Y6" s="3270"/>
      <c r="Z6" s="3271"/>
      <c r="AA6" s="3256"/>
      <c r="AB6" s="3256"/>
      <c r="AC6" s="3256"/>
    </row>
    <row r="7" spans="1:29" s="115" customFormat="1" ht="15.75" thickBot="1">
      <c r="A7" s="406" t="s">
        <v>2531</v>
      </c>
      <c r="B7" s="407"/>
      <c r="C7" s="408">
        <f>'数据-取费表'!B2</f>
        <v>43970</v>
      </c>
      <c r="D7" s="409">
        <v>100</v>
      </c>
      <c r="E7" s="410">
        <v>43678</v>
      </c>
      <c r="F7" s="411">
        <f>SUMIF(58:58,YEAR(E7)&amp;"-"&amp;MONTH(E7),59:59)</f>
        <v>0</v>
      </c>
      <c r="G7" s="410">
        <v>43678</v>
      </c>
      <c r="H7" s="409">
        <f>SUMIF(58:58,YEAR(G7)&amp;"-"&amp;MONTH(G7),59:59)</f>
        <v>0</v>
      </c>
      <c r="I7" s="410">
        <v>43678</v>
      </c>
      <c r="J7" s="409">
        <f>SUMIF(58:58,YEAR(I7)&amp;"-"&amp;MONTH(I7),59:59)</f>
        <v>0</v>
      </c>
      <c r="K7" s="2579"/>
      <c r="L7" s="1121"/>
      <c r="M7" s="1122"/>
      <c r="N7" s="1122"/>
      <c r="O7" s="1122"/>
      <c r="P7" s="3276" t="s">
        <v>2532</v>
      </c>
      <c r="Q7" s="3278"/>
      <c r="R7" s="767" t="s">
        <v>23</v>
      </c>
      <c r="S7" s="768">
        <f t="shared" ref="S7:S15" si="0">F7</f>
        <v>0</v>
      </c>
      <c r="T7" s="767" t="s">
        <v>23</v>
      </c>
      <c r="U7" s="768">
        <f t="shared" ref="U7:U15" si="1">H7</f>
        <v>0</v>
      </c>
      <c r="V7" s="767" t="s">
        <v>23</v>
      </c>
      <c r="W7" s="768">
        <f t="shared" ref="W7:W15" si="2">J7</f>
        <v>0</v>
      </c>
      <c r="X7" s="769"/>
      <c r="Y7" s="3276" t="s">
        <v>2532</v>
      </c>
      <c r="Z7" s="3277"/>
      <c r="AA7" s="770" t="e">
        <f>D7/F7</f>
        <v>#DIV/0!</v>
      </c>
      <c r="AB7" s="770" t="e">
        <f>D7/H7</f>
        <v>#DIV/0!</v>
      </c>
      <c r="AC7" s="770" t="e">
        <f>D7/J7</f>
        <v>#DIV/0!</v>
      </c>
    </row>
    <row r="8" spans="1:29" s="115" customFormat="1" ht="15.75" thickBot="1">
      <c r="A8" s="406" t="s">
        <v>2533</v>
      </c>
      <c r="B8" s="407"/>
      <c r="C8" s="412" t="s">
        <v>2534</v>
      </c>
      <c r="D8" s="409">
        <v>100</v>
      </c>
      <c r="E8" s="412" t="s">
        <v>2534</v>
      </c>
      <c r="F8" s="411">
        <f>SUMIF(61:61,E8,62:62)-SUMIF(61:61,C8,62:62)+100</f>
        <v>100</v>
      </c>
      <c r="G8" s="412" t="s">
        <v>2534</v>
      </c>
      <c r="H8" s="409">
        <f>SUMIF(61:61,G8,62:62)-SUMIF(61:61,C8,62:62)+100</f>
        <v>100</v>
      </c>
      <c r="I8" s="412" t="s">
        <v>2534</v>
      </c>
      <c r="J8" s="409">
        <f>SUMIF(61:61,I8,62:62)-SUMIF(61:61,C8,62:62)+100</f>
        <v>100</v>
      </c>
      <c r="K8" s="2579"/>
      <c r="L8" s="1121"/>
      <c r="M8" s="1122"/>
      <c r="N8" s="1122"/>
      <c r="O8" s="1122"/>
      <c r="P8" s="3276" t="s">
        <v>2535</v>
      </c>
      <c r="Q8" s="3277"/>
      <c r="R8" s="767" t="s">
        <v>23</v>
      </c>
      <c r="S8" s="768">
        <f t="shared" si="0"/>
        <v>100</v>
      </c>
      <c r="T8" s="767" t="s">
        <v>23</v>
      </c>
      <c r="U8" s="768">
        <f t="shared" si="1"/>
        <v>100</v>
      </c>
      <c r="V8" s="767" t="s">
        <v>23</v>
      </c>
      <c r="W8" s="768">
        <f t="shared" si="2"/>
        <v>100</v>
      </c>
      <c r="X8" s="769"/>
      <c r="Y8" s="3276" t="s">
        <v>2535</v>
      </c>
      <c r="Z8" s="3277"/>
      <c r="AA8" s="770">
        <f t="shared" ref="AA8:AA19" si="3">D8/F8</f>
        <v>1</v>
      </c>
      <c r="AB8" s="770">
        <f t="shared" ref="AB8:AB19" si="4">D8/H8</f>
        <v>1</v>
      </c>
      <c r="AC8" s="770">
        <f t="shared" ref="AC8:AC19" si="5">D8/J8</f>
        <v>1</v>
      </c>
    </row>
    <row r="9" spans="1:29" s="115" customFormat="1">
      <c r="A9" s="413" t="s">
        <v>2536</v>
      </c>
      <c r="B9" s="70" t="s">
        <v>2537</v>
      </c>
      <c r="C9" s="2948" t="s">
        <v>3228</v>
      </c>
      <c r="D9" s="133">
        <v>100</v>
      </c>
      <c r="E9" s="415" t="s">
        <v>3046</v>
      </c>
      <c r="F9" s="416">
        <f>SUMIF(63:63,E9,64:64)-SUMIF(63:63,C9,64:64)+100</f>
        <v>100</v>
      </c>
      <c r="G9" s="415" t="s">
        <v>3046</v>
      </c>
      <c r="H9" s="133">
        <f>SUMIF(63:63,G9,64:64)-SUMIF(63:63,C9,64:64)+100</f>
        <v>100</v>
      </c>
      <c r="I9" s="415" t="s">
        <v>3046</v>
      </c>
      <c r="J9" s="133">
        <f>SUMIF(63:63,I9,64:64)-SUMIF(63:63,C9,64:64)+100</f>
        <v>100</v>
      </c>
      <c r="K9" s="2579"/>
      <c r="L9" s="1121"/>
      <c r="M9" s="1122"/>
      <c r="N9" s="1122"/>
      <c r="O9" s="1122"/>
      <c r="P9" s="3246" t="s">
        <v>2538</v>
      </c>
      <c r="Q9" s="1782" t="str">
        <f t="shared" ref="Q9:Q15" si="6">B9</f>
        <v>用途</v>
      </c>
      <c r="R9" s="767" t="s">
        <v>17</v>
      </c>
      <c r="S9" s="768">
        <f t="shared" si="0"/>
        <v>100</v>
      </c>
      <c r="T9" s="767" t="s">
        <v>17</v>
      </c>
      <c r="U9" s="768">
        <f t="shared" si="1"/>
        <v>100</v>
      </c>
      <c r="V9" s="767" t="s">
        <v>17</v>
      </c>
      <c r="W9" s="768">
        <f t="shared" si="2"/>
        <v>100</v>
      </c>
      <c r="X9" s="769"/>
      <c r="Y9" s="3098" t="s">
        <v>2539</v>
      </c>
      <c r="Z9" s="54" t="str">
        <f t="shared" ref="Z9:Z15" si="7">Q9</f>
        <v>用途</v>
      </c>
      <c r="AA9" s="770">
        <f t="shared" si="3"/>
        <v>1</v>
      </c>
      <c r="AB9" s="770">
        <f t="shared" si="4"/>
        <v>1</v>
      </c>
      <c r="AC9" s="770">
        <f t="shared" si="5"/>
        <v>1</v>
      </c>
    </row>
    <row r="10" spans="1:29" s="424" customFormat="1" ht="27">
      <c r="A10" s="418"/>
      <c r="B10" s="419" t="s">
        <v>2540</v>
      </c>
      <c r="C10" s="420" t="s">
        <v>3229</v>
      </c>
      <c r="D10" s="134">
        <v>100</v>
      </c>
      <c r="E10" s="420" t="s">
        <v>3229</v>
      </c>
      <c r="F10" s="422">
        <f>SUMIF(65:65,E10,66:66)-SUMIF(65:65,C10,66:66)+100</f>
        <v>100</v>
      </c>
      <c r="G10" s="420" t="s">
        <v>3229</v>
      </c>
      <c r="H10" s="134">
        <f>SUMIF(65:65,G10,66:66)-SUMIF(65:65,C10,66:66)+100</f>
        <v>100</v>
      </c>
      <c r="I10" s="420" t="s">
        <v>3229</v>
      </c>
      <c r="J10" s="134">
        <f>SUMIF(65:65,I10,66:66)-SUMIF(65:65,C10,66:66)+100</f>
        <v>100</v>
      </c>
      <c r="K10" s="423">
        <v>2</v>
      </c>
      <c r="L10" s="1124"/>
      <c r="M10" s="1125"/>
      <c r="N10" s="1125"/>
      <c r="O10" s="1125"/>
      <c r="P10" s="3246"/>
      <c r="Q10" s="1782" t="str">
        <f t="shared" si="6"/>
        <v>土地使用年限（年）</v>
      </c>
      <c r="R10" s="767" t="s">
        <v>17</v>
      </c>
      <c r="S10" s="768">
        <f t="shared" si="0"/>
        <v>100</v>
      </c>
      <c r="T10" s="767" t="s">
        <v>17</v>
      </c>
      <c r="U10" s="768">
        <f t="shared" si="1"/>
        <v>100</v>
      </c>
      <c r="V10" s="767" t="s">
        <v>17</v>
      </c>
      <c r="W10" s="768">
        <f t="shared" si="2"/>
        <v>100</v>
      </c>
      <c r="X10" s="769"/>
      <c r="Y10" s="3098"/>
      <c r="Z10" s="54" t="str">
        <f t="shared" si="7"/>
        <v>土地使用年限（年）</v>
      </c>
      <c r="AA10" s="770">
        <f t="shared" si="3"/>
        <v>1</v>
      </c>
      <c r="AB10" s="770">
        <f t="shared" si="4"/>
        <v>1</v>
      </c>
      <c r="AC10" s="770">
        <f t="shared" si="5"/>
        <v>1</v>
      </c>
    </row>
    <row r="11" spans="1:29" ht="15.75" thickBot="1">
      <c r="A11" s="425"/>
      <c r="B11" s="419" t="s">
        <v>2541</v>
      </c>
      <c r="C11" s="426">
        <v>2.19</v>
      </c>
      <c r="D11" s="134">
        <v>100</v>
      </c>
      <c r="E11" s="427">
        <f>C11</f>
        <v>2.19</v>
      </c>
      <c r="F11" s="422">
        <f>LOOKUP(E11,68:68,69:69)-LOOKUP(C11,68:68,69:69)+100</f>
        <v>100</v>
      </c>
      <c r="G11" s="426">
        <v>2.2000000000000002</v>
      </c>
      <c r="H11" s="134">
        <f>LOOKUP(G11,68:68,69:69)-LOOKUP(C11,68:68,69:69)+100</f>
        <v>100</v>
      </c>
      <c r="I11" s="426">
        <v>2.5</v>
      </c>
      <c r="J11" s="134">
        <f>LOOKUP(I11,68:68,69:69)-LOOKUP(C11,68:68,69:69)+100</f>
        <v>100</v>
      </c>
      <c r="K11" s="423">
        <v>2</v>
      </c>
      <c r="L11" s="1127"/>
      <c r="M11" s="1120"/>
      <c r="N11" s="1120"/>
      <c r="O11" s="1120"/>
      <c r="P11" s="3246"/>
      <c r="Q11" s="1782" t="str">
        <f t="shared" si="6"/>
        <v>容积率</v>
      </c>
      <c r="R11" s="767" t="s">
        <v>21</v>
      </c>
      <c r="S11" s="768">
        <f t="shared" si="0"/>
        <v>100</v>
      </c>
      <c r="T11" s="767" t="s">
        <v>21</v>
      </c>
      <c r="U11" s="768">
        <f t="shared" si="1"/>
        <v>100</v>
      </c>
      <c r="V11" s="767" t="s">
        <v>21</v>
      </c>
      <c r="W11" s="768">
        <f t="shared" si="2"/>
        <v>100</v>
      </c>
      <c r="X11" s="769"/>
      <c r="Y11" s="3098"/>
      <c r="Z11" s="54" t="str">
        <f t="shared" si="7"/>
        <v>容积率</v>
      </c>
      <c r="AA11" s="770">
        <f t="shared" si="3"/>
        <v>1</v>
      </c>
      <c r="AB11" s="770">
        <f t="shared" si="4"/>
        <v>1</v>
      </c>
      <c r="AC11" s="770">
        <f t="shared" si="5"/>
        <v>1</v>
      </c>
    </row>
    <row r="12" spans="1:29" s="115" customFormat="1" ht="15" hidden="1">
      <c r="A12" s="428"/>
      <c r="B12" s="2580">
        <v>111</v>
      </c>
      <c r="C12" s="429"/>
      <c r="D12" s="430">
        <v>100</v>
      </c>
      <c r="E12" s="429"/>
      <c r="F12" s="422">
        <f>SUMIF(70:70,E12,71:71)-SUMIF(70:70,C12,71:71)+100</f>
        <v>100</v>
      </c>
      <c r="G12" s="429"/>
      <c r="H12" s="134">
        <f>SUMIF(70:70,G12,71:71)-SUMIF(70:70,C12,71:71)+100</f>
        <v>100</v>
      </c>
      <c r="I12" s="429"/>
      <c r="J12" s="134">
        <f>SUMIF(70:70,I12,71:71)-SUMIF(70:70,C12,71:71)+100</f>
        <v>100</v>
      </c>
      <c r="K12" s="2581"/>
      <c r="L12" s="1121"/>
      <c r="M12" s="1122"/>
      <c r="N12" s="1122"/>
      <c r="O12" s="1122"/>
      <c r="P12" s="3246"/>
      <c r="Q12" s="1782">
        <f t="shared" si="6"/>
        <v>111</v>
      </c>
      <c r="R12" s="767" t="s">
        <v>21</v>
      </c>
      <c r="S12" s="768">
        <f t="shared" si="0"/>
        <v>100</v>
      </c>
      <c r="T12" s="767" t="s">
        <v>21</v>
      </c>
      <c r="U12" s="768">
        <f t="shared" si="1"/>
        <v>100</v>
      </c>
      <c r="V12" s="767" t="s">
        <v>21</v>
      </c>
      <c r="W12" s="768">
        <f t="shared" si="2"/>
        <v>100</v>
      </c>
      <c r="X12" s="769"/>
      <c r="Y12" s="3098"/>
      <c r="Z12" s="54">
        <f t="shared" si="7"/>
        <v>111</v>
      </c>
      <c r="AA12" s="770">
        <f>D12/F12</f>
        <v>1</v>
      </c>
      <c r="AB12" s="770">
        <f>D12/H12</f>
        <v>1</v>
      </c>
      <c r="AC12" s="770">
        <f>D12/J12</f>
        <v>1</v>
      </c>
    </row>
    <row r="13" spans="1:29" ht="15" hidden="1">
      <c r="A13" s="425"/>
      <c r="B13" s="2580">
        <v>111</v>
      </c>
      <c r="C13" s="431"/>
      <c r="D13" s="432">
        <v>100</v>
      </c>
      <c r="E13" s="431"/>
      <c r="F13" s="422">
        <f>SUMIF(72:72,E13,73:73)-SUMIF(72:72,C13,73:73)+100</f>
        <v>100</v>
      </c>
      <c r="G13" s="431"/>
      <c r="H13" s="432">
        <f>SUMIF(72:72,G13,73:73)-SUMIF(72:72,C13,73:73)+100</f>
        <v>100</v>
      </c>
      <c r="I13" s="431"/>
      <c r="J13" s="432">
        <f>SUMIF(72:72,I13,73:73)-SUMIF(72:72,C13,73:73)+100</f>
        <v>100</v>
      </c>
      <c r="K13" s="2581"/>
      <c r="L13" s="1129"/>
      <c r="M13" s="1120"/>
      <c r="N13" s="1120"/>
      <c r="O13" s="1120"/>
      <c r="P13" s="3246"/>
      <c r="Q13" s="1782">
        <f t="shared" si="6"/>
        <v>111</v>
      </c>
      <c r="R13" s="767" t="s">
        <v>21</v>
      </c>
      <c r="S13" s="768">
        <f t="shared" si="0"/>
        <v>100</v>
      </c>
      <c r="T13" s="767" t="s">
        <v>21</v>
      </c>
      <c r="U13" s="768">
        <f t="shared" si="1"/>
        <v>100</v>
      </c>
      <c r="V13" s="767" t="s">
        <v>21</v>
      </c>
      <c r="W13" s="768">
        <f t="shared" si="2"/>
        <v>100</v>
      </c>
      <c r="X13" s="769"/>
      <c r="Y13" s="3098"/>
      <c r="Z13" s="54">
        <f t="shared" si="7"/>
        <v>111</v>
      </c>
      <c r="AA13" s="770">
        <f t="shared" si="3"/>
        <v>1</v>
      </c>
      <c r="AB13" s="770">
        <f t="shared" si="4"/>
        <v>1</v>
      </c>
      <c r="AC13" s="770">
        <f t="shared" si="5"/>
        <v>1</v>
      </c>
    </row>
    <row r="14" spans="1:29" ht="15.75" hidden="1" thickBot="1">
      <c r="A14" s="433"/>
      <c r="B14" s="2582">
        <v>111</v>
      </c>
      <c r="C14" s="434"/>
      <c r="D14" s="435">
        <v>100</v>
      </c>
      <c r="E14" s="434"/>
      <c r="F14" s="436">
        <f>SUMIF(74:74,E14,75:75)-SUMIF(74:74,C14,75:75)+100</f>
        <v>100</v>
      </c>
      <c r="G14" s="434"/>
      <c r="H14" s="435">
        <f>SUMIF(74:74,G14,75:75)-SUMIF(74:74,C14,75:75)+100</f>
        <v>100</v>
      </c>
      <c r="I14" s="434"/>
      <c r="J14" s="435">
        <f>SUMIF(74:74,I14,75:75)-SUMIF(74:74,C14,75:75)+100</f>
        <v>100</v>
      </c>
      <c r="K14" s="2581"/>
      <c r="L14" s="1129"/>
      <c r="M14" s="1120"/>
      <c r="N14" s="1120"/>
      <c r="O14" s="1120"/>
      <c r="P14" s="3246"/>
      <c r="Q14" s="1782">
        <f t="shared" si="6"/>
        <v>111</v>
      </c>
      <c r="R14" s="767" t="s">
        <v>21</v>
      </c>
      <c r="S14" s="768">
        <f t="shared" si="0"/>
        <v>100</v>
      </c>
      <c r="T14" s="767" t="s">
        <v>21</v>
      </c>
      <c r="U14" s="768">
        <f t="shared" si="1"/>
        <v>100</v>
      </c>
      <c r="V14" s="767" t="s">
        <v>21</v>
      </c>
      <c r="W14" s="768">
        <f t="shared" si="2"/>
        <v>100</v>
      </c>
      <c r="X14" s="769"/>
      <c r="Y14" s="3098"/>
      <c r="Z14" s="54">
        <f t="shared" si="7"/>
        <v>111</v>
      </c>
      <c r="AA14" s="770">
        <f t="shared" si="3"/>
        <v>1</v>
      </c>
      <c r="AB14" s="770">
        <f t="shared" si="4"/>
        <v>1</v>
      </c>
      <c r="AC14" s="770">
        <f t="shared" si="5"/>
        <v>1</v>
      </c>
    </row>
    <row r="15" spans="1:29" ht="15">
      <c r="A15" s="437" t="s">
        <v>2542</v>
      </c>
      <c r="B15" s="68" t="s">
        <v>2077</v>
      </c>
      <c r="C15" s="2583" t="str">
        <f>估价对象房地状况!C3</f>
        <v>差</v>
      </c>
      <c r="D15" s="438">
        <v>100</v>
      </c>
      <c r="E15" s="441" t="s">
        <v>3062</v>
      </c>
      <c r="F15" s="438">
        <f>SUMIF(76:76,E16,77:77)-SUMIF(76:76,C16,77:77)+100</f>
        <v>102</v>
      </c>
      <c r="G15" s="439" t="s">
        <v>3066</v>
      </c>
      <c r="H15" s="438">
        <f>SUMIF(76:76,G16,77:77)-SUMIF(76:76,C16,77:77)+100</f>
        <v>106</v>
      </c>
      <c r="I15" s="439" t="s">
        <v>3066</v>
      </c>
      <c r="J15" s="438">
        <f>SUMIF(76:76,I16,77:77)-SUMIF(76:76,C16,77:77)+100</f>
        <v>106</v>
      </c>
      <c r="K15" s="442">
        <v>2</v>
      </c>
      <c r="L15" s="1129"/>
      <c r="M15" s="1120"/>
      <c r="N15" s="1120"/>
      <c r="O15" s="1120"/>
      <c r="P15" s="3292" t="s">
        <v>2543</v>
      </c>
      <c r="Q15" s="1797" t="str">
        <f t="shared" si="6"/>
        <v>居住社区成熟度</v>
      </c>
      <c r="R15" s="771" t="s">
        <v>21</v>
      </c>
      <c r="S15" s="772">
        <f t="shared" si="0"/>
        <v>102</v>
      </c>
      <c r="T15" s="771" t="s">
        <v>21</v>
      </c>
      <c r="U15" s="772">
        <f t="shared" si="1"/>
        <v>106</v>
      </c>
      <c r="V15" s="771" t="s">
        <v>21</v>
      </c>
      <c r="W15" s="772">
        <f t="shared" si="2"/>
        <v>106</v>
      </c>
      <c r="X15" s="1800"/>
      <c r="Y15" s="3249" t="s">
        <v>2543</v>
      </c>
      <c r="Z15" s="1801" t="str">
        <f t="shared" si="7"/>
        <v>居住社区成熟度</v>
      </c>
      <c r="AA15" s="1798">
        <f t="shared" si="3"/>
        <v>0.98039215686274506</v>
      </c>
      <c r="AB15" s="1798">
        <f t="shared" si="4"/>
        <v>0.94339622641509435</v>
      </c>
      <c r="AC15" s="1798">
        <f t="shared" si="5"/>
        <v>0.94339622641509435</v>
      </c>
    </row>
    <row r="16" spans="1:29" ht="15">
      <c r="A16" s="425"/>
      <c r="B16" s="443"/>
      <c r="C16" s="444" t="s">
        <v>3223</v>
      </c>
      <c r="D16" s="445"/>
      <c r="E16" s="2584" t="s">
        <v>3062</v>
      </c>
      <c r="F16" s="445"/>
      <c r="G16" s="2585" t="s">
        <v>3066</v>
      </c>
      <c r="H16" s="447"/>
      <c r="I16" s="2585" t="s">
        <v>3066</v>
      </c>
      <c r="J16" s="445"/>
      <c r="K16" s="2586"/>
      <c r="L16" s="1129"/>
      <c r="M16" s="1120"/>
      <c r="N16" s="1120"/>
      <c r="O16" s="1120"/>
      <c r="P16" s="3293"/>
      <c r="Q16" s="1797"/>
      <c r="R16" s="771"/>
      <c r="S16" s="772"/>
      <c r="T16" s="771"/>
      <c r="U16" s="772"/>
      <c r="V16" s="771"/>
      <c r="W16" s="772"/>
      <c r="X16" s="1800"/>
      <c r="Y16" s="3250"/>
      <c r="Z16" s="1801"/>
      <c r="AA16" s="1798">
        <v>1</v>
      </c>
      <c r="AB16" s="1798">
        <v>1</v>
      </c>
      <c r="AC16" s="1798">
        <v>1</v>
      </c>
    </row>
    <row r="17" spans="1:29" ht="15">
      <c r="A17" s="425"/>
      <c r="B17" s="448" t="s">
        <v>2086</v>
      </c>
      <c r="C17" s="2587" t="str">
        <f>估价对象房地状况!C6</f>
        <v>一般</v>
      </c>
      <c r="D17" s="447">
        <v>100</v>
      </c>
      <c r="E17" s="451" t="s">
        <v>3062</v>
      </c>
      <c r="F17" s="447">
        <f>SUMIF(78:78,E18,79:79)-SUMIF(78:78,C18,79:79)+100</f>
        <v>100</v>
      </c>
      <c r="G17" s="449" t="s">
        <v>3061</v>
      </c>
      <c r="H17" s="452">
        <f>SUMIF(78:78,G18,79:79)-SUMIF(78:78,C18,79:79)+100</f>
        <v>100</v>
      </c>
      <c r="I17" s="449" t="s">
        <v>3061</v>
      </c>
      <c r="J17" s="452">
        <f>SUMIF(78:78,I18,79:79)-SUMIF(78:78,C18,79:79)+100</f>
        <v>100</v>
      </c>
      <c r="K17" s="442">
        <f>'土地比较法-住宅、综合'!K21</f>
        <v>2</v>
      </c>
      <c r="L17" s="1129"/>
      <c r="M17" s="1120"/>
      <c r="N17" s="1120"/>
      <c r="O17" s="1120"/>
      <c r="P17" s="3293"/>
      <c r="Q17" s="1797" t="str">
        <f>B17</f>
        <v>交通便捷度</v>
      </c>
      <c r="R17" s="771" t="s">
        <v>21</v>
      </c>
      <c r="S17" s="772">
        <f>F17</f>
        <v>100</v>
      </c>
      <c r="T17" s="771" t="s">
        <v>21</v>
      </c>
      <c r="U17" s="772">
        <f>H17</f>
        <v>100</v>
      </c>
      <c r="V17" s="771" t="s">
        <v>21</v>
      </c>
      <c r="W17" s="772">
        <f>J17</f>
        <v>100</v>
      </c>
      <c r="X17" s="1800"/>
      <c r="Y17" s="3250"/>
      <c r="Z17" s="1801" t="str">
        <f>Q17</f>
        <v>交通便捷度</v>
      </c>
      <c r="AA17" s="1798">
        <f t="shared" si="3"/>
        <v>1</v>
      </c>
      <c r="AB17" s="1798">
        <f t="shared" si="4"/>
        <v>1</v>
      </c>
      <c r="AC17" s="1798">
        <f t="shared" si="5"/>
        <v>1</v>
      </c>
    </row>
    <row r="18" spans="1:29" ht="15">
      <c r="A18" s="425"/>
      <c r="B18" s="453"/>
      <c r="C18" s="2588" t="s">
        <v>3061</v>
      </c>
      <c r="D18" s="447"/>
      <c r="E18" s="2589" t="s">
        <v>3061</v>
      </c>
      <c r="F18" s="447"/>
      <c r="G18" s="2590" t="s">
        <v>3061</v>
      </c>
      <c r="H18" s="445"/>
      <c r="I18" s="2590" t="s">
        <v>3061</v>
      </c>
      <c r="J18" s="445"/>
      <c r="K18" s="2586"/>
      <c r="L18" s="1129"/>
      <c r="M18" s="1120"/>
      <c r="N18" s="1120"/>
      <c r="O18" s="1120"/>
      <c r="P18" s="3293"/>
      <c r="Q18" s="1797"/>
      <c r="R18" s="771"/>
      <c r="S18" s="772"/>
      <c r="T18" s="771"/>
      <c r="U18" s="772"/>
      <c r="V18" s="771"/>
      <c r="W18" s="772"/>
      <c r="X18" s="1800"/>
      <c r="Y18" s="3250"/>
      <c r="Z18" s="1801"/>
      <c r="AA18" s="1798">
        <v>1</v>
      </c>
      <c r="AB18" s="1798">
        <v>1</v>
      </c>
      <c r="AC18" s="1798">
        <v>1</v>
      </c>
    </row>
    <row r="19" spans="1:29" ht="15">
      <c r="A19" s="425"/>
      <c r="B19" s="448" t="s">
        <v>2084</v>
      </c>
      <c r="C19" s="2587" t="str">
        <f>估价对象房地状况!C7</f>
        <v>较差</v>
      </c>
      <c r="D19" s="452">
        <v>100</v>
      </c>
      <c r="E19" s="456" t="s">
        <v>3061</v>
      </c>
      <c r="F19" s="452">
        <f>SUMIF(80:80,E20,81:81)-SUMIF(80:80,C20,81:81)+100</f>
        <v>102</v>
      </c>
      <c r="G19" s="454" t="s">
        <v>3066</v>
      </c>
      <c r="H19" s="447">
        <f>SUMIF(80:80,G20,81:81)-SUMIF(80:80,C20,81:81)+100</f>
        <v>104</v>
      </c>
      <c r="I19" s="454" t="s">
        <v>3066</v>
      </c>
      <c r="J19" s="447">
        <f>SUMIF(80:80,I20,81:81)-SUMIF(80:80,C20,81:81)+100</f>
        <v>104</v>
      </c>
      <c r="K19" s="442">
        <v>2</v>
      </c>
      <c r="L19" s="1129"/>
      <c r="M19" s="1120"/>
      <c r="N19" s="1120"/>
      <c r="O19" s="1120"/>
      <c r="P19" s="3293"/>
      <c r="Q19" s="1797" t="str">
        <f>B19</f>
        <v>公共配套设施</v>
      </c>
      <c r="R19" s="771" t="s">
        <v>21</v>
      </c>
      <c r="S19" s="772">
        <f>F19</f>
        <v>102</v>
      </c>
      <c r="T19" s="771" t="s">
        <v>21</v>
      </c>
      <c r="U19" s="772">
        <f>H19</f>
        <v>104</v>
      </c>
      <c r="V19" s="771" t="s">
        <v>21</v>
      </c>
      <c r="W19" s="772">
        <f>J19</f>
        <v>104</v>
      </c>
      <c r="X19" s="1800"/>
      <c r="Y19" s="3250"/>
      <c r="Z19" s="1801" t="str">
        <f>Q19</f>
        <v>公共配套设施</v>
      </c>
      <c r="AA19" s="1798">
        <f t="shared" si="3"/>
        <v>0.98039215686274506</v>
      </c>
      <c r="AB19" s="1798">
        <f t="shared" si="4"/>
        <v>0.96153846153846156</v>
      </c>
      <c r="AC19" s="1798">
        <f t="shared" si="5"/>
        <v>0.96153846153846156</v>
      </c>
    </row>
    <row r="20" spans="1:29" ht="15">
      <c r="A20" s="425"/>
      <c r="B20" s="453"/>
      <c r="C20" s="444" t="s">
        <v>3062</v>
      </c>
      <c r="D20" s="445"/>
      <c r="E20" s="2584" t="s">
        <v>3061</v>
      </c>
      <c r="F20" s="445"/>
      <c r="G20" s="2585" t="s">
        <v>3066</v>
      </c>
      <c r="H20" s="445"/>
      <c r="I20" s="2585" t="s">
        <v>3066</v>
      </c>
      <c r="J20" s="445"/>
      <c r="K20" s="2586"/>
      <c r="L20" s="1129"/>
      <c r="M20" s="1120"/>
      <c r="N20" s="1120"/>
      <c r="O20" s="1120"/>
      <c r="P20" s="3293"/>
      <c r="Q20" s="1797"/>
      <c r="R20" s="771"/>
      <c r="S20" s="772"/>
      <c r="T20" s="771"/>
      <c r="U20" s="772"/>
      <c r="V20" s="771"/>
      <c r="W20" s="772"/>
      <c r="X20" s="1800"/>
      <c r="Y20" s="3250"/>
      <c r="Z20" s="1801"/>
      <c r="AA20" s="1798">
        <v>1</v>
      </c>
      <c r="AB20" s="1798">
        <v>1</v>
      </c>
      <c r="AC20" s="1798">
        <v>1</v>
      </c>
    </row>
    <row r="21" spans="1:29" ht="15">
      <c r="A21" s="425"/>
      <c r="B21" s="1373" t="s">
        <v>2087</v>
      </c>
      <c r="C21" s="2587" t="str">
        <f>估价对象房地状况!C8</f>
        <v>六通</v>
      </c>
      <c r="D21" s="447">
        <v>100</v>
      </c>
      <c r="E21" s="456" t="s">
        <v>3064</v>
      </c>
      <c r="F21" s="452">
        <f>SUMIF(82:82,E22,83:83)-SUMIF(82:82,C22,83:83)+100</f>
        <v>100</v>
      </c>
      <c r="G21" s="454" t="s">
        <v>3064</v>
      </c>
      <c r="H21" s="447">
        <f>SUMIF(82:82,G22,83:83)-SUMIF(82:82,C22,83:83)+100</f>
        <v>100</v>
      </c>
      <c r="I21" s="454" t="s">
        <v>3064</v>
      </c>
      <c r="J21" s="447">
        <f>SUMIF(82:82,I22,83:83)-SUMIF(82:82,C22,83:83)+100</f>
        <v>100</v>
      </c>
      <c r="K21" s="442">
        <f>'土地比较法-住宅、综合'!K29</f>
        <v>1</v>
      </c>
      <c r="L21" s="1129"/>
      <c r="M21" s="1120"/>
      <c r="N21" s="1120"/>
      <c r="O21" s="1120"/>
      <c r="P21" s="3293"/>
      <c r="Q21" s="1797" t="str">
        <f>B21</f>
        <v>基础设施水平</v>
      </c>
      <c r="R21" s="771" t="s">
        <v>17</v>
      </c>
      <c r="S21" s="772">
        <f>F21</f>
        <v>100</v>
      </c>
      <c r="T21" s="771" t="s">
        <v>17</v>
      </c>
      <c r="U21" s="772">
        <f>H21</f>
        <v>100</v>
      </c>
      <c r="V21" s="771" t="s">
        <v>17</v>
      </c>
      <c r="W21" s="772">
        <f>J21</f>
        <v>100</v>
      </c>
      <c r="X21" s="1800"/>
      <c r="Y21" s="3250"/>
      <c r="Z21" s="1801" t="str">
        <f>Q21</f>
        <v>基础设施水平</v>
      </c>
      <c r="AA21" s="1798">
        <f t="shared" ref="AA21" si="8">D21/F21</f>
        <v>1</v>
      </c>
      <c r="AB21" s="1798">
        <f t="shared" ref="AB21" si="9">D21/H21</f>
        <v>1</v>
      </c>
      <c r="AC21" s="1798">
        <f t="shared" ref="AC21" si="10">D21/J21</f>
        <v>1</v>
      </c>
    </row>
    <row r="22" spans="1:29" ht="15">
      <c r="A22" s="425"/>
      <c r="B22" s="1373"/>
      <c r="C22" s="2588" t="s">
        <v>3064</v>
      </c>
      <c r="D22" s="445"/>
      <c r="E22" s="444" t="s">
        <v>3064</v>
      </c>
      <c r="F22" s="445"/>
      <c r="G22" s="444" t="s">
        <v>3064</v>
      </c>
      <c r="H22" s="445"/>
      <c r="I22" s="444" t="s">
        <v>3064</v>
      </c>
      <c r="J22" s="445"/>
      <c r="K22" s="2592"/>
      <c r="L22" s="1129"/>
      <c r="M22" s="1120"/>
      <c r="N22" s="1120"/>
      <c r="O22" s="1120"/>
      <c r="P22" s="3293"/>
      <c r="Q22" s="1797"/>
      <c r="R22" s="771"/>
      <c r="S22" s="772"/>
      <c r="T22" s="771"/>
      <c r="U22" s="772"/>
      <c r="V22" s="771"/>
      <c r="W22" s="772"/>
      <c r="X22" s="1800"/>
      <c r="Y22" s="3250"/>
      <c r="Z22" s="1801"/>
      <c r="AA22" s="1798">
        <v>1</v>
      </c>
      <c r="AB22" s="1798">
        <v>1</v>
      </c>
      <c r="AC22" s="1798">
        <v>1</v>
      </c>
    </row>
    <row r="23" spans="1:29" ht="15">
      <c r="A23" s="425"/>
      <c r="B23" s="448" t="s">
        <v>2091</v>
      </c>
      <c r="C23" s="2587" t="str">
        <f>估价对象房地状况!C9</f>
        <v>较好</v>
      </c>
      <c r="D23" s="447">
        <v>100</v>
      </c>
      <c r="E23" s="451" t="s">
        <v>3066</v>
      </c>
      <c r="F23" s="447">
        <f>SUMIF(84:84,E24,85:85)-SUMIF(84:84,C24,85:85)+100</f>
        <v>100</v>
      </c>
      <c r="G23" s="449" t="s">
        <v>3066</v>
      </c>
      <c r="H23" s="447">
        <f>SUMIF(84:84,G24,85:85)-SUMIF(84:84,C24,85:85)+100</f>
        <v>100</v>
      </c>
      <c r="I23" s="449" t="s">
        <v>3066</v>
      </c>
      <c r="J23" s="447">
        <f>SUMIF(84:84,I24,85:85)-SUMIF(84:84,C24,85:85)+100</f>
        <v>100</v>
      </c>
      <c r="K23" s="442">
        <f>'土地比较法-住宅、综合'!K25</f>
        <v>2</v>
      </c>
      <c r="L23" s="1129"/>
      <c r="M23" s="1120"/>
      <c r="N23" s="1120"/>
      <c r="O23" s="1120"/>
      <c r="P23" s="3293"/>
      <c r="Q23" s="1797" t="str">
        <f>B23</f>
        <v>自然及人文环境</v>
      </c>
      <c r="R23" s="771" t="s">
        <v>21</v>
      </c>
      <c r="S23" s="772">
        <f>F23</f>
        <v>100</v>
      </c>
      <c r="T23" s="771" t="s">
        <v>21</v>
      </c>
      <c r="U23" s="772">
        <f>H23</f>
        <v>100</v>
      </c>
      <c r="V23" s="771" t="s">
        <v>21</v>
      </c>
      <c r="W23" s="772">
        <f>J23</f>
        <v>100</v>
      </c>
      <c r="X23" s="1800"/>
      <c r="Y23" s="3250"/>
      <c r="Z23" s="1801" t="str">
        <f>Q23</f>
        <v>自然及人文环境</v>
      </c>
      <c r="AA23" s="1798">
        <f>D23/F23</f>
        <v>1</v>
      </c>
      <c r="AB23" s="1798">
        <f>D23/H23</f>
        <v>1</v>
      </c>
      <c r="AC23" s="1798">
        <f>D23/J23</f>
        <v>1</v>
      </c>
    </row>
    <row r="24" spans="1:29" ht="15.75" thickBot="1">
      <c r="A24" s="425"/>
      <c r="B24" s="453"/>
      <c r="C24" s="444" t="s">
        <v>3066</v>
      </c>
      <c r="D24" s="445"/>
      <c r="E24" s="2584" t="s">
        <v>3066</v>
      </c>
      <c r="F24" s="445"/>
      <c r="G24" s="2585" t="s">
        <v>3066</v>
      </c>
      <c r="H24" s="445"/>
      <c r="I24" s="2585" t="s">
        <v>3066</v>
      </c>
      <c r="J24" s="445"/>
      <c r="K24" s="2586"/>
      <c r="L24" s="1129"/>
      <c r="M24" s="1120"/>
      <c r="N24" s="1120"/>
      <c r="O24" s="1120"/>
      <c r="P24" s="3293"/>
      <c r="Q24" s="1797"/>
      <c r="R24" s="771"/>
      <c r="S24" s="772"/>
      <c r="T24" s="771"/>
      <c r="U24" s="772"/>
      <c r="V24" s="771"/>
      <c r="W24" s="772"/>
      <c r="X24" s="1800"/>
      <c r="Y24" s="3250"/>
      <c r="Z24" s="1801"/>
      <c r="AA24" s="1798">
        <v>1</v>
      </c>
      <c r="AB24" s="1798">
        <v>1</v>
      </c>
      <c r="AC24" s="1798">
        <v>1</v>
      </c>
    </row>
    <row r="25" spans="1:29" ht="15" hidden="1">
      <c r="A25" s="425"/>
      <c r="B25" s="419" t="s">
        <v>2544</v>
      </c>
      <c r="C25" s="457"/>
      <c r="D25" s="432">
        <v>100</v>
      </c>
      <c r="E25" s="2593"/>
      <c r="F25" s="432">
        <f>SUMIF(86:86,E25,87:87)-SUMIF(86:86,C25,87:87)+100</f>
        <v>100</v>
      </c>
      <c r="G25" s="2594"/>
      <c r="H25" s="432">
        <f>SUMIF(86:86,G25,87:87)-SUMIF(86:86,C25,87:87)+100</f>
        <v>100</v>
      </c>
      <c r="I25" s="2594"/>
      <c r="J25" s="432">
        <f>SUMIF(86:86,I25,87:87)-SUMIF(86:86,C25,87:87)+100</f>
        <v>100</v>
      </c>
      <c r="K25" s="423"/>
      <c r="L25" s="1129"/>
      <c r="M25" s="1120"/>
      <c r="N25" s="1120"/>
      <c r="O25" s="1120"/>
      <c r="P25" s="3293"/>
      <c r="Q25" s="1797" t="str">
        <f t="shared" ref="Q25:Q46" si="11">B25</f>
        <v>楼层-1</v>
      </c>
      <c r="R25" s="771" t="s">
        <v>21</v>
      </c>
      <c r="S25" s="772">
        <f t="shared" ref="S25:S46" si="12">F25</f>
        <v>100</v>
      </c>
      <c r="T25" s="771" t="s">
        <v>21</v>
      </c>
      <c r="U25" s="772">
        <f t="shared" ref="U25:U46" si="13">H25</f>
        <v>100</v>
      </c>
      <c r="V25" s="771" t="s">
        <v>21</v>
      </c>
      <c r="W25" s="772">
        <f t="shared" ref="W25:W46" si="14">J25</f>
        <v>100</v>
      </c>
      <c r="X25" s="1800"/>
      <c r="Y25" s="3250"/>
      <c r="Z25" s="1801" t="str">
        <f>Q25</f>
        <v>楼层-1</v>
      </c>
      <c r="AA25" s="1798">
        <f t="shared" ref="AA25:AA46" si="15">D25/F25</f>
        <v>1</v>
      </c>
      <c r="AB25" s="1798">
        <f t="shared" ref="AB25:AB46" si="16">D25/H25</f>
        <v>1</v>
      </c>
      <c r="AC25" s="1798">
        <f t="shared" ref="AC25:AC46" si="17">D25/J25</f>
        <v>1</v>
      </c>
    </row>
    <row r="26" spans="1:29" ht="15" hidden="1">
      <c r="A26" s="425"/>
      <c r="B26" s="419" t="s">
        <v>2545</v>
      </c>
      <c r="C26" s="457"/>
      <c r="D26" s="432">
        <v>100</v>
      </c>
      <c r="E26" s="2593"/>
      <c r="F26" s="432">
        <f>SUMIF(88:88,E26,89:89)-SUMIF(88:88,C26,89:89)+100</f>
        <v>100</v>
      </c>
      <c r="G26" s="2594"/>
      <c r="H26" s="432">
        <f>SUMIF(88:88,G26,89:89)-SUMIF(88:88,C26,89:89)+100</f>
        <v>100</v>
      </c>
      <c r="I26" s="2594"/>
      <c r="J26" s="432">
        <f>SUMIF(88:88,I26,89:89)-SUMIF(88:88,C26,89:89)+100</f>
        <v>100</v>
      </c>
      <c r="K26" s="423"/>
      <c r="L26" s="1129"/>
      <c r="M26" s="1120"/>
      <c r="N26" s="1120"/>
      <c r="O26" s="1120"/>
      <c r="P26" s="3293"/>
      <c r="Q26" s="1797" t="str">
        <f t="shared" si="11"/>
        <v>朝向</v>
      </c>
      <c r="R26" s="771" t="s">
        <v>21</v>
      </c>
      <c r="S26" s="772">
        <f t="shared" si="12"/>
        <v>100</v>
      </c>
      <c r="T26" s="771" t="s">
        <v>21</v>
      </c>
      <c r="U26" s="772">
        <f t="shared" si="13"/>
        <v>100</v>
      </c>
      <c r="V26" s="771" t="s">
        <v>21</v>
      </c>
      <c r="W26" s="772">
        <f t="shared" si="14"/>
        <v>100</v>
      </c>
      <c r="X26" s="1800"/>
      <c r="Y26" s="3250"/>
      <c r="Z26" s="1801" t="str">
        <f>Q26</f>
        <v>朝向</v>
      </c>
      <c r="AA26" s="1798">
        <f t="shared" si="15"/>
        <v>1</v>
      </c>
      <c r="AB26" s="1798">
        <f t="shared" si="16"/>
        <v>1</v>
      </c>
      <c r="AC26" s="1798">
        <f t="shared" si="17"/>
        <v>1</v>
      </c>
    </row>
    <row r="27" spans="1:29" s="115" customFormat="1" ht="15" hidden="1">
      <c r="A27" s="428"/>
      <c r="B27" s="1375">
        <v>111</v>
      </c>
      <c r="C27" s="429"/>
      <c r="D27" s="459">
        <v>100</v>
      </c>
      <c r="E27" s="462"/>
      <c r="F27" s="459">
        <f>SUMIF(90:90,E27,91:91)-SUMIF(90:90,C27,91:91)+100</f>
        <v>100</v>
      </c>
      <c r="G27" s="460"/>
      <c r="H27" s="459">
        <f>SUMIF(90:90,G27,91:91)-SUMIF(90:90,C27,91:91)+100</f>
        <v>100</v>
      </c>
      <c r="I27" s="460"/>
      <c r="J27" s="459">
        <f>SUMIF(90:90,I27,91:91)-SUMIF(90:90,C27,91:91)+100</f>
        <v>100</v>
      </c>
      <c r="K27" s="2581"/>
      <c r="L27" s="1121"/>
      <c r="M27" s="1122"/>
      <c r="N27" s="1122"/>
      <c r="O27" s="1122"/>
      <c r="P27" s="3293"/>
      <c r="Q27" s="1782">
        <f t="shared" si="11"/>
        <v>111</v>
      </c>
      <c r="R27" s="767" t="s">
        <v>21</v>
      </c>
      <c r="S27" s="768">
        <f t="shared" si="12"/>
        <v>100</v>
      </c>
      <c r="T27" s="767" t="s">
        <v>21</v>
      </c>
      <c r="U27" s="768">
        <f t="shared" si="13"/>
        <v>100</v>
      </c>
      <c r="V27" s="767" t="s">
        <v>21</v>
      </c>
      <c r="W27" s="768">
        <f t="shared" si="14"/>
        <v>100</v>
      </c>
      <c r="X27" s="769"/>
      <c r="Y27" s="3250"/>
      <c r="Z27" s="54">
        <f>Q27</f>
        <v>111</v>
      </c>
      <c r="AA27" s="1798">
        <f t="shared" si="15"/>
        <v>1</v>
      </c>
      <c r="AB27" s="1798">
        <f t="shared" si="16"/>
        <v>1</v>
      </c>
      <c r="AC27" s="1798">
        <f t="shared" si="17"/>
        <v>1</v>
      </c>
    </row>
    <row r="28" spans="1:29" ht="15" hidden="1">
      <c r="A28" s="425"/>
      <c r="B28" s="1375">
        <v>111</v>
      </c>
      <c r="C28" s="431"/>
      <c r="D28" s="432">
        <v>100</v>
      </c>
      <c r="E28" s="431"/>
      <c r="F28" s="432">
        <f>SUMIF(92:92,E28,93:93)-SUMIF(92:92,C28,93:93)+100</f>
        <v>100</v>
      </c>
      <c r="G28" s="2595"/>
      <c r="H28" s="432">
        <f>SUMIF(92:92,G28,93:93)-SUMIF(92:92,C28,93:93)+100</f>
        <v>100</v>
      </c>
      <c r="I28" s="431"/>
      <c r="J28" s="432">
        <f>SUMIF(92:92,I28,93:93)-SUMIF(92:92,C28,93:93)+100</f>
        <v>100</v>
      </c>
      <c r="K28" s="2581"/>
      <c r="L28" s="1129"/>
      <c r="M28" s="1120"/>
      <c r="N28" s="1120"/>
      <c r="O28" s="1120"/>
      <c r="P28" s="3293"/>
      <c r="Q28" s="1797">
        <f t="shared" si="11"/>
        <v>111</v>
      </c>
      <c r="R28" s="771" t="s">
        <v>21</v>
      </c>
      <c r="S28" s="772">
        <f t="shared" si="12"/>
        <v>100</v>
      </c>
      <c r="T28" s="771" t="s">
        <v>21</v>
      </c>
      <c r="U28" s="772">
        <f t="shared" si="13"/>
        <v>100</v>
      </c>
      <c r="V28" s="771" t="s">
        <v>21</v>
      </c>
      <c r="W28" s="772">
        <f t="shared" si="14"/>
        <v>100</v>
      </c>
      <c r="X28" s="1800"/>
      <c r="Y28" s="3250"/>
      <c r="Z28" s="1801">
        <f t="shared" ref="Z28:Z46" si="18">Q28</f>
        <v>111</v>
      </c>
      <c r="AA28" s="1798">
        <f t="shared" si="15"/>
        <v>1</v>
      </c>
      <c r="AB28" s="1798">
        <f t="shared" si="16"/>
        <v>1</v>
      </c>
      <c r="AC28" s="1798">
        <f t="shared" si="17"/>
        <v>1</v>
      </c>
    </row>
    <row r="29" spans="1:29" ht="15" hidden="1">
      <c r="A29" s="425"/>
      <c r="B29" s="1375">
        <v>111</v>
      </c>
      <c r="C29" s="431"/>
      <c r="D29" s="432">
        <v>100</v>
      </c>
      <c r="E29" s="431"/>
      <c r="F29" s="432">
        <f>SUMIF(94:94,E29,95:95)-SUMIF(94:94,C29,95:95)+100</f>
        <v>100</v>
      </c>
      <c r="G29" s="2595"/>
      <c r="H29" s="432">
        <f>SUMIF(94:94,G29,95:95)-SUMIF(94:94,C29,95:95)+100</f>
        <v>100</v>
      </c>
      <c r="I29" s="431"/>
      <c r="J29" s="432">
        <f>SUMIF(94:94,I29,95:95)-SUMIF(94:94,C29,95:95)+100</f>
        <v>100</v>
      </c>
      <c r="K29" s="2581"/>
      <c r="L29" s="1129"/>
      <c r="M29" s="1120"/>
      <c r="N29" s="1120"/>
      <c r="O29" s="1120"/>
      <c r="P29" s="3293"/>
      <c r="Q29" s="1797">
        <f t="shared" si="11"/>
        <v>111</v>
      </c>
      <c r="R29" s="771" t="s">
        <v>21</v>
      </c>
      <c r="S29" s="772">
        <f t="shared" si="12"/>
        <v>100</v>
      </c>
      <c r="T29" s="771" t="s">
        <v>21</v>
      </c>
      <c r="U29" s="772">
        <f t="shared" si="13"/>
        <v>100</v>
      </c>
      <c r="V29" s="771" t="s">
        <v>21</v>
      </c>
      <c r="W29" s="772">
        <f t="shared" si="14"/>
        <v>100</v>
      </c>
      <c r="X29" s="1800"/>
      <c r="Y29" s="3250"/>
      <c r="Z29" s="1801">
        <f t="shared" si="18"/>
        <v>111</v>
      </c>
      <c r="AA29" s="1798">
        <f t="shared" si="15"/>
        <v>1</v>
      </c>
      <c r="AB29" s="1798">
        <f t="shared" si="16"/>
        <v>1</v>
      </c>
      <c r="AC29" s="1798">
        <f t="shared" si="17"/>
        <v>1</v>
      </c>
    </row>
    <row r="30" spans="1:29" ht="15" hidden="1">
      <c r="A30" s="425"/>
      <c r="B30" s="1375">
        <v>111</v>
      </c>
      <c r="C30" s="431"/>
      <c r="D30" s="432">
        <v>100</v>
      </c>
      <c r="E30" s="431"/>
      <c r="F30" s="432">
        <f>SUMIF(96:96,E30,97:97)-SUMIF(96:96,C30,97:97)+100</f>
        <v>100</v>
      </c>
      <c r="G30" s="2595"/>
      <c r="H30" s="432">
        <f>SUMIF(96:96,G30,97:97)-SUMIF(96:96,C30,97:97)+100</f>
        <v>100</v>
      </c>
      <c r="I30" s="431"/>
      <c r="J30" s="432">
        <f>SUMIF(96:96,I30,97:97)-SUMIF(96:96,C30,97:97)+100</f>
        <v>100</v>
      </c>
      <c r="K30" s="2581"/>
      <c r="L30" s="1129"/>
      <c r="M30" s="1120"/>
      <c r="N30" s="1120"/>
      <c r="O30" s="1120"/>
      <c r="P30" s="3293"/>
      <c r="Q30" s="1797">
        <f t="shared" si="11"/>
        <v>111</v>
      </c>
      <c r="R30" s="771" t="s">
        <v>21</v>
      </c>
      <c r="S30" s="772">
        <f t="shared" si="12"/>
        <v>100</v>
      </c>
      <c r="T30" s="771" t="s">
        <v>21</v>
      </c>
      <c r="U30" s="772">
        <f t="shared" si="13"/>
        <v>100</v>
      </c>
      <c r="V30" s="771" t="s">
        <v>21</v>
      </c>
      <c r="W30" s="772">
        <f t="shared" si="14"/>
        <v>100</v>
      </c>
      <c r="X30" s="1800"/>
      <c r="Y30" s="3250"/>
      <c r="Z30" s="1801">
        <f t="shared" si="18"/>
        <v>111</v>
      </c>
      <c r="AA30" s="1798">
        <f t="shared" si="15"/>
        <v>1</v>
      </c>
      <c r="AB30" s="1798">
        <f t="shared" si="16"/>
        <v>1</v>
      </c>
      <c r="AC30" s="1798">
        <f t="shared" si="17"/>
        <v>1</v>
      </c>
    </row>
    <row r="31" spans="1:29" ht="15.75" hidden="1" thickBot="1">
      <c r="A31" s="433"/>
      <c r="B31" s="1375">
        <v>111</v>
      </c>
      <c r="C31" s="434"/>
      <c r="D31" s="435">
        <v>100</v>
      </c>
      <c r="E31" s="434"/>
      <c r="F31" s="435">
        <f>SUMIF(98:98,E31,99:99)-SUMIF(98:98,C31,99:99)+100</f>
        <v>100</v>
      </c>
      <c r="G31" s="2596"/>
      <c r="H31" s="435">
        <f>SUMIF(98:98,G31,99:99)-SUMIF(98:98,C31,99:99)+100</f>
        <v>100</v>
      </c>
      <c r="I31" s="434"/>
      <c r="J31" s="435">
        <f>SUMIF(98:98,I31,99:99)-SUMIF(98:98,C31,99:99)+100</f>
        <v>100</v>
      </c>
      <c r="K31" s="2581"/>
      <c r="L31" s="1129"/>
      <c r="M31" s="1120"/>
      <c r="N31" s="1120"/>
      <c r="O31" s="1120"/>
      <c r="P31" s="3293"/>
      <c r="Q31" s="1797">
        <f t="shared" si="11"/>
        <v>111</v>
      </c>
      <c r="R31" s="771" t="s">
        <v>21</v>
      </c>
      <c r="S31" s="772">
        <f t="shared" si="12"/>
        <v>100</v>
      </c>
      <c r="T31" s="771" t="s">
        <v>21</v>
      </c>
      <c r="U31" s="772">
        <f t="shared" si="13"/>
        <v>100</v>
      </c>
      <c r="V31" s="771" t="s">
        <v>21</v>
      </c>
      <c r="W31" s="772">
        <f t="shared" si="14"/>
        <v>100</v>
      </c>
      <c r="X31" s="1800"/>
      <c r="Y31" s="3250"/>
      <c r="Z31" s="1801">
        <f t="shared" si="18"/>
        <v>111</v>
      </c>
      <c r="AA31" s="1798">
        <f t="shared" si="15"/>
        <v>1</v>
      </c>
      <c r="AB31" s="1798">
        <f t="shared" si="16"/>
        <v>1</v>
      </c>
      <c r="AC31" s="1798">
        <f t="shared" si="17"/>
        <v>1</v>
      </c>
    </row>
    <row r="32" spans="1:29" ht="15">
      <c r="A32" s="437" t="s">
        <v>2546</v>
      </c>
      <c r="B32" s="70" t="s">
        <v>2547</v>
      </c>
      <c r="C32" s="2597" t="s">
        <v>3233</v>
      </c>
      <c r="D32" s="464">
        <v>100</v>
      </c>
      <c r="E32" s="2597" t="s">
        <v>3233</v>
      </c>
      <c r="F32" s="458">
        <f>SUMIF(100:100,E32,101:101)-SUMIF(100:100,C32,101:101)+100</f>
        <v>100</v>
      </c>
      <c r="G32" s="2597" t="s">
        <v>3233</v>
      </c>
      <c r="H32" s="464">
        <f>SUMIF(100:100,G32,101:101)-SUMIF(100:100,C32,101:101)+100</f>
        <v>100</v>
      </c>
      <c r="I32" s="2597" t="s">
        <v>3233</v>
      </c>
      <c r="J32" s="432">
        <f>SUMIF(100:100,I32,101:101)-SUMIF(100:100,C32,101:101)+100</f>
        <v>100</v>
      </c>
      <c r="K32" s="423">
        <v>5</v>
      </c>
      <c r="L32" s="1129"/>
      <c r="M32" s="1120"/>
      <c r="N32" s="1120"/>
      <c r="O32" s="1120"/>
      <c r="P32" s="3288" t="s">
        <v>2548</v>
      </c>
      <c r="Q32" s="1797" t="str">
        <f t="shared" si="11"/>
        <v>建筑类型</v>
      </c>
      <c r="R32" s="771" t="s">
        <v>21</v>
      </c>
      <c r="S32" s="772">
        <f t="shared" si="12"/>
        <v>100</v>
      </c>
      <c r="T32" s="771" t="s">
        <v>21</v>
      </c>
      <c r="U32" s="772">
        <f t="shared" si="13"/>
        <v>100</v>
      </c>
      <c r="V32" s="771" t="s">
        <v>21</v>
      </c>
      <c r="W32" s="772">
        <f t="shared" si="14"/>
        <v>100</v>
      </c>
      <c r="X32" s="1800"/>
      <c r="Y32" s="3252" t="s">
        <v>2548</v>
      </c>
      <c r="Z32" s="1801" t="str">
        <f t="shared" si="18"/>
        <v>建筑类型</v>
      </c>
      <c r="AA32" s="1798">
        <f t="shared" si="15"/>
        <v>1</v>
      </c>
      <c r="AB32" s="1798">
        <f t="shared" si="16"/>
        <v>1</v>
      </c>
      <c r="AC32" s="1798">
        <f t="shared" si="17"/>
        <v>1</v>
      </c>
    </row>
    <row r="33" spans="1:29" s="468" customFormat="1" ht="15">
      <c r="A33" s="465"/>
      <c r="B33" s="419" t="s">
        <v>2549</v>
      </c>
      <c r="C33" s="466"/>
      <c r="D33" s="134">
        <v>100</v>
      </c>
      <c r="E33" s="427"/>
      <c r="F33" s="422">
        <f>LOOKUP(E33,103:103,104:104)-LOOKUP(C33,103:103,104:104)+100</f>
        <v>100</v>
      </c>
      <c r="G33" s="426"/>
      <c r="H33" s="134">
        <f>LOOKUP(G33,103:103,104:104)-LOOKUP(C33,103:103,104:104)+100</f>
        <v>100</v>
      </c>
      <c r="I33" s="427"/>
      <c r="J33" s="134">
        <f>LOOKUP(I33,103:103,104:104)-LOOKUP(C33,103:103,104:104)+100</f>
        <v>100</v>
      </c>
      <c r="K33" s="2581"/>
      <c r="L33" s="1127"/>
      <c r="M33" s="1130"/>
      <c r="N33" s="1130"/>
      <c r="O33" s="1130"/>
      <c r="P33" s="3289"/>
      <c r="Q33" s="773" t="str">
        <f t="shared" si="11"/>
        <v>项目建筑规模</v>
      </c>
      <c r="R33" s="774" t="s">
        <v>21</v>
      </c>
      <c r="S33" s="775">
        <f t="shared" si="12"/>
        <v>100</v>
      </c>
      <c r="T33" s="774" t="s">
        <v>21</v>
      </c>
      <c r="U33" s="775">
        <f t="shared" si="13"/>
        <v>100</v>
      </c>
      <c r="V33" s="774" t="s">
        <v>21</v>
      </c>
      <c r="W33" s="775">
        <f t="shared" si="14"/>
        <v>100</v>
      </c>
      <c r="X33" s="776"/>
      <c r="Y33" s="3252"/>
      <c r="Z33" s="777" t="str">
        <f t="shared" si="18"/>
        <v>项目建筑规模</v>
      </c>
      <c r="AA33" s="1798">
        <f t="shared" si="15"/>
        <v>1</v>
      </c>
      <c r="AB33" s="1798">
        <f t="shared" si="16"/>
        <v>1</v>
      </c>
      <c r="AC33" s="1798">
        <f t="shared" si="17"/>
        <v>1</v>
      </c>
    </row>
    <row r="34" spans="1:29" ht="15">
      <c r="A34" s="469"/>
      <c r="B34" s="419" t="s">
        <v>2550</v>
      </c>
      <c r="C34" s="2598" t="s">
        <v>3235</v>
      </c>
      <c r="D34" s="432">
        <v>100</v>
      </c>
      <c r="E34" s="2598" t="s">
        <v>3235</v>
      </c>
      <c r="F34" s="458">
        <f>SUMIF(105:105,E34,106:106)-SUMIF(105:105,C34,106:106)+100</f>
        <v>100</v>
      </c>
      <c r="G34" s="2598" t="s">
        <v>3235</v>
      </c>
      <c r="H34" s="432">
        <f>SUMIF(105:105,G34,106:106)-SUMIF(105:105,C34,106:106)+100</f>
        <v>100</v>
      </c>
      <c r="I34" s="2598" t="s">
        <v>3235</v>
      </c>
      <c r="J34" s="432">
        <f>SUMIF(105:105,I34,106:106)-SUMIF(105:105,C34,106:106)+100</f>
        <v>100</v>
      </c>
      <c r="K34" s="423">
        <v>2</v>
      </c>
      <c r="L34" s="1129"/>
      <c r="M34" s="1120"/>
      <c r="N34" s="1120"/>
      <c r="O34" s="1120"/>
      <c r="P34" s="3289"/>
      <c r="Q34" s="1797" t="str">
        <f t="shared" si="11"/>
        <v>建筑结构</v>
      </c>
      <c r="R34" s="771" t="s">
        <v>21</v>
      </c>
      <c r="S34" s="772">
        <f t="shared" si="12"/>
        <v>100</v>
      </c>
      <c r="T34" s="771" t="s">
        <v>21</v>
      </c>
      <c r="U34" s="772">
        <f t="shared" si="13"/>
        <v>100</v>
      </c>
      <c r="V34" s="771" t="s">
        <v>21</v>
      </c>
      <c r="W34" s="772">
        <f t="shared" si="14"/>
        <v>100</v>
      </c>
      <c r="X34" s="1800"/>
      <c r="Y34" s="3252"/>
      <c r="Z34" s="1801" t="str">
        <f t="shared" si="18"/>
        <v>建筑结构</v>
      </c>
      <c r="AA34" s="1798">
        <f t="shared" si="15"/>
        <v>1</v>
      </c>
      <c r="AB34" s="1798">
        <f t="shared" si="16"/>
        <v>1</v>
      </c>
      <c r="AC34" s="1798">
        <f t="shared" si="17"/>
        <v>1</v>
      </c>
    </row>
    <row r="35" spans="1:29" ht="15">
      <c r="A35" s="469"/>
      <c r="B35" s="419" t="s">
        <v>2551</v>
      </c>
      <c r="C35" s="2593" t="s">
        <v>3238</v>
      </c>
      <c r="D35" s="432">
        <v>100</v>
      </c>
      <c r="E35" s="2593" t="s">
        <v>3238</v>
      </c>
      <c r="F35" s="458">
        <f>SUMIF(107:107,E35,108:108)-SUMIF(107:107,C35,108:108)+100</f>
        <v>100</v>
      </c>
      <c r="G35" s="2593" t="s">
        <v>3238</v>
      </c>
      <c r="H35" s="432">
        <f>SUMIF(107:107,G35,108:108)-SUMIF(107:107,C35,108:108)+100</f>
        <v>100</v>
      </c>
      <c r="I35" s="2593" t="s">
        <v>3238</v>
      </c>
      <c r="J35" s="432">
        <f>SUMIF(107:107,I35,108:108)-SUMIF(107:107,C35,108:108)+100</f>
        <v>100</v>
      </c>
      <c r="K35" s="423">
        <v>5</v>
      </c>
      <c r="L35" s="1129"/>
      <c r="M35" s="1120"/>
      <c r="N35" s="1120"/>
      <c r="O35" s="1120"/>
      <c r="P35" s="3289"/>
      <c r="Q35" s="1797" t="str">
        <f t="shared" si="11"/>
        <v>建筑品质</v>
      </c>
      <c r="R35" s="771" t="s">
        <v>21</v>
      </c>
      <c r="S35" s="772">
        <f t="shared" si="12"/>
        <v>100</v>
      </c>
      <c r="T35" s="771" t="s">
        <v>21</v>
      </c>
      <c r="U35" s="772">
        <f t="shared" si="13"/>
        <v>100</v>
      </c>
      <c r="V35" s="771" t="s">
        <v>21</v>
      </c>
      <c r="W35" s="772">
        <f t="shared" si="14"/>
        <v>100</v>
      </c>
      <c r="X35" s="1800"/>
      <c r="Y35" s="3252"/>
      <c r="Z35" s="1801" t="str">
        <f t="shared" si="18"/>
        <v>建筑品质</v>
      </c>
      <c r="AA35" s="1798">
        <f t="shared" si="15"/>
        <v>1</v>
      </c>
      <c r="AB35" s="1798">
        <f t="shared" si="16"/>
        <v>1</v>
      </c>
      <c r="AC35" s="1798">
        <f t="shared" si="17"/>
        <v>1</v>
      </c>
    </row>
    <row r="36" spans="1:29" ht="15">
      <c r="A36" s="469"/>
      <c r="B36" s="419" t="s">
        <v>2552</v>
      </c>
      <c r="C36" s="2593" t="s">
        <v>3240</v>
      </c>
      <c r="D36" s="432">
        <v>100</v>
      </c>
      <c r="E36" s="2593" t="s">
        <v>3240</v>
      </c>
      <c r="F36" s="458">
        <f>SUMIF(109:109,E36,110:110)-SUMIF(109:109,C36,110:110)+100</f>
        <v>100</v>
      </c>
      <c r="G36" s="2593" t="s">
        <v>3240</v>
      </c>
      <c r="H36" s="432">
        <f>SUMIF(109:109,G36,110:110)-SUMIF(109:109,C36,110:110)+100</f>
        <v>100</v>
      </c>
      <c r="I36" s="2593" t="s">
        <v>3240</v>
      </c>
      <c r="J36" s="432">
        <f>SUMIF(109:109,I36,110:110)-SUMIF(109:109,C36,110:110)+100</f>
        <v>100</v>
      </c>
      <c r="K36" s="423">
        <v>2</v>
      </c>
      <c r="L36" s="1129"/>
      <c r="M36" s="1120"/>
      <c r="N36" s="1120"/>
      <c r="O36" s="1120"/>
      <c r="P36" s="3289"/>
      <c r="Q36" s="1797" t="str">
        <f t="shared" si="11"/>
        <v>公共部分装修</v>
      </c>
      <c r="R36" s="771" t="s">
        <v>21</v>
      </c>
      <c r="S36" s="772">
        <f t="shared" si="12"/>
        <v>100</v>
      </c>
      <c r="T36" s="771" t="s">
        <v>21</v>
      </c>
      <c r="U36" s="772">
        <f t="shared" si="13"/>
        <v>100</v>
      </c>
      <c r="V36" s="771" t="s">
        <v>21</v>
      </c>
      <c r="W36" s="772">
        <f t="shared" si="14"/>
        <v>100</v>
      </c>
      <c r="X36" s="1800"/>
      <c r="Y36" s="3252"/>
      <c r="Z36" s="1801" t="str">
        <f t="shared" si="18"/>
        <v>公共部分装修</v>
      </c>
      <c r="AA36" s="1798">
        <f t="shared" si="15"/>
        <v>1</v>
      </c>
      <c r="AB36" s="1798">
        <f t="shared" si="16"/>
        <v>1</v>
      </c>
      <c r="AC36" s="1798">
        <f t="shared" si="17"/>
        <v>1</v>
      </c>
    </row>
    <row r="37" spans="1:29" s="115" customFormat="1" ht="15">
      <c r="A37" s="470"/>
      <c r="B37" s="419" t="s">
        <v>2553</v>
      </c>
      <c r="C37" s="471">
        <v>1</v>
      </c>
      <c r="D37" s="134">
        <v>100</v>
      </c>
      <c r="E37" s="471">
        <v>1</v>
      </c>
      <c r="F37" s="422">
        <f>LOOKUP(E37,112:112,113:113)-LOOKUP(C37,112:112,113:113)+100</f>
        <v>100</v>
      </c>
      <c r="G37" s="471">
        <v>1</v>
      </c>
      <c r="H37" s="134">
        <f>LOOKUP(G37,112:112,113:113)-LOOKUP(C37,112:112,113:113)+100</f>
        <v>100</v>
      </c>
      <c r="I37" s="471">
        <v>1</v>
      </c>
      <c r="J37" s="134">
        <f>LOOKUP(I37,112:112,113:113)-LOOKUP(C37,112:112,113:113)+100</f>
        <v>100</v>
      </c>
      <c r="K37" s="423">
        <v>1</v>
      </c>
      <c r="L37" s="1121"/>
      <c r="M37" s="1122"/>
      <c r="N37" s="1122"/>
      <c r="O37" s="1122"/>
      <c r="P37" s="3289"/>
      <c r="Q37" s="1782" t="str">
        <f t="shared" si="11"/>
        <v>成新度</v>
      </c>
      <c r="R37" s="767" t="s">
        <v>21</v>
      </c>
      <c r="S37" s="768">
        <f t="shared" si="12"/>
        <v>100</v>
      </c>
      <c r="T37" s="767" t="s">
        <v>21</v>
      </c>
      <c r="U37" s="768">
        <f t="shared" si="13"/>
        <v>100</v>
      </c>
      <c r="V37" s="767" t="s">
        <v>21</v>
      </c>
      <c r="W37" s="768">
        <f t="shared" si="14"/>
        <v>100</v>
      </c>
      <c r="X37" s="769"/>
      <c r="Y37" s="3252"/>
      <c r="Z37" s="54" t="str">
        <f t="shared" si="18"/>
        <v>成新度</v>
      </c>
      <c r="AA37" s="770">
        <f t="shared" si="15"/>
        <v>1</v>
      </c>
      <c r="AB37" s="770">
        <f t="shared" si="16"/>
        <v>1</v>
      </c>
      <c r="AC37" s="770">
        <f t="shared" si="17"/>
        <v>1</v>
      </c>
    </row>
    <row r="38" spans="1:29" ht="15">
      <c r="A38" s="469"/>
      <c r="B38" s="419" t="s">
        <v>2554</v>
      </c>
      <c r="C38" s="2593" t="s">
        <v>3246</v>
      </c>
      <c r="D38" s="432">
        <v>100</v>
      </c>
      <c r="E38" s="2593" t="s">
        <v>3246</v>
      </c>
      <c r="F38" s="458">
        <f>SUMIF(114:114,E38,115:115)-SUMIF(114:114,C38,115:115)+100</f>
        <v>100</v>
      </c>
      <c r="G38" s="2593" t="s">
        <v>3246</v>
      </c>
      <c r="H38" s="432">
        <f>SUMIF(114:114,G38,115:115)-SUMIF(114:114,C38,115:115)+100</f>
        <v>100</v>
      </c>
      <c r="I38" s="2593" t="s">
        <v>3246</v>
      </c>
      <c r="J38" s="432">
        <f>SUMIF(114:114,I38,115:115)-SUMIF(114:114,C38,115:115)+100</f>
        <v>100</v>
      </c>
      <c r="K38" s="423">
        <v>2</v>
      </c>
      <c r="L38" s="1129"/>
      <c r="M38" s="1120"/>
      <c r="N38" s="1120"/>
      <c r="O38" s="1120"/>
      <c r="P38" s="3289" t="s">
        <v>2548</v>
      </c>
      <c r="Q38" s="1797" t="str">
        <f t="shared" si="11"/>
        <v>物业管理</v>
      </c>
      <c r="R38" s="771" t="s">
        <v>21</v>
      </c>
      <c r="S38" s="772">
        <f t="shared" si="12"/>
        <v>100</v>
      </c>
      <c r="T38" s="771" t="s">
        <v>21</v>
      </c>
      <c r="U38" s="772">
        <f t="shared" si="13"/>
        <v>100</v>
      </c>
      <c r="V38" s="771" t="s">
        <v>21</v>
      </c>
      <c r="W38" s="772">
        <f t="shared" si="14"/>
        <v>100</v>
      </c>
      <c r="X38" s="1800"/>
      <c r="Y38" s="3252" t="s">
        <v>2548</v>
      </c>
      <c r="Z38" s="1801" t="str">
        <f t="shared" si="18"/>
        <v>物业管理</v>
      </c>
      <c r="AA38" s="1798">
        <f t="shared" si="15"/>
        <v>1</v>
      </c>
      <c r="AB38" s="1798">
        <f t="shared" si="16"/>
        <v>1</v>
      </c>
      <c r="AC38" s="1798">
        <f t="shared" si="17"/>
        <v>1</v>
      </c>
    </row>
    <row r="39" spans="1:29" ht="15">
      <c r="A39" s="469"/>
      <c r="B39" s="419" t="s">
        <v>2555</v>
      </c>
      <c r="C39" s="2593" t="s">
        <v>3064</v>
      </c>
      <c r="D39" s="432">
        <v>100</v>
      </c>
      <c r="E39" s="2593" t="s">
        <v>3064</v>
      </c>
      <c r="F39" s="458">
        <f>SUMIF(116:116,E39,117:117)-SUMIF(116:116,C39,117:117)+100</f>
        <v>100</v>
      </c>
      <c r="G39" s="2593" t="s">
        <v>3064</v>
      </c>
      <c r="H39" s="432">
        <f>SUMIF(116:116,G39,117:117)-SUMIF(116:116,C39,117:117)+100</f>
        <v>100</v>
      </c>
      <c r="I39" s="2593" t="s">
        <v>3064</v>
      </c>
      <c r="J39" s="432">
        <f>SUMIF(116:116,I39,117:117)-SUMIF(116:116,C39,117:117)+100</f>
        <v>100</v>
      </c>
      <c r="K39" s="423">
        <v>1</v>
      </c>
      <c r="L39" s="1129"/>
      <c r="M39" s="1120"/>
      <c r="N39" s="1120"/>
      <c r="O39" s="1120"/>
      <c r="P39" s="3289"/>
      <c r="Q39" s="1797" t="str">
        <f t="shared" si="11"/>
        <v>市政基础设施</v>
      </c>
      <c r="R39" s="771" t="s">
        <v>21</v>
      </c>
      <c r="S39" s="772">
        <f t="shared" si="12"/>
        <v>100</v>
      </c>
      <c r="T39" s="771" t="s">
        <v>21</v>
      </c>
      <c r="U39" s="772">
        <f t="shared" si="13"/>
        <v>100</v>
      </c>
      <c r="V39" s="771" t="s">
        <v>21</v>
      </c>
      <c r="W39" s="772">
        <f t="shared" si="14"/>
        <v>100</v>
      </c>
      <c r="X39" s="1800"/>
      <c r="Y39" s="3252"/>
      <c r="Z39" s="1801" t="str">
        <f t="shared" si="18"/>
        <v>市政基础设施</v>
      </c>
      <c r="AA39" s="1798">
        <f t="shared" si="15"/>
        <v>1</v>
      </c>
      <c r="AB39" s="1798">
        <f t="shared" si="16"/>
        <v>1</v>
      </c>
      <c r="AC39" s="1798">
        <f t="shared" si="17"/>
        <v>1</v>
      </c>
    </row>
    <row r="40" spans="1:29" ht="15" hidden="1">
      <c r="A40" s="469"/>
      <c r="B40" s="419" t="s">
        <v>2556</v>
      </c>
      <c r="C40" s="2593"/>
      <c r="D40" s="432">
        <v>100</v>
      </c>
      <c r="E40" s="2594"/>
      <c r="F40" s="458">
        <f>SUMIF(118:118,E40,119:119)-SUMIF(118:118,C40,119:119)+100</f>
        <v>100</v>
      </c>
      <c r="G40" s="2593"/>
      <c r="H40" s="432">
        <f>SUMIF(118:118,G40,119:119)-SUMIF(118:118,C40,119:119)+100</f>
        <v>100</v>
      </c>
      <c r="I40" s="2594"/>
      <c r="J40" s="432">
        <f>SUMIF(118:118,I40,119:119)-SUMIF(118:118,C40,119:119)+100</f>
        <v>100</v>
      </c>
      <c r="K40" s="423"/>
      <c r="L40" s="1129"/>
      <c r="M40" s="1120"/>
      <c r="N40" s="1120"/>
      <c r="O40" s="1120"/>
      <c r="P40" s="3289"/>
      <c r="Q40" s="1797" t="str">
        <f t="shared" si="11"/>
        <v>房型</v>
      </c>
      <c r="R40" s="771" t="s">
        <v>21</v>
      </c>
      <c r="S40" s="772">
        <f t="shared" si="12"/>
        <v>100</v>
      </c>
      <c r="T40" s="771" t="s">
        <v>21</v>
      </c>
      <c r="U40" s="772">
        <f t="shared" si="13"/>
        <v>100</v>
      </c>
      <c r="V40" s="771" t="s">
        <v>21</v>
      </c>
      <c r="W40" s="772">
        <f t="shared" si="14"/>
        <v>100</v>
      </c>
      <c r="X40" s="1800"/>
      <c r="Y40" s="3252"/>
      <c r="Z40" s="1801" t="str">
        <f t="shared" si="18"/>
        <v>房型</v>
      </c>
      <c r="AA40" s="1798">
        <f t="shared" si="15"/>
        <v>1</v>
      </c>
      <c r="AB40" s="1798">
        <f t="shared" si="16"/>
        <v>1</v>
      </c>
      <c r="AC40" s="1798">
        <f t="shared" si="17"/>
        <v>1</v>
      </c>
    </row>
    <row r="41" spans="1:29" s="468" customFormat="1" ht="28.5" hidden="1">
      <c r="A41" s="465"/>
      <c r="B41" s="419" t="s">
        <v>2557</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1"/>
      <c r="L41" s="1127"/>
      <c r="M41" s="1130"/>
      <c r="N41" s="1130"/>
      <c r="O41" s="1130"/>
      <c r="P41" s="3289"/>
      <c r="Q41" s="773" t="str">
        <f t="shared" si="11"/>
        <v>单套/主力户型建筑面积</v>
      </c>
      <c r="R41" s="774" t="s">
        <v>21</v>
      </c>
      <c r="S41" s="775">
        <f t="shared" si="12"/>
        <v>100</v>
      </c>
      <c r="T41" s="774" t="s">
        <v>21</v>
      </c>
      <c r="U41" s="775">
        <f t="shared" si="13"/>
        <v>100</v>
      </c>
      <c r="V41" s="774" t="s">
        <v>21</v>
      </c>
      <c r="W41" s="775">
        <f t="shared" si="14"/>
        <v>100</v>
      </c>
      <c r="X41" s="776"/>
      <c r="Y41" s="3252"/>
      <c r="Z41" s="777" t="str">
        <f t="shared" si="18"/>
        <v>单套/主力户型建筑面积</v>
      </c>
      <c r="AA41" s="1798">
        <f t="shared" si="15"/>
        <v>1</v>
      </c>
      <c r="AB41" s="1798">
        <f t="shared" si="16"/>
        <v>1</v>
      </c>
      <c r="AC41" s="1798">
        <f t="shared" si="17"/>
        <v>1</v>
      </c>
    </row>
    <row r="42" spans="1:29" ht="15">
      <c r="A42" s="469"/>
      <c r="B42" s="419" t="s">
        <v>2558</v>
      </c>
      <c r="C42" s="2593" t="s">
        <v>3240</v>
      </c>
      <c r="D42" s="432">
        <v>100</v>
      </c>
      <c r="E42" s="2594" t="s">
        <v>3240</v>
      </c>
      <c r="F42" s="458">
        <f>SUMIF(122:122,E42,123:123)-SUMIF(122:122,C42,123:123)+100</f>
        <v>100</v>
      </c>
      <c r="G42" s="2593" t="s">
        <v>3240</v>
      </c>
      <c r="H42" s="432">
        <f>SUMIF(122:122,G42,123:123)-SUMIF(122:122,C42,123:123)+100</f>
        <v>100</v>
      </c>
      <c r="I42" s="2594" t="s">
        <v>3240</v>
      </c>
      <c r="J42" s="432">
        <f>SUMIF(122:122,I42,123:123)-SUMIF(122:122,C42,123:123)+100</f>
        <v>100</v>
      </c>
      <c r="K42" s="423">
        <v>2</v>
      </c>
      <c r="L42" s="1129"/>
      <c r="M42" s="1120"/>
      <c r="N42" s="1120"/>
      <c r="O42" s="1120"/>
      <c r="P42" s="3289"/>
      <c r="Q42" s="1797" t="str">
        <f t="shared" si="11"/>
        <v>内部装修</v>
      </c>
      <c r="R42" s="771" t="s">
        <v>21</v>
      </c>
      <c r="S42" s="772">
        <f t="shared" si="12"/>
        <v>100</v>
      </c>
      <c r="T42" s="771" t="s">
        <v>21</v>
      </c>
      <c r="U42" s="772">
        <f t="shared" si="13"/>
        <v>100</v>
      </c>
      <c r="V42" s="771" t="s">
        <v>21</v>
      </c>
      <c r="W42" s="772">
        <f t="shared" si="14"/>
        <v>100</v>
      </c>
      <c r="X42" s="1800"/>
      <c r="Y42" s="3252"/>
      <c r="Z42" s="1801" t="str">
        <f t="shared" si="18"/>
        <v>内部装修</v>
      </c>
      <c r="AA42" s="1798">
        <f t="shared" si="15"/>
        <v>1</v>
      </c>
      <c r="AB42" s="1798">
        <f t="shared" si="16"/>
        <v>1</v>
      </c>
      <c r="AC42" s="1798">
        <f t="shared" si="17"/>
        <v>1</v>
      </c>
    </row>
    <row r="43" spans="1:29" ht="15.75" thickBot="1">
      <c r="A43" s="469"/>
      <c r="B43" s="419" t="s">
        <v>2559</v>
      </c>
      <c r="C43" s="2593" t="s">
        <v>3066</v>
      </c>
      <c r="D43" s="432">
        <v>100</v>
      </c>
      <c r="E43" s="2593" t="s">
        <v>3066</v>
      </c>
      <c r="F43" s="458">
        <f>SUMIF(124:124,E43,125:125)-SUMIF(124:124,C43,125:125)+100</f>
        <v>100</v>
      </c>
      <c r="G43" s="2593" t="s">
        <v>3066</v>
      </c>
      <c r="H43" s="432">
        <f>SUMIF(124:124,G43,125:125)-SUMIF(124:124,C43,125:125)+100</f>
        <v>100</v>
      </c>
      <c r="I43" s="2593" t="s">
        <v>3066</v>
      </c>
      <c r="J43" s="432">
        <f>SUMIF(124:124,I43,125:125)-SUMIF(124:124,C43,125:125)+100</f>
        <v>100</v>
      </c>
      <c r="K43" s="423">
        <v>2</v>
      </c>
      <c r="L43" s="1129"/>
      <c r="M43" s="1120"/>
      <c r="N43" s="1120"/>
      <c r="O43" s="1120"/>
      <c r="P43" s="3289"/>
      <c r="Q43" s="1797" t="str">
        <f t="shared" si="11"/>
        <v>内部装修维护情况</v>
      </c>
      <c r="R43" s="771" t="s">
        <v>21</v>
      </c>
      <c r="S43" s="772">
        <f t="shared" si="12"/>
        <v>100</v>
      </c>
      <c r="T43" s="771" t="s">
        <v>21</v>
      </c>
      <c r="U43" s="772">
        <f t="shared" si="13"/>
        <v>100</v>
      </c>
      <c r="V43" s="771" t="s">
        <v>21</v>
      </c>
      <c r="W43" s="772">
        <f t="shared" si="14"/>
        <v>100</v>
      </c>
      <c r="X43" s="1800"/>
      <c r="Y43" s="3252"/>
      <c r="Z43" s="1801" t="str">
        <f t="shared" si="18"/>
        <v>内部装修维护情况</v>
      </c>
      <c r="AA43" s="1798">
        <f t="shared" si="15"/>
        <v>1</v>
      </c>
      <c r="AB43" s="1798">
        <f t="shared" si="16"/>
        <v>1</v>
      </c>
      <c r="AC43" s="1798">
        <f t="shared" si="17"/>
        <v>1</v>
      </c>
    </row>
    <row r="44" spans="1:29" s="115" customFormat="1" ht="15" hidden="1">
      <c r="A44" s="470"/>
      <c r="B44" s="1375">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1"/>
      <c r="L44" s="1121"/>
      <c r="M44" s="1122"/>
      <c r="N44" s="1122"/>
      <c r="O44" s="1122"/>
      <c r="P44" s="3289"/>
      <c r="Q44" s="1782">
        <f t="shared" si="11"/>
        <v>111</v>
      </c>
      <c r="R44" s="767" t="s">
        <v>21</v>
      </c>
      <c r="S44" s="768">
        <f t="shared" si="12"/>
        <v>100</v>
      </c>
      <c r="T44" s="767" t="s">
        <v>21</v>
      </c>
      <c r="U44" s="768">
        <f t="shared" si="13"/>
        <v>100</v>
      </c>
      <c r="V44" s="767" t="s">
        <v>21</v>
      </c>
      <c r="W44" s="768">
        <f t="shared" si="14"/>
        <v>100</v>
      </c>
      <c r="X44" s="769"/>
      <c r="Y44" s="3252"/>
      <c r="Z44" s="54">
        <f t="shared" si="18"/>
        <v>111</v>
      </c>
      <c r="AA44" s="770">
        <f t="shared" si="15"/>
        <v>1</v>
      </c>
      <c r="AB44" s="770">
        <f t="shared" si="16"/>
        <v>1</v>
      </c>
      <c r="AC44" s="770">
        <f t="shared" si="17"/>
        <v>1</v>
      </c>
    </row>
    <row r="45" spans="1:29" ht="15" hidden="1">
      <c r="A45" s="469"/>
      <c r="B45" s="1375">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1"/>
      <c r="L45" s="1129"/>
      <c r="M45" s="1120"/>
      <c r="N45" s="1120"/>
      <c r="O45" s="1120"/>
      <c r="P45" s="3289"/>
      <c r="Q45" s="1797">
        <f t="shared" si="11"/>
        <v>111</v>
      </c>
      <c r="R45" s="771" t="s">
        <v>21</v>
      </c>
      <c r="S45" s="772">
        <f t="shared" si="12"/>
        <v>100</v>
      </c>
      <c r="T45" s="771" t="s">
        <v>21</v>
      </c>
      <c r="U45" s="772">
        <f t="shared" si="13"/>
        <v>100</v>
      </c>
      <c r="V45" s="771" t="s">
        <v>21</v>
      </c>
      <c r="W45" s="772">
        <f t="shared" si="14"/>
        <v>100</v>
      </c>
      <c r="X45" s="1800"/>
      <c r="Y45" s="3252"/>
      <c r="Z45" s="1801">
        <f t="shared" si="18"/>
        <v>111</v>
      </c>
      <c r="AA45" s="1798">
        <f t="shared" si="15"/>
        <v>1</v>
      </c>
      <c r="AB45" s="1798">
        <f t="shared" si="16"/>
        <v>1</v>
      </c>
      <c r="AC45" s="1798">
        <f t="shared" si="17"/>
        <v>1</v>
      </c>
    </row>
    <row r="46" spans="1:29" ht="15.75" hidden="1" thickBot="1">
      <c r="A46" s="475"/>
      <c r="B46" s="258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1"/>
      <c r="L46" s="1129"/>
      <c r="M46" s="1120"/>
      <c r="N46" s="1120"/>
      <c r="O46" s="1120"/>
      <c r="P46" s="3290"/>
      <c r="Q46" s="1797">
        <f t="shared" si="11"/>
        <v>111</v>
      </c>
      <c r="R46" s="771" t="s">
        <v>20</v>
      </c>
      <c r="S46" s="772">
        <f t="shared" si="12"/>
        <v>100</v>
      </c>
      <c r="T46" s="771" t="s">
        <v>20</v>
      </c>
      <c r="U46" s="772">
        <f t="shared" si="13"/>
        <v>100</v>
      </c>
      <c r="V46" s="771" t="s">
        <v>20</v>
      </c>
      <c r="W46" s="772">
        <f t="shared" si="14"/>
        <v>100</v>
      </c>
      <c r="X46" s="1800"/>
      <c r="Y46" s="3291"/>
      <c r="Z46" s="1801">
        <f t="shared" si="18"/>
        <v>111</v>
      </c>
      <c r="AA46" s="1798">
        <f t="shared" si="15"/>
        <v>1</v>
      </c>
      <c r="AB46" s="1798">
        <f t="shared" si="16"/>
        <v>1</v>
      </c>
      <c r="AC46" s="1798">
        <f t="shared" si="17"/>
        <v>1</v>
      </c>
    </row>
    <row r="47" spans="1:29" ht="15">
      <c r="A47" s="476" t="s">
        <v>2560</v>
      </c>
      <c r="B47" s="477"/>
      <c r="C47" s="1396" t="s">
        <v>19</v>
      </c>
      <c r="D47" s="1397"/>
      <c r="E47" s="1398">
        <f>ROUND(10500*M49,0)</f>
        <v>10420</v>
      </c>
      <c r="F47" s="1399"/>
      <c r="G47" s="1400">
        <f>ROUND(11000*M49,0)</f>
        <v>10916</v>
      </c>
      <c r="H47" s="1401"/>
      <c r="I47" s="1398">
        <f>ROUND(11000*M49,0)</f>
        <v>10916</v>
      </c>
      <c r="J47" s="1401"/>
      <c r="K47" s="2599"/>
      <c r="L47" s="1132"/>
      <c r="M47" s="1133">
        <f ca="1">结果汇总!G2</f>
        <v>27909</v>
      </c>
      <c r="N47" s="1120"/>
      <c r="O47" s="1133"/>
      <c r="P47" s="3247" t="str">
        <f>A47</f>
        <v>成交单价（元/平方米）</v>
      </c>
      <c r="Q47" s="3247"/>
      <c r="R47" s="3287">
        <f>E47</f>
        <v>10420</v>
      </c>
      <c r="S47" s="3287"/>
      <c r="T47" s="3287">
        <f>G47</f>
        <v>10916</v>
      </c>
      <c r="U47" s="3287"/>
      <c r="V47" s="3287">
        <f>I47</f>
        <v>10916</v>
      </c>
      <c r="W47" s="3287"/>
      <c r="X47" s="756"/>
      <c r="Y47" s="778"/>
      <c r="Z47" s="756"/>
      <c r="AA47" s="756"/>
      <c r="AB47" s="756"/>
      <c r="AC47" s="756"/>
    </row>
    <row r="48" spans="1:29" ht="15.75" thickBot="1">
      <c r="A48" s="483" t="s">
        <v>2561</v>
      </c>
      <c r="B48" s="484"/>
      <c r="C48" s="1402" t="e">
        <f>R49</f>
        <v>#DIV/0!</v>
      </c>
      <c r="D48" s="1403"/>
      <c r="E48" s="1404" t="e">
        <f>R48</f>
        <v>#DIV/0!</v>
      </c>
      <c r="F48" s="1404"/>
      <c r="G48" s="1402" t="e">
        <f>T48</f>
        <v>#DIV/0!</v>
      </c>
      <c r="H48" s="1403"/>
      <c r="I48" s="1404" t="e">
        <f>V48</f>
        <v>#DIV/0!</v>
      </c>
      <c r="J48" s="1403"/>
      <c r="K48" s="2600"/>
      <c r="L48" s="1132"/>
      <c r="M48" s="1133">
        <f ca="1">结果表!H118</f>
        <v>27909</v>
      </c>
      <c r="N48" s="1133"/>
      <c r="O48" s="1133"/>
      <c r="P48" s="3247" t="str">
        <f>A48</f>
        <v>比较价值（元/平方米）</v>
      </c>
      <c r="Q48" s="3247"/>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6"/>
      <c r="Y48" s="756"/>
      <c r="Z48" s="756"/>
      <c r="AA48" s="756"/>
      <c r="AB48" s="756"/>
      <c r="AC48" s="756"/>
    </row>
    <row r="49" spans="1:29" ht="15.75" thickBot="1">
      <c r="A49" s="489" t="s">
        <v>2562</v>
      </c>
      <c r="B49" s="490"/>
      <c r="C49" s="1405" t="e">
        <f>R49</f>
        <v>#DIV/0!</v>
      </c>
      <c r="D49" s="1406"/>
      <c r="E49" s="1406"/>
      <c r="F49" s="1406"/>
      <c r="G49" s="1406"/>
      <c r="H49" s="1406"/>
      <c r="I49" s="1406"/>
      <c r="J49" s="1406"/>
      <c r="K49" s="2601"/>
      <c r="L49" s="1132"/>
      <c r="M49" s="3006">
        <v>0.99239999999999995</v>
      </c>
      <c r="N49" s="1133"/>
      <c r="O49" s="1133"/>
      <c r="P49" s="3241" t="str">
        <f>A49</f>
        <v>估价对象XX用房的比较价值（楼面单价，元/平方米）</v>
      </c>
      <c r="Q49" s="3242"/>
      <c r="R49" s="3286" t="e">
        <f>IF(F1="售价",ROUND(AVERAGE(R48:V48),0),ROUND(AVERAGE(R48:V48),1))</f>
        <v>#DIV/0!</v>
      </c>
      <c r="S49" s="3286"/>
      <c r="T49" s="3286"/>
      <c r="U49" s="3286"/>
      <c r="V49" s="3286"/>
      <c r="W49" s="3286"/>
      <c r="X49" s="756"/>
      <c r="Y49" s="756"/>
      <c r="Z49" s="756"/>
      <c r="AA49" s="756"/>
      <c r="AB49" s="756"/>
      <c r="AC49" s="756"/>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94" t="s">
        <v>2563</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4"/>
      <c r="L52" s="1095"/>
      <c r="M52" s="1133"/>
      <c r="N52" s="1133"/>
      <c r="O52" s="1133"/>
    </row>
    <row r="53" spans="1:29" ht="13.5" customHeight="1">
      <c r="A53" s="1133"/>
      <c r="B53" s="1133"/>
      <c r="C53" s="494" t="s">
        <v>2564</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4"/>
      <c r="L53" s="1095"/>
      <c r="M53" s="1133"/>
      <c r="N53" s="1133"/>
      <c r="O53" s="1133"/>
    </row>
    <row r="54" spans="1:29" s="499" customFormat="1" ht="13.5" customHeight="1">
      <c r="A54" s="1134"/>
      <c r="B54" s="1134"/>
      <c r="C54" s="494" t="s">
        <v>2565</v>
      </c>
      <c r="D54" s="498"/>
      <c r="E54" s="496">
        <f>IF(E47&lt;G47,G47/E47-1,E47/G47-1)</f>
        <v>4.7600767754318651E-2</v>
      </c>
      <c r="F54" s="497" t="str">
        <f>IF(OR(E54&gt;=0.3,E54&lt;=-0.3),"超过30%","")</f>
        <v/>
      </c>
      <c r="G54" s="496">
        <f>IF(G47&lt;I47,I47/G47-1,G47/I47-1)</f>
        <v>0</v>
      </c>
      <c r="H54" s="497" t="str">
        <f>IF(OR(G54&gt;=0.3,G54&lt;=-0.3),"超过30%","")</f>
        <v/>
      </c>
      <c r="I54" s="496">
        <f>IF(I47&lt;E47,E47/I47-1,I47/E47-1)</f>
        <v>4.7600767754318651E-2</v>
      </c>
      <c r="J54" s="497" t="str">
        <f>IF(OR(I54&gt;=0.3,I54&lt;=-0.3),"超过30%","")</f>
        <v/>
      </c>
      <c r="K54" s="1137"/>
      <c r="L54" s="1138"/>
      <c r="M54" s="1134"/>
      <c r="N54" s="1134"/>
      <c r="O54" s="1134"/>
      <c r="P54" s="2603"/>
    </row>
    <row r="55" spans="1:29" s="499" customFormat="1">
      <c r="A55" s="1134"/>
      <c r="B55" s="1135"/>
      <c r="C55" s="1139"/>
      <c r="D55" s="1134"/>
      <c r="E55" s="1134"/>
      <c r="F55" s="1134"/>
      <c r="G55" s="1134"/>
      <c r="H55" s="1134"/>
      <c r="I55" s="1134"/>
      <c r="J55" s="1134"/>
      <c r="K55" s="1137"/>
      <c r="L55" s="1138"/>
      <c r="M55" s="1134"/>
      <c r="N55" s="1134"/>
      <c r="O55" s="1134"/>
      <c r="P55" s="2603"/>
    </row>
    <row r="56" spans="1:29">
      <c r="A56" s="1133"/>
      <c r="B56" s="1135"/>
      <c r="C56" s="1139"/>
      <c r="D56" s="1133"/>
      <c r="E56" s="1133"/>
      <c r="F56" s="1133"/>
      <c r="G56" s="1133"/>
      <c r="H56" s="1133"/>
      <c r="I56" s="1133"/>
      <c r="J56" s="1133"/>
      <c r="K56" s="1094"/>
      <c r="L56" s="1095"/>
      <c r="M56" s="1133"/>
      <c r="N56" s="1133"/>
      <c r="O56" s="1133"/>
    </row>
    <row r="57" spans="1:29" ht="21.75" thickBot="1">
      <c r="A57" s="760" t="s">
        <v>2566</v>
      </c>
      <c r="B57" s="756"/>
      <c r="C57" s="761"/>
      <c r="D57" s="761"/>
      <c r="E57" s="761"/>
      <c r="F57" s="762"/>
      <c r="G57" s="762"/>
      <c r="H57" s="761"/>
      <c r="I57" s="761"/>
      <c r="J57" s="761"/>
      <c r="K57" s="1149"/>
      <c r="L57" s="1150"/>
      <c r="M57" s="1148"/>
      <c r="N57" s="1148"/>
      <c r="O57" s="1148"/>
      <c r="P57" s="2604"/>
      <c r="Q57" s="501"/>
    </row>
    <row r="58" spans="1:29" s="505" customFormat="1" ht="15">
      <c r="A58" s="502" t="s">
        <v>2567</v>
      </c>
      <c r="B58" s="503"/>
      <c r="C58" s="1564" t="str">
        <f>YEAR(C7)&amp;"-"&amp;MONTH(C7)</f>
        <v>2020-5</v>
      </c>
      <c r="D58" s="1563">
        <f>EDATE(C58,-1)</f>
        <v>43922</v>
      </c>
      <c r="E58" s="1563">
        <f>EDATE(D58,-1)</f>
        <v>43891</v>
      </c>
      <c r="F58" s="1563">
        <f t="shared" ref="F58:O58" si="19">EDATE(E58,-1)</f>
        <v>43862</v>
      </c>
      <c r="G58" s="1563">
        <f t="shared" si="19"/>
        <v>43831</v>
      </c>
      <c r="H58" s="1563">
        <f t="shared" si="19"/>
        <v>43800</v>
      </c>
      <c r="I58" s="1563">
        <f t="shared" si="19"/>
        <v>43770</v>
      </c>
      <c r="J58" s="1563">
        <f t="shared" si="19"/>
        <v>43739</v>
      </c>
      <c r="K58" s="1563">
        <f t="shared" si="19"/>
        <v>43709</v>
      </c>
      <c r="L58" s="1563">
        <f t="shared" si="19"/>
        <v>43678</v>
      </c>
      <c r="M58" s="1563">
        <f t="shared" si="19"/>
        <v>43647</v>
      </c>
      <c r="N58" s="1563">
        <f t="shared" si="19"/>
        <v>43617</v>
      </c>
      <c r="O58" s="1563">
        <f t="shared" si="19"/>
        <v>43586</v>
      </c>
      <c r="P58" s="1558"/>
    </row>
    <row r="59" spans="1:29" s="115" customFormat="1" ht="15">
      <c r="A59" s="506"/>
      <c r="B59" s="2605"/>
      <c r="C59" s="1561">
        <v>100</v>
      </c>
      <c r="D59" s="508">
        <f>C59</f>
        <v>100</v>
      </c>
      <c r="E59" s="509">
        <f>D59-1</f>
        <v>99</v>
      </c>
      <c r="F59" s="509">
        <f>E59</f>
        <v>99</v>
      </c>
      <c r="G59" s="509">
        <f>F59</f>
        <v>99</v>
      </c>
      <c r="H59" s="509">
        <f>G59-1</f>
        <v>98</v>
      </c>
      <c r="I59" s="509">
        <f>H59</f>
        <v>98</v>
      </c>
      <c r="J59" s="509">
        <f>I59</f>
        <v>98</v>
      </c>
      <c r="K59" s="509"/>
      <c r="L59" s="509"/>
      <c r="M59" s="510"/>
      <c r="N59" s="509"/>
      <c r="O59" s="510"/>
      <c r="P59" s="2606"/>
    </row>
    <row r="60" spans="1:29" s="115" customFormat="1" ht="15.75" thickBot="1">
      <c r="A60" s="512" t="s">
        <v>2568</v>
      </c>
      <c r="B60" s="513"/>
      <c r="C60" s="514"/>
      <c r="D60" s="515"/>
      <c r="E60" s="515"/>
      <c r="F60" s="515"/>
      <c r="G60" s="515"/>
      <c r="H60" s="515"/>
      <c r="I60" s="515"/>
      <c r="J60" s="515"/>
      <c r="K60" s="515"/>
      <c r="L60" s="515"/>
      <c r="M60" s="516"/>
      <c r="N60" s="515"/>
      <c r="O60" s="516"/>
      <c r="P60" s="2606"/>
      <c r="Q60" s="501"/>
    </row>
    <row r="61" spans="1:29" s="115" customFormat="1" ht="15">
      <c r="A61" s="518" t="s">
        <v>2569</v>
      </c>
      <c r="B61" s="507"/>
      <c r="C61" s="519" t="s">
        <v>2570</v>
      </c>
      <c r="D61" s="520"/>
      <c r="E61" s="520"/>
      <c r="F61" s="520"/>
      <c r="G61" s="520"/>
      <c r="H61" s="520"/>
      <c r="I61" s="520"/>
      <c r="J61" s="520"/>
      <c r="K61" s="520"/>
      <c r="L61" s="521"/>
      <c r="M61" s="522"/>
      <c r="N61" s="1140"/>
      <c r="O61" s="1140"/>
      <c r="P61" s="2607"/>
      <c r="Q61" s="501"/>
    </row>
    <row r="62" spans="1:29" s="115" customFormat="1" ht="15.75" thickBot="1">
      <c r="A62" s="518"/>
      <c r="B62" s="507"/>
      <c r="C62" s="508">
        <v>100</v>
      </c>
      <c r="D62" s="509"/>
      <c r="E62" s="509"/>
      <c r="F62" s="509"/>
      <c r="G62" s="509"/>
      <c r="H62" s="509"/>
      <c r="I62" s="509"/>
      <c r="J62" s="509"/>
      <c r="K62" s="509"/>
      <c r="L62" s="509"/>
      <c r="M62" s="511"/>
      <c r="N62" s="1140"/>
      <c r="O62" s="1140"/>
      <c r="P62" s="2606"/>
      <c r="Q62" s="501"/>
    </row>
    <row r="63" spans="1:29">
      <c r="A63" s="524" t="s">
        <v>2571</v>
      </c>
      <c r="B63" s="525" t="s">
        <v>2537</v>
      </c>
      <c r="C63" s="526" t="str">
        <f>C9</f>
        <v>住宅</v>
      </c>
      <c r="D63" s="527"/>
      <c r="E63" s="527"/>
      <c r="F63" s="527"/>
      <c r="G63" s="527"/>
      <c r="H63" s="527"/>
      <c r="I63" s="527"/>
      <c r="J63" s="527"/>
      <c r="K63" s="528"/>
      <c r="L63" s="529"/>
      <c r="M63" s="530"/>
      <c r="N63" s="1141"/>
      <c r="O63" s="1141"/>
      <c r="P63" s="2608"/>
      <c r="Q63" s="501"/>
    </row>
    <row r="64" spans="1:29" ht="15.75" thickBot="1">
      <c r="A64" s="531"/>
      <c r="B64" s="532"/>
      <c r="C64" s="533">
        <v>100</v>
      </c>
      <c r="D64" s="533"/>
      <c r="E64" s="533"/>
      <c r="F64" s="533"/>
      <c r="G64" s="533"/>
      <c r="H64" s="533"/>
      <c r="I64" s="533"/>
      <c r="J64" s="533"/>
      <c r="K64" s="533"/>
      <c r="L64" s="533"/>
      <c r="M64" s="534"/>
      <c r="N64" s="1142"/>
      <c r="O64" s="1142"/>
      <c r="P64" s="2608"/>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1"/>
      <c r="O65" s="1141"/>
      <c r="P65" s="2608"/>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2"/>
      <c r="O66" s="1142"/>
      <c r="P66" s="2608"/>
      <c r="Q66" s="501"/>
    </row>
    <row r="67" spans="1:17" ht="15.75" thickTop="1">
      <c r="A67" s="531"/>
      <c r="B67" s="543" t="s">
        <v>2541</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5（含）-6</v>
      </c>
      <c r="I67" s="544" t="str">
        <f t="shared" si="21"/>
        <v>6（含）-</v>
      </c>
      <c r="J67" s="544" t="str">
        <f t="shared" si="21"/>
        <v>（含）-</v>
      </c>
      <c r="K67" s="544" t="str">
        <f>K68&amp;"（含）"&amp;"-"&amp;L68</f>
        <v>（含）-</v>
      </c>
      <c r="L67" s="544" t="str">
        <f t="shared" si="21"/>
        <v>（含）-</v>
      </c>
      <c r="M67" s="445" t="str">
        <f>M68&amp;"（含）"&amp;"-"&amp;P68</f>
        <v>（含）-</v>
      </c>
      <c r="N67" s="1142"/>
      <c r="O67" s="1142"/>
      <c r="P67" s="2608"/>
      <c r="Q67" s="501"/>
    </row>
    <row r="68" spans="1:17" ht="15">
      <c r="A68" s="531"/>
      <c r="B68" s="545"/>
      <c r="C68" s="546">
        <v>0</v>
      </c>
      <c r="D68" s="546">
        <v>1</v>
      </c>
      <c r="E68" s="546">
        <v>2</v>
      </c>
      <c r="F68" s="546">
        <v>3</v>
      </c>
      <c r="G68" s="546">
        <v>4</v>
      </c>
      <c r="H68" s="546">
        <v>5</v>
      </c>
      <c r="I68" s="546">
        <v>6</v>
      </c>
      <c r="J68" s="546"/>
      <c r="K68" s="547"/>
      <c r="L68" s="548"/>
      <c r="M68" s="549"/>
      <c r="N68" s="1141"/>
      <c r="O68" s="1141"/>
      <c r="P68" s="2608"/>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42"/>
      <c r="O69" s="1142"/>
      <c r="P69" s="2608"/>
      <c r="Q69" s="501"/>
    </row>
    <row r="70" spans="1:17" s="468" customFormat="1" ht="15.75" thickTop="1">
      <c r="A70" s="550"/>
      <c r="B70" s="535">
        <f>B12</f>
        <v>111</v>
      </c>
      <c r="C70" s="551"/>
      <c r="D70" s="551"/>
      <c r="E70" s="551"/>
      <c r="F70" s="551"/>
      <c r="G70" s="551"/>
      <c r="H70" s="552"/>
      <c r="I70" s="552"/>
      <c r="J70" s="552"/>
      <c r="K70" s="552"/>
      <c r="L70" s="553"/>
      <c r="M70" s="554"/>
      <c r="N70" s="1143"/>
      <c r="O70" s="1143"/>
      <c r="P70" s="2609"/>
      <c r="Q70" s="556"/>
    </row>
    <row r="71" spans="1:17" s="468" customFormat="1" ht="15.75" thickBot="1">
      <c r="A71" s="550"/>
      <c r="B71" s="540"/>
      <c r="C71" s="557"/>
      <c r="D71" s="533"/>
      <c r="E71" s="533"/>
      <c r="F71" s="533"/>
      <c r="G71" s="533"/>
      <c r="H71" s="533"/>
      <c r="I71" s="533"/>
      <c r="J71" s="533"/>
      <c r="K71" s="533"/>
      <c r="L71" s="533"/>
      <c r="M71" s="534"/>
      <c r="N71" s="1142"/>
      <c r="O71" s="1142"/>
      <c r="P71" s="2609"/>
      <c r="Q71" s="556"/>
    </row>
    <row r="72" spans="1:17" s="468" customFormat="1" ht="15.75" thickTop="1">
      <c r="A72" s="550"/>
      <c r="B72" s="535">
        <f>B13</f>
        <v>111</v>
      </c>
      <c r="C72" s="551"/>
      <c r="D72" s="551"/>
      <c r="E72" s="551"/>
      <c r="F72" s="551"/>
      <c r="G72" s="551"/>
      <c r="H72" s="552"/>
      <c r="I72" s="552"/>
      <c r="J72" s="552"/>
      <c r="K72" s="552"/>
      <c r="L72" s="553"/>
      <c r="M72" s="554"/>
      <c r="N72" s="1143"/>
      <c r="O72" s="1143"/>
      <c r="P72" s="2610"/>
      <c r="Q72" s="558"/>
    </row>
    <row r="73" spans="1:17" s="468" customFormat="1" ht="15.75" thickBot="1">
      <c r="A73" s="550"/>
      <c r="B73" s="540"/>
      <c r="C73" s="557"/>
      <c r="D73" s="557"/>
      <c r="E73" s="557"/>
      <c r="F73" s="557"/>
      <c r="G73" s="557"/>
      <c r="H73" s="559"/>
      <c r="I73" s="559"/>
      <c r="J73" s="559"/>
      <c r="K73" s="559"/>
      <c r="L73" s="559"/>
      <c r="M73" s="560"/>
      <c r="N73" s="1143"/>
      <c r="O73" s="1143"/>
      <c r="P73" s="2609"/>
      <c r="Q73" s="556"/>
    </row>
    <row r="74" spans="1:17" s="468" customFormat="1" ht="15.75" thickTop="1">
      <c r="A74" s="550"/>
      <c r="B74" s="543">
        <f>B14</f>
        <v>111</v>
      </c>
      <c r="C74" s="551"/>
      <c r="D74" s="551"/>
      <c r="E74" s="551"/>
      <c r="F74" s="551"/>
      <c r="G74" s="520"/>
      <c r="H74" s="561"/>
      <c r="I74" s="561"/>
      <c r="J74" s="561"/>
      <c r="K74" s="561"/>
      <c r="L74" s="562"/>
      <c r="M74" s="563"/>
      <c r="N74" s="1143"/>
      <c r="O74" s="1143"/>
      <c r="P74" s="2611"/>
      <c r="Q74" s="556"/>
    </row>
    <row r="75" spans="1:17" s="468" customFormat="1" ht="15.75" thickBot="1">
      <c r="A75" s="565"/>
      <c r="B75" s="566"/>
      <c r="C75" s="567"/>
      <c r="D75" s="567"/>
      <c r="E75" s="567"/>
      <c r="F75" s="567"/>
      <c r="G75" s="567"/>
      <c r="H75" s="568"/>
      <c r="I75" s="568"/>
      <c r="J75" s="568"/>
      <c r="K75" s="568"/>
      <c r="L75" s="568"/>
      <c r="M75" s="569"/>
      <c r="N75" s="1143"/>
      <c r="O75" s="1143"/>
      <c r="P75" s="2609"/>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1"/>
      <c r="O76" s="1141"/>
      <c r="P76" s="2612"/>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2"/>
      <c r="O77" s="1142"/>
      <c r="P77" s="2608"/>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1"/>
      <c r="O78" s="1141"/>
      <c r="P78" s="2608"/>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2"/>
      <c r="O79" s="1142"/>
      <c r="P79" s="2608"/>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1"/>
      <c r="O80" s="1141"/>
      <c r="P80" s="2608"/>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2"/>
      <c r="O81" s="1142"/>
      <c r="P81" s="2608"/>
      <c r="Q81" s="501"/>
    </row>
    <row r="82" spans="1:17" ht="15.75" thickTop="1">
      <c r="A82" s="531"/>
      <c r="B82" s="543" t="s">
        <v>2087</v>
      </c>
      <c r="C82" s="536" t="s">
        <v>2587</v>
      </c>
      <c r="D82" s="536" t="s">
        <v>2588</v>
      </c>
      <c r="E82" s="536" t="s">
        <v>2589</v>
      </c>
      <c r="F82" s="536" t="s">
        <v>2590</v>
      </c>
      <c r="G82" s="536" t="s">
        <v>2591</v>
      </c>
      <c r="H82" s="536"/>
      <c r="I82" s="536"/>
      <c r="J82" s="536"/>
      <c r="K82" s="536"/>
      <c r="L82" s="536"/>
      <c r="M82" s="1371"/>
      <c r="N82" s="1142"/>
      <c r="O82" s="1142"/>
      <c r="P82" s="2608"/>
      <c r="Q82" s="501"/>
    </row>
    <row r="83" spans="1:17" ht="15.75" thickBot="1">
      <c r="A83" s="531"/>
      <c r="B83" s="543"/>
      <c r="C83" s="657">
        <v>100</v>
      </c>
      <c r="D83" s="657">
        <f>C83-$K21</f>
        <v>99</v>
      </c>
      <c r="E83" s="657">
        <f t="shared" ref="E83:G83" si="23">D83-$K21</f>
        <v>98</v>
      </c>
      <c r="F83" s="657">
        <f t="shared" si="23"/>
        <v>97</v>
      </c>
      <c r="G83" s="657">
        <f t="shared" si="23"/>
        <v>96</v>
      </c>
      <c r="H83" s="657"/>
      <c r="I83" s="657"/>
      <c r="J83" s="657"/>
      <c r="K83" s="657"/>
      <c r="L83" s="657"/>
      <c r="M83" s="447"/>
      <c r="N83" s="1142"/>
      <c r="O83" s="1142"/>
      <c r="P83" s="2608"/>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1"/>
      <c r="O84" s="1141"/>
      <c r="P84" s="2608"/>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2"/>
      <c r="O85" s="1142"/>
      <c r="P85" s="2608"/>
      <c r="Q85" s="501"/>
    </row>
    <row r="86" spans="1:17" s="115" customFormat="1" ht="15.75" thickTop="1">
      <c r="A86" s="576"/>
      <c r="B86" s="535" t="s">
        <v>2593</v>
      </c>
      <c r="C86" s="551"/>
      <c r="D86" s="551"/>
      <c r="E86" s="551"/>
      <c r="F86" s="551"/>
      <c r="G86" s="551"/>
      <c r="H86" s="551"/>
      <c r="I86" s="551"/>
      <c r="J86" s="551"/>
      <c r="K86" s="551"/>
      <c r="L86" s="577"/>
      <c r="M86" s="578"/>
      <c r="N86" s="1140"/>
      <c r="O86" s="1140"/>
      <c r="P86" s="2608"/>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2"/>
      <c r="O87" s="1142"/>
      <c r="P87" s="2608"/>
      <c r="Q87" s="501"/>
    </row>
    <row r="88" spans="1:17" s="115" customFormat="1" ht="15.75" thickTop="1">
      <c r="A88" s="576"/>
      <c r="B88" s="535" t="s">
        <v>2594</v>
      </c>
      <c r="C88" s="551"/>
      <c r="D88" s="551"/>
      <c r="E88" s="551"/>
      <c r="F88" s="2613"/>
      <c r="G88" s="551"/>
      <c r="H88" s="551"/>
      <c r="I88" s="551"/>
      <c r="J88" s="551"/>
      <c r="K88" s="551"/>
      <c r="L88" s="551"/>
      <c r="M88" s="578"/>
      <c r="N88" s="1140"/>
      <c r="O88" s="1140"/>
      <c r="P88" s="2608"/>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2"/>
      <c r="O89" s="1142"/>
      <c r="P89" s="2608"/>
      <c r="Q89" s="501"/>
    </row>
    <row r="90" spans="1:17" s="468" customFormat="1" ht="15.75" thickTop="1">
      <c r="A90" s="550"/>
      <c r="B90" s="535">
        <f>B27</f>
        <v>111</v>
      </c>
      <c r="C90" s="551"/>
      <c r="D90" s="551"/>
      <c r="E90" s="551"/>
      <c r="F90" s="551"/>
      <c r="G90" s="551"/>
      <c r="H90" s="552"/>
      <c r="I90" s="552"/>
      <c r="J90" s="552"/>
      <c r="K90" s="552"/>
      <c r="L90" s="553"/>
      <c r="M90" s="554"/>
      <c r="N90" s="1143"/>
      <c r="O90" s="1143"/>
      <c r="P90" s="2609"/>
      <c r="Q90" s="556"/>
    </row>
    <row r="91" spans="1:17" s="468" customFormat="1" ht="15.75" thickBot="1">
      <c r="A91" s="550"/>
      <c r="B91" s="540"/>
      <c r="C91" s="557"/>
      <c r="D91" s="557"/>
      <c r="E91" s="557"/>
      <c r="F91" s="557"/>
      <c r="G91" s="557"/>
      <c r="H91" s="559"/>
      <c r="I91" s="559"/>
      <c r="J91" s="559"/>
      <c r="K91" s="559"/>
      <c r="L91" s="559"/>
      <c r="M91" s="560"/>
      <c r="N91" s="1143"/>
      <c r="O91" s="1143"/>
      <c r="P91" s="2609"/>
      <c r="Q91" s="556"/>
    </row>
    <row r="92" spans="1:17" ht="15.75" thickTop="1">
      <c r="A92" s="531"/>
      <c r="B92" s="535">
        <f>B28</f>
        <v>111</v>
      </c>
      <c r="C92" s="551"/>
      <c r="D92" s="551"/>
      <c r="E92" s="551"/>
      <c r="F92" s="551"/>
      <c r="G92" s="580"/>
      <c r="H92" s="580"/>
      <c r="I92" s="580"/>
      <c r="J92" s="580"/>
      <c r="K92" s="581"/>
      <c r="L92" s="582"/>
      <c r="M92" s="583"/>
      <c r="N92" s="1141"/>
      <c r="O92" s="1141"/>
      <c r="P92" s="2608"/>
      <c r="Q92" s="501"/>
    </row>
    <row r="93" spans="1:17" ht="15.75" thickBot="1">
      <c r="A93" s="531"/>
      <c r="B93" s="540"/>
      <c r="C93" s="557"/>
      <c r="D93" s="533"/>
      <c r="E93" s="533"/>
      <c r="F93" s="533"/>
      <c r="G93" s="533"/>
      <c r="H93" s="533"/>
      <c r="I93" s="533"/>
      <c r="J93" s="533"/>
      <c r="K93" s="533"/>
      <c r="L93" s="533"/>
      <c r="M93" s="534"/>
      <c r="N93" s="1142"/>
      <c r="O93" s="1142"/>
      <c r="P93" s="2608"/>
      <c r="Q93" s="501"/>
    </row>
    <row r="94" spans="1:17" ht="15.75" thickTop="1">
      <c r="A94" s="531"/>
      <c r="B94" s="535">
        <f>B29</f>
        <v>111</v>
      </c>
      <c r="C94" s="551"/>
      <c r="D94" s="551"/>
      <c r="E94" s="551"/>
      <c r="F94" s="551"/>
      <c r="G94" s="580"/>
      <c r="H94" s="580"/>
      <c r="I94" s="580"/>
      <c r="J94" s="580"/>
      <c r="K94" s="581"/>
      <c r="L94" s="582"/>
      <c r="M94" s="583"/>
      <c r="N94" s="1141"/>
      <c r="O94" s="1141"/>
      <c r="P94" s="2608"/>
      <c r="Q94" s="501"/>
    </row>
    <row r="95" spans="1:17" ht="15.75" thickBot="1">
      <c r="A95" s="531"/>
      <c r="B95" s="540"/>
      <c r="C95" s="557"/>
      <c r="D95" s="557"/>
      <c r="E95" s="557"/>
      <c r="F95" s="557"/>
      <c r="G95" s="533"/>
      <c r="H95" s="533"/>
      <c r="I95" s="533"/>
      <c r="J95" s="533"/>
      <c r="K95" s="533"/>
      <c r="L95" s="533"/>
      <c r="M95" s="534"/>
      <c r="N95" s="1142"/>
      <c r="O95" s="1142"/>
      <c r="P95" s="2608"/>
      <c r="Q95" s="501"/>
    </row>
    <row r="96" spans="1:17" ht="15.75" thickTop="1">
      <c r="A96" s="531"/>
      <c r="B96" s="535">
        <f>B30</f>
        <v>111</v>
      </c>
      <c r="C96" s="551"/>
      <c r="D96" s="551"/>
      <c r="E96" s="551"/>
      <c r="F96" s="551"/>
      <c r="G96" s="580"/>
      <c r="H96" s="580"/>
      <c r="I96" s="580"/>
      <c r="J96" s="580"/>
      <c r="K96" s="581"/>
      <c r="L96" s="582"/>
      <c r="M96" s="583"/>
      <c r="N96" s="1141"/>
      <c r="O96" s="1141"/>
      <c r="P96" s="2608"/>
      <c r="Q96" s="501"/>
    </row>
    <row r="97" spans="1:17" ht="15.75" thickBot="1">
      <c r="A97" s="531"/>
      <c r="B97" s="540"/>
      <c r="C97" s="567"/>
      <c r="D97" s="567"/>
      <c r="E97" s="567"/>
      <c r="F97" s="567"/>
      <c r="G97" s="533"/>
      <c r="H97" s="533"/>
      <c r="I97" s="533"/>
      <c r="J97" s="533"/>
      <c r="K97" s="533"/>
      <c r="L97" s="533"/>
      <c r="M97" s="534"/>
      <c r="N97" s="1142"/>
      <c r="O97" s="1142"/>
      <c r="P97" s="2608"/>
      <c r="Q97" s="501"/>
    </row>
    <row r="98" spans="1:17" ht="15.75" thickTop="1">
      <c r="A98" s="531"/>
      <c r="B98" s="543">
        <f>B31</f>
        <v>111</v>
      </c>
      <c r="C98" s="584"/>
      <c r="D98" s="584"/>
      <c r="E98" s="584"/>
      <c r="F98" s="584"/>
      <c r="G98" s="584"/>
      <c r="H98" s="584"/>
      <c r="I98" s="584"/>
      <c r="J98" s="584"/>
      <c r="K98" s="585"/>
      <c r="L98" s="586"/>
      <c r="M98" s="587"/>
      <c r="N98" s="1141"/>
      <c r="O98" s="1141"/>
      <c r="P98" s="2608"/>
      <c r="Q98" s="501"/>
    </row>
    <row r="99" spans="1:17" ht="15.75" thickBot="1">
      <c r="A99" s="2614"/>
      <c r="B99" s="566"/>
      <c r="C99" s="588"/>
      <c r="D99" s="588"/>
      <c r="E99" s="588"/>
      <c r="F99" s="588"/>
      <c r="G99" s="588"/>
      <c r="H99" s="588"/>
      <c r="I99" s="588"/>
      <c r="J99" s="588"/>
      <c r="K99" s="588"/>
      <c r="L99" s="588"/>
      <c r="M99" s="589"/>
      <c r="N99" s="1142"/>
      <c r="O99" s="1142"/>
      <c r="P99" s="2608"/>
      <c r="Q99" s="501"/>
    </row>
    <row r="100" spans="1:17">
      <c r="A100" s="524" t="s">
        <v>2546</v>
      </c>
      <c r="B100" s="525" t="s">
        <v>2595</v>
      </c>
      <c r="C100" s="2949" t="s">
        <v>3231</v>
      </c>
      <c r="D100" s="2949" t="s">
        <v>3232</v>
      </c>
      <c r="E100" s="2949" t="s">
        <v>3234</v>
      </c>
      <c r="F100" s="527"/>
      <c r="G100" s="527"/>
      <c r="H100" s="527"/>
      <c r="I100" s="527"/>
      <c r="J100" s="527"/>
      <c r="K100" s="528"/>
      <c r="L100" s="529"/>
      <c r="M100" s="530"/>
      <c r="N100" s="1141"/>
      <c r="O100" s="1141"/>
      <c r="P100" s="2608"/>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2"/>
      <c r="O101" s="1142"/>
      <c r="P101" s="2608"/>
      <c r="Q101" s="501"/>
    </row>
    <row r="102" spans="1:17" ht="29.25" thickTop="1">
      <c r="A102" s="531"/>
      <c r="B102" s="535" t="s">
        <v>2596</v>
      </c>
      <c r="C102" s="575" t="str">
        <f>C103&amp;"(含)"&amp;"-"&amp;D103</f>
        <v>0(含)-100000</v>
      </c>
      <c r="D102" s="575" t="str">
        <f t="shared" ref="D102:L102" si="27">D103&amp;"(含)"&amp;"-"&amp;E103</f>
        <v>100000(含)-500000</v>
      </c>
      <c r="E102" s="575" t="str">
        <f t="shared" si="27"/>
        <v>500000(含)-1000000</v>
      </c>
      <c r="F102" s="575" t="str">
        <f t="shared" si="27"/>
        <v>1000000(含)-5000000</v>
      </c>
      <c r="G102" s="575" t="str">
        <f t="shared" si="27"/>
        <v>5000000(含)-10000000</v>
      </c>
      <c r="H102" s="575" t="str">
        <f t="shared" si="27"/>
        <v>10000000(含)-</v>
      </c>
      <c r="I102" s="575" t="str">
        <f t="shared" si="27"/>
        <v>(含)-</v>
      </c>
      <c r="J102" s="575" t="str">
        <f t="shared" si="27"/>
        <v>(含)-</v>
      </c>
      <c r="K102" s="575" t="str">
        <f>K103&amp;"(含)"&amp;"-"&amp;L103</f>
        <v>(含)-</v>
      </c>
      <c r="L102" s="575" t="str">
        <f t="shared" si="27"/>
        <v>(含)-</v>
      </c>
      <c r="M102" s="575" t="str">
        <f>M103&amp;"(含)"&amp;"-"&amp;P103</f>
        <v>(含)-</v>
      </c>
      <c r="N102" s="1140"/>
      <c r="O102" s="1140"/>
      <c r="P102" s="2608"/>
      <c r="Q102" s="501"/>
    </row>
    <row r="103" spans="1:17" s="468" customFormat="1">
      <c r="A103" s="590"/>
      <c r="B103" s="591"/>
      <c r="C103" s="592">
        <v>0</v>
      </c>
      <c r="D103" s="592">
        <v>100000</v>
      </c>
      <c r="E103" s="592">
        <v>500000</v>
      </c>
      <c r="F103" s="592">
        <v>1000000</v>
      </c>
      <c r="G103" s="592">
        <v>5000000</v>
      </c>
      <c r="H103" s="592">
        <v>10000000</v>
      </c>
      <c r="I103" s="592"/>
      <c r="J103" s="593"/>
      <c r="K103" s="593"/>
      <c r="L103" s="594"/>
      <c r="M103" s="595"/>
      <c r="N103" s="1143"/>
      <c r="O103" s="1143"/>
      <c r="P103" s="2609"/>
      <c r="Q103" s="556"/>
    </row>
    <row r="104" spans="1:17" s="468" customFormat="1" ht="15.75" thickBot="1">
      <c r="A104" s="550"/>
      <c r="B104" s="540"/>
      <c r="C104" s="557">
        <v>100</v>
      </c>
      <c r="D104" s="533">
        <f>C104+1</f>
        <v>101</v>
      </c>
      <c r="E104" s="533">
        <f t="shared" ref="E104:G104" si="28">D104+1</f>
        <v>102</v>
      </c>
      <c r="F104" s="533">
        <f t="shared" si="28"/>
        <v>103</v>
      </c>
      <c r="G104" s="533">
        <f t="shared" si="28"/>
        <v>104</v>
      </c>
      <c r="H104" s="533"/>
      <c r="I104" s="533"/>
      <c r="J104" s="533"/>
      <c r="K104" s="533"/>
      <c r="L104" s="533"/>
      <c r="M104" s="533"/>
      <c r="N104" s="1142"/>
      <c r="O104" s="1142"/>
      <c r="P104" s="2609"/>
      <c r="Q104" s="556"/>
    </row>
    <row r="105" spans="1:17" ht="15" thickTop="1">
      <c r="A105" s="596"/>
      <c r="B105" s="535" t="s">
        <v>2597</v>
      </c>
      <c r="C105" s="2950" t="s">
        <v>3236</v>
      </c>
      <c r="D105" s="551"/>
      <c r="E105" s="580"/>
      <c r="F105" s="580"/>
      <c r="G105" s="580"/>
      <c r="H105" s="580"/>
      <c r="I105" s="580"/>
      <c r="J105" s="580"/>
      <c r="K105" s="581"/>
      <c r="L105" s="582"/>
      <c r="M105" s="583"/>
      <c r="N105" s="1141"/>
      <c r="O105" s="1141"/>
      <c r="P105" s="2608"/>
      <c r="Q105" s="501"/>
    </row>
    <row r="106" spans="1:17" ht="15.75" thickBot="1">
      <c r="A106" s="531"/>
      <c r="B106" s="540"/>
      <c r="C106" s="541">
        <v>100</v>
      </c>
      <c r="D106" s="541">
        <f t="shared" ref="D106:M106" si="29">C106-$K34</f>
        <v>98</v>
      </c>
      <c r="E106" s="541">
        <f t="shared" si="29"/>
        <v>96</v>
      </c>
      <c r="F106" s="541">
        <f t="shared" si="29"/>
        <v>94</v>
      </c>
      <c r="G106" s="541">
        <f t="shared" si="29"/>
        <v>92</v>
      </c>
      <c r="H106" s="541">
        <f t="shared" si="29"/>
        <v>90</v>
      </c>
      <c r="I106" s="541">
        <f t="shared" si="29"/>
        <v>88</v>
      </c>
      <c r="J106" s="541">
        <f t="shared" si="29"/>
        <v>86</v>
      </c>
      <c r="K106" s="541">
        <f t="shared" si="29"/>
        <v>84</v>
      </c>
      <c r="L106" s="541">
        <f t="shared" si="29"/>
        <v>82</v>
      </c>
      <c r="M106" s="541">
        <f t="shared" si="29"/>
        <v>80</v>
      </c>
      <c r="N106" s="1142"/>
      <c r="O106" s="1142"/>
      <c r="P106" s="2608"/>
      <c r="Q106" s="501"/>
    </row>
    <row r="107" spans="1:17" ht="15" thickTop="1">
      <c r="A107" s="596"/>
      <c r="B107" s="535" t="s">
        <v>2598</v>
      </c>
      <c r="C107" s="2951" t="s">
        <v>3237</v>
      </c>
      <c r="D107" s="2951" t="s">
        <v>3239</v>
      </c>
      <c r="E107" s="580"/>
      <c r="F107" s="580"/>
      <c r="G107" s="580"/>
      <c r="H107" s="580"/>
      <c r="I107" s="580"/>
      <c r="J107" s="580"/>
      <c r="K107" s="581"/>
      <c r="L107" s="582"/>
      <c r="M107" s="583"/>
      <c r="N107" s="1141"/>
      <c r="O107" s="1141"/>
      <c r="P107" s="2608"/>
      <c r="Q107" s="501"/>
    </row>
    <row r="108" spans="1:17" ht="15.75" thickBot="1">
      <c r="A108" s="531"/>
      <c r="B108" s="540"/>
      <c r="C108" s="541">
        <v>100</v>
      </c>
      <c r="D108" s="541">
        <f t="shared" ref="D108:M108" si="30">C108-$K35</f>
        <v>95</v>
      </c>
      <c r="E108" s="541">
        <f t="shared" si="30"/>
        <v>90</v>
      </c>
      <c r="F108" s="541">
        <f t="shared" si="30"/>
        <v>85</v>
      </c>
      <c r="G108" s="541">
        <f t="shared" si="30"/>
        <v>80</v>
      </c>
      <c r="H108" s="541">
        <f t="shared" si="30"/>
        <v>75</v>
      </c>
      <c r="I108" s="541">
        <f t="shared" si="30"/>
        <v>70</v>
      </c>
      <c r="J108" s="541">
        <f t="shared" si="30"/>
        <v>65</v>
      </c>
      <c r="K108" s="541">
        <f t="shared" si="30"/>
        <v>60</v>
      </c>
      <c r="L108" s="541">
        <f t="shared" si="30"/>
        <v>55</v>
      </c>
      <c r="M108" s="541">
        <f t="shared" si="30"/>
        <v>50</v>
      </c>
      <c r="N108" s="1142"/>
      <c r="O108" s="1142"/>
      <c r="P108" s="2608"/>
      <c r="Q108" s="501"/>
    </row>
    <row r="109" spans="1:17" ht="15" thickTop="1">
      <c r="A109" s="596"/>
      <c r="B109" s="535" t="s">
        <v>2599</v>
      </c>
      <c r="C109" s="2950" t="s">
        <v>3241</v>
      </c>
      <c r="D109" s="2950" t="s">
        <v>3242</v>
      </c>
      <c r="E109" s="2950" t="s">
        <v>3243</v>
      </c>
      <c r="F109" s="2951" t="s">
        <v>3245</v>
      </c>
      <c r="G109" s="580"/>
      <c r="H109" s="580"/>
      <c r="I109" s="580"/>
      <c r="J109" s="580"/>
      <c r="K109" s="581"/>
      <c r="L109" s="582"/>
      <c r="M109" s="583"/>
      <c r="N109" s="1141"/>
      <c r="O109" s="1141"/>
      <c r="P109" s="2608"/>
      <c r="Q109" s="501"/>
    </row>
    <row r="110" spans="1:17" ht="15.75" thickBot="1">
      <c r="A110" s="531"/>
      <c r="B110" s="540"/>
      <c r="C110" s="541">
        <v>100</v>
      </c>
      <c r="D110" s="541">
        <f t="shared" ref="D110:M110" si="31">C110-$K36</f>
        <v>98</v>
      </c>
      <c r="E110" s="541">
        <f t="shared" si="31"/>
        <v>96</v>
      </c>
      <c r="F110" s="541">
        <f t="shared" si="31"/>
        <v>94</v>
      </c>
      <c r="G110" s="541">
        <f t="shared" si="31"/>
        <v>92</v>
      </c>
      <c r="H110" s="541">
        <f t="shared" si="31"/>
        <v>90</v>
      </c>
      <c r="I110" s="541">
        <f t="shared" si="31"/>
        <v>88</v>
      </c>
      <c r="J110" s="541">
        <f t="shared" si="31"/>
        <v>86</v>
      </c>
      <c r="K110" s="541">
        <f t="shared" si="31"/>
        <v>84</v>
      </c>
      <c r="L110" s="541">
        <f t="shared" si="31"/>
        <v>82</v>
      </c>
      <c r="M110" s="541">
        <f t="shared" si="31"/>
        <v>80</v>
      </c>
      <c r="N110" s="1142"/>
      <c r="O110" s="1142"/>
      <c r="P110" s="2608"/>
      <c r="Q110" s="501"/>
    </row>
    <row r="111" spans="1:17" s="468" customFormat="1" ht="15" thickTop="1">
      <c r="A111" s="590"/>
      <c r="B111" s="535" t="s">
        <v>1987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3"/>
      <c r="O111" s="1143"/>
      <c r="P111" s="2609"/>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3"/>
      <c r="O112" s="1143"/>
      <c r="P112" s="2609"/>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43"/>
      <c r="O113" s="1143"/>
      <c r="P113" s="2609"/>
      <c r="Q113" s="556"/>
    </row>
    <row r="114" spans="1:17" ht="15" thickTop="1">
      <c r="A114" s="596"/>
      <c r="B114" s="535" t="s">
        <v>2600</v>
      </c>
      <c r="C114" s="2950" t="s">
        <v>3247</v>
      </c>
      <c r="D114" s="551"/>
      <c r="E114" s="580"/>
      <c r="F114" s="580"/>
      <c r="G114" s="580"/>
      <c r="H114" s="580"/>
      <c r="I114" s="580"/>
      <c r="J114" s="580"/>
      <c r="K114" s="581"/>
      <c r="L114" s="582"/>
      <c r="M114" s="583"/>
      <c r="N114" s="1141"/>
      <c r="O114" s="1141"/>
      <c r="P114" s="2608"/>
      <c r="Q114" s="501"/>
    </row>
    <row r="115" spans="1:17" ht="15.75" thickBot="1">
      <c r="A115" s="531"/>
      <c r="B115" s="540"/>
      <c r="C115" s="541">
        <v>100</v>
      </c>
      <c r="D115" s="541">
        <f t="shared" ref="D115:M115" si="32">C115-$K38</f>
        <v>98</v>
      </c>
      <c r="E115" s="541">
        <f t="shared" si="32"/>
        <v>96</v>
      </c>
      <c r="F115" s="541">
        <f t="shared" si="32"/>
        <v>94</v>
      </c>
      <c r="G115" s="541">
        <f t="shared" si="32"/>
        <v>92</v>
      </c>
      <c r="H115" s="541">
        <f t="shared" si="32"/>
        <v>90</v>
      </c>
      <c r="I115" s="541">
        <f t="shared" si="32"/>
        <v>88</v>
      </c>
      <c r="J115" s="541">
        <f t="shared" si="32"/>
        <v>86</v>
      </c>
      <c r="K115" s="541">
        <f t="shared" si="32"/>
        <v>84</v>
      </c>
      <c r="L115" s="541">
        <f t="shared" si="32"/>
        <v>82</v>
      </c>
      <c r="M115" s="541">
        <f t="shared" si="32"/>
        <v>80</v>
      </c>
      <c r="N115" s="1142"/>
      <c r="O115" s="1142"/>
      <c r="P115" s="2608"/>
      <c r="Q115" s="501"/>
    </row>
    <row r="116" spans="1:17" ht="15" thickTop="1">
      <c r="A116" s="596"/>
      <c r="B116" s="535" t="s">
        <v>2601</v>
      </c>
      <c r="C116" s="2950" t="s">
        <v>3248</v>
      </c>
      <c r="D116" s="2950" t="s">
        <v>3249</v>
      </c>
      <c r="E116" s="551"/>
      <c r="F116" s="551"/>
      <c r="G116" s="551"/>
      <c r="H116" s="580"/>
      <c r="I116" s="580"/>
      <c r="J116" s="580"/>
      <c r="K116" s="581"/>
      <c r="L116" s="582"/>
      <c r="M116" s="583"/>
      <c r="N116" s="1141"/>
      <c r="O116" s="1141"/>
      <c r="P116" s="2608"/>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2"/>
      <c r="O117" s="1142"/>
      <c r="P117" s="2608"/>
      <c r="Q117" s="501"/>
    </row>
    <row r="118" spans="1:17" ht="15" thickTop="1">
      <c r="A118" s="596"/>
      <c r="B118" s="535" t="s">
        <v>2602</v>
      </c>
      <c r="C118" s="580"/>
      <c r="D118" s="580"/>
      <c r="E118" s="580"/>
      <c r="F118" s="580"/>
      <c r="G118" s="580"/>
      <c r="H118" s="580"/>
      <c r="I118" s="580"/>
      <c r="J118" s="580"/>
      <c r="K118" s="581"/>
      <c r="L118" s="582"/>
      <c r="M118" s="583"/>
      <c r="N118" s="1141"/>
      <c r="O118" s="1141"/>
      <c r="P118" s="2608"/>
      <c r="Q118" s="501"/>
    </row>
    <row r="119" spans="1:17" ht="15.75" thickBot="1">
      <c r="A119" s="531"/>
      <c r="B119" s="540"/>
      <c r="C119" s="541">
        <v>100</v>
      </c>
      <c r="D119" s="541">
        <f t="shared" ref="D119:M119" si="33">C119-$K40</f>
        <v>100</v>
      </c>
      <c r="E119" s="541">
        <f t="shared" si="33"/>
        <v>100</v>
      </c>
      <c r="F119" s="541">
        <f t="shared" si="33"/>
        <v>100</v>
      </c>
      <c r="G119" s="541">
        <f t="shared" si="33"/>
        <v>100</v>
      </c>
      <c r="H119" s="541">
        <f t="shared" si="33"/>
        <v>100</v>
      </c>
      <c r="I119" s="541">
        <f t="shared" si="33"/>
        <v>100</v>
      </c>
      <c r="J119" s="541">
        <f t="shared" si="33"/>
        <v>100</v>
      </c>
      <c r="K119" s="541">
        <f t="shared" si="33"/>
        <v>100</v>
      </c>
      <c r="L119" s="541">
        <f t="shared" si="33"/>
        <v>100</v>
      </c>
      <c r="M119" s="541">
        <f t="shared" si="33"/>
        <v>100</v>
      </c>
      <c r="N119" s="1142"/>
      <c r="O119" s="1142"/>
      <c r="P119" s="2608"/>
      <c r="Q119" s="501"/>
    </row>
    <row r="120" spans="1:17" s="468" customFormat="1" ht="28.5" thickTop="1">
      <c r="A120" s="590"/>
      <c r="B120" s="535" t="s">
        <v>2557</v>
      </c>
      <c r="C120" s="551"/>
      <c r="D120" s="551"/>
      <c r="E120" s="551"/>
      <c r="F120" s="551"/>
      <c r="G120" s="551"/>
      <c r="H120" s="551"/>
      <c r="I120" s="551"/>
      <c r="J120" s="551"/>
      <c r="K120" s="551"/>
      <c r="L120" s="577"/>
      <c r="M120" s="578"/>
      <c r="N120" s="1143"/>
      <c r="O120" s="1143"/>
      <c r="P120" s="2609"/>
      <c r="Q120" s="556"/>
    </row>
    <row r="121" spans="1:17" s="468" customFormat="1" ht="15.75" thickBot="1">
      <c r="A121" s="550"/>
      <c r="B121" s="532"/>
      <c r="C121" s="557"/>
      <c r="D121" s="533"/>
      <c r="E121" s="533"/>
      <c r="F121" s="533"/>
      <c r="G121" s="533"/>
      <c r="H121" s="533"/>
      <c r="I121" s="533"/>
      <c r="J121" s="533"/>
      <c r="K121" s="533"/>
      <c r="L121" s="533"/>
      <c r="M121" s="533"/>
      <c r="N121" s="1143"/>
      <c r="O121" s="1143"/>
      <c r="P121" s="2609"/>
      <c r="Q121" s="556"/>
    </row>
    <row r="122" spans="1:17" ht="15" thickTop="1">
      <c r="A122" s="596"/>
      <c r="B122" s="535" t="s">
        <v>2603</v>
      </c>
      <c r="C122" s="551" t="str">
        <f>C109</f>
        <v>精装修</v>
      </c>
      <c r="D122" s="551" t="str">
        <f t="shared" ref="D122:F122" si="34">D109</f>
        <v>普通装修</v>
      </c>
      <c r="E122" s="551" t="str">
        <f t="shared" si="34"/>
        <v>简单装修</v>
      </c>
      <c r="F122" s="551" t="str">
        <f t="shared" si="34"/>
        <v>毛坯</v>
      </c>
      <c r="G122" s="580"/>
      <c r="H122" s="580"/>
      <c r="I122" s="580"/>
      <c r="J122" s="580"/>
      <c r="K122" s="581"/>
      <c r="L122" s="582"/>
      <c r="M122" s="583"/>
      <c r="N122" s="1141"/>
      <c r="O122" s="1141"/>
      <c r="P122" s="2608"/>
      <c r="Q122" s="501"/>
    </row>
    <row r="123" spans="1:17" ht="15.75" thickBot="1">
      <c r="A123" s="531"/>
      <c r="B123" s="540"/>
      <c r="C123" s="541">
        <v>100</v>
      </c>
      <c r="D123" s="541">
        <f t="shared" ref="D123:M123" si="35">C123-$K42</f>
        <v>98</v>
      </c>
      <c r="E123" s="541">
        <f t="shared" si="35"/>
        <v>96</v>
      </c>
      <c r="F123" s="541">
        <f t="shared" si="35"/>
        <v>94</v>
      </c>
      <c r="G123" s="541">
        <f t="shared" si="35"/>
        <v>92</v>
      </c>
      <c r="H123" s="541">
        <f t="shared" si="35"/>
        <v>90</v>
      </c>
      <c r="I123" s="541">
        <f t="shared" si="35"/>
        <v>88</v>
      </c>
      <c r="J123" s="541">
        <f t="shared" si="35"/>
        <v>86</v>
      </c>
      <c r="K123" s="541">
        <f t="shared" si="35"/>
        <v>84</v>
      </c>
      <c r="L123" s="541">
        <f t="shared" si="35"/>
        <v>82</v>
      </c>
      <c r="M123" s="541">
        <f t="shared" si="35"/>
        <v>80</v>
      </c>
      <c r="N123" s="1142"/>
      <c r="O123" s="1142"/>
      <c r="P123" s="2608"/>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1"/>
      <c r="O124" s="1141"/>
      <c r="P124" s="2609"/>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2"/>
      <c r="O125" s="1142"/>
      <c r="P125" s="2608"/>
      <c r="Q125" s="501"/>
    </row>
    <row r="126" spans="1:17" s="468" customFormat="1" ht="15" thickTop="1">
      <c r="A126" s="590"/>
      <c r="B126" s="535">
        <f>B44</f>
        <v>111</v>
      </c>
      <c r="C126" s="551"/>
      <c r="D126" s="551"/>
      <c r="E126" s="551"/>
      <c r="F126" s="551"/>
      <c r="G126" s="551"/>
      <c r="H126" s="552"/>
      <c r="I126" s="552"/>
      <c r="J126" s="552"/>
      <c r="K126" s="552"/>
      <c r="L126" s="553"/>
      <c r="M126" s="554"/>
      <c r="N126" s="1143"/>
      <c r="O126" s="1143"/>
      <c r="P126" s="2609"/>
      <c r="Q126" s="556"/>
    </row>
    <row r="127" spans="1:17" s="468" customFormat="1" ht="15.75" thickBot="1">
      <c r="A127" s="550"/>
      <c r="B127" s="540"/>
      <c r="C127" s="557"/>
      <c r="D127" s="533"/>
      <c r="E127" s="533"/>
      <c r="F127" s="533"/>
      <c r="G127" s="557"/>
      <c r="H127" s="559"/>
      <c r="I127" s="559"/>
      <c r="J127" s="559"/>
      <c r="K127" s="559"/>
      <c r="L127" s="559"/>
      <c r="M127" s="560"/>
      <c r="N127" s="1143"/>
      <c r="O127" s="1143"/>
      <c r="P127" s="2609"/>
      <c r="Q127" s="556"/>
    </row>
    <row r="128" spans="1:17" ht="15" thickTop="1">
      <c r="A128" s="596"/>
      <c r="B128" s="535">
        <f>B45</f>
        <v>111</v>
      </c>
      <c r="C128" s="551"/>
      <c r="D128" s="551"/>
      <c r="E128" s="551"/>
      <c r="F128" s="551"/>
      <c r="G128" s="580"/>
      <c r="H128" s="580"/>
      <c r="I128" s="580"/>
      <c r="J128" s="580"/>
      <c r="K128" s="581"/>
      <c r="L128" s="582"/>
      <c r="M128" s="583"/>
      <c r="N128" s="1141"/>
      <c r="O128" s="1141"/>
      <c r="P128" s="2608"/>
      <c r="Q128" s="501"/>
    </row>
    <row r="129" spans="1:17" ht="15.75" thickBot="1">
      <c r="A129" s="531"/>
      <c r="B129" s="540"/>
      <c r="C129" s="557"/>
      <c r="D129" s="557"/>
      <c r="E129" s="557"/>
      <c r="F129" s="557"/>
      <c r="G129" s="533"/>
      <c r="H129" s="533"/>
      <c r="I129" s="533"/>
      <c r="J129" s="533"/>
      <c r="K129" s="533"/>
      <c r="L129" s="533"/>
      <c r="M129" s="534"/>
      <c r="N129" s="1142"/>
      <c r="O129" s="1142"/>
      <c r="P129" s="2608"/>
      <c r="Q129" s="501"/>
    </row>
    <row r="130" spans="1:17" ht="15" thickTop="1">
      <c r="A130" s="596"/>
      <c r="B130" s="543">
        <f>B46</f>
        <v>111</v>
      </c>
      <c r="C130" s="551"/>
      <c r="D130" s="551"/>
      <c r="E130" s="551"/>
      <c r="F130" s="551"/>
      <c r="G130" s="584"/>
      <c r="H130" s="584"/>
      <c r="I130" s="584"/>
      <c r="J130" s="584"/>
      <c r="K130" s="520"/>
      <c r="L130" s="521"/>
      <c r="M130" s="587"/>
      <c r="N130" s="1141"/>
      <c r="O130" s="1141"/>
      <c r="P130" s="2608"/>
      <c r="Q130" s="501"/>
    </row>
    <row r="131" spans="1:17" ht="15.75" thickBot="1">
      <c r="A131" s="2614"/>
      <c r="B131" s="566"/>
      <c r="C131" s="567"/>
      <c r="D131" s="567"/>
      <c r="E131" s="567"/>
      <c r="F131" s="567"/>
      <c r="G131" s="588"/>
      <c r="H131" s="588"/>
      <c r="I131" s="588"/>
      <c r="J131" s="588"/>
      <c r="K131" s="588"/>
      <c r="L131" s="588"/>
      <c r="M131" s="589"/>
      <c r="N131" s="1142"/>
      <c r="O131" s="1142"/>
      <c r="P131" s="2608"/>
      <c r="Q131" s="501"/>
    </row>
    <row r="136" spans="1:17" ht="15" thickBot="1">
      <c r="B136" s="2615" t="s">
        <v>2605</v>
      </c>
    </row>
    <row r="137" spans="1:17" ht="15">
      <c r="B137" s="2616" t="s">
        <v>2606</v>
      </c>
      <c r="C137" s="2617"/>
      <c r="D137" s="2617"/>
      <c r="E137" s="2617"/>
      <c r="F137" s="2617"/>
      <c r="G137" s="2618"/>
      <c r="H137" s="2619"/>
      <c r="I137" s="2620" t="s">
        <v>2607</v>
      </c>
      <c r="J137" s="2617"/>
      <c r="K137" s="2621"/>
    </row>
    <row r="138" spans="1:17" ht="15">
      <c r="B138" s="2622"/>
      <c r="C138" s="144" t="s">
        <v>2608</v>
      </c>
      <c r="D138" s="144" t="s">
        <v>2609</v>
      </c>
      <c r="E138" s="2623" t="s">
        <v>2610</v>
      </c>
      <c r="F138" s="2624" t="s">
        <v>2611</v>
      </c>
      <c r="G138" s="144" t="s">
        <v>2609</v>
      </c>
      <c r="H138" s="145" t="s">
        <v>2610</v>
      </c>
      <c r="I138" s="2625"/>
      <c r="J138" s="144" t="s">
        <v>2612</v>
      </c>
      <c r="K138" s="145" t="s">
        <v>2613</v>
      </c>
    </row>
    <row r="139" spans="1:17" ht="15">
      <c r="B139" s="1073">
        <v>6</v>
      </c>
      <c r="C139" s="1074">
        <v>96</v>
      </c>
      <c r="D139" s="2626" t="s">
        <v>2614</v>
      </c>
      <c r="E139" s="1075">
        <v>100</v>
      </c>
      <c r="F139" s="1076">
        <v>102.5</v>
      </c>
      <c r="G139" s="2626" t="s">
        <v>2614</v>
      </c>
      <c r="H139" s="1077">
        <v>105</v>
      </c>
      <c r="I139" s="2627" t="s">
        <v>2615</v>
      </c>
      <c r="J139" s="1074">
        <v>20</v>
      </c>
      <c r="K139" s="1078">
        <f>C145/(J139-2)</f>
        <v>4.0555555555555553E-3</v>
      </c>
    </row>
    <row r="140" spans="1:17" ht="15">
      <c r="B140" s="1079">
        <v>5</v>
      </c>
      <c r="C140" s="1080">
        <v>100</v>
      </c>
      <c r="D140" s="1080"/>
      <c r="E140" s="1081"/>
      <c r="F140" s="1082">
        <v>102</v>
      </c>
      <c r="G140" s="1080"/>
      <c r="H140" s="1083"/>
      <c r="I140" s="2628" t="s">
        <v>2616</v>
      </c>
      <c r="J140" s="313">
        <f>ROUNDUP((J139-1)/2,0)</f>
        <v>10</v>
      </c>
      <c r="K140" s="1084">
        <v>100</v>
      </c>
    </row>
    <row r="141" spans="1:17" ht="15">
      <c r="B141" s="1079">
        <v>4</v>
      </c>
      <c r="C141" s="1080">
        <v>102</v>
      </c>
      <c r="D141" s="1080"/>
      <c r="E141" s="1081"/>
      <c r="F141" s="1082">
        <v>101.5</v>
      </c>
      <c r="G141" s="1080"/>
      <c r="H141" s="1083"/>
      <c r="I141" s="2628" t="s">
        <v>2617</v>
      </c>
      <c r="J141" s="313">
        <v>1</v>
      </c>
      <c r="K141" s="1085">
        <f>ROUND(100+(J141-J140)*K139*100,1)</f>
        <v>96.4</v>
      </c>
    </row>
    <row r="142" spans="1:17" ht="15">
      <c r="B142" s="1079">
        <v>3</v>
      </c>
      <c r="C142" s="1080">
        <v>103</v>
      </c>
      <c r="D142" s="1080"/>
      <c r="E142" s="1081"/>
      <c r="F142" s="1082">
        <v>101</v>
      </c>
      <c r="G142" s="1080"/>
      <c r="H142" s="1083"/>
      <c r="I142" s="2628" t="s">
        <v>2618</v>
      </c>
      <c r="J142" s="313">
        <f>J139</f>
        <v>20</v>
      </c>
      <c r="K142" s="1086">
        <v>95</v>
      </c>
    </row>
    <row r="143" spans="1:17" ht="15">
      <c r="B143" s="1079">
        <v>2</v>
      </c>
      <c r="C143" s="1080">
        <v>100</v>
      </c>
      <c r="D143" s="1080"/>
      <c r="E143" s="1081"/>
      <c r="F143" s="1082">
        <v>100.5</v>
      </c>
      <c r="G143" s="1080"/>
      <c r="H143" s="1083"/>
      <c r="I143" s="2628" t="s">
        <v>2619</v>
      </c>
      <c r="J143" s="1080">
        <v>15</v>
      </c>
      <c r="K143" s="1085">
        <f>ROUND(100+(J143-J140)*K139*100,1)</f>
        <v>102</v>
      </c>
    </row>
    <row r="144" spans="1:17" ht="15">
      <c r="B144" s="1079">
        <v>1</v>
      </c>
      <c r="C144" s="1080">
        <v>98</v>
      </c>
      <c r="D144" s="2629" t="s">
        <v>2620</v>
      </c>
      <c r="E144" s="1081">
        <v>102</v>
      </c>
      <c r="F144" s="1087">
        <v>100</v>
      </c>
      <c r="G144" s="2629" t="s">
        <v>2620</v>
      </c>
      <c r="H144" s="1083">
        <v>105</v>
      </c>
      <c r="I144" s="2628" t="s">
        <v>2619</v>
      </c>
      <c r="J144" s="1080">
        <v>18</v>
      </c>
      <c r="K144" s="1085">
        <f>ROUND(100+(J144-J140)*K139*100,1)</f>
        <v>103.2</v>
      </c>
    </row>
    <row r="145" spans="2:11" ht="15.75" thickBot="1">
      <c r="B145" s="2630" t="s">
        <v>2621</v>
      </c>
      <c r="C145" s="1088">
        <f>ROUND(MAX(C139:C144)/MIN(C139:C144)-1,3)</f>
        <v>7.2999999999999995E-2</v>
      </c>
      <c r="D145" s="1089"/>
      <c r="E145" s="1089"/>
      <c r="F145" s="2631" t="s">
        <v>2622</v>
      </c>
      <c r="G145" s="2632"/>
      <c r="H145" s="2633"/>
      <c r="I145" s="2634" t="s">
        <v>2619</v>
      </c>
      <c r="J145" s="1090">
        <v>8</v>
      </c>
      <c r="K145" s="1091">
        <f>ROUND(100+(J145-J140)*K139*100,1)</f>
        <v>99.2</v>
      </c>
    </row>
    <row r="147" spans="2:11">
      <c r="B147" s="2615" t="s">
        <v>2623</v>
      </c>
    </row>
    <row r="148" spans="2:11">
      <c r="B148" s="2615"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0"/>
  </cols>
  <sheetData>
    <row r="1" spans="1:37" s="335" customFormat="1" ht="21">
      <c r="A1" s="1820" t="s">
        <v>1584</v>
      </c>
      <c r="B1" s="779"/>
      <c r="C1" s="1824" t="s">
        <v>1373</v>
      </c>
      <c r="D1" s="1807" t="s">
        <v>4706</v>
      </c>
      <c r="E1" s="1808" t="s">
        <v>1382</v>
      </c>
      <c r="F1" s="1272">
        <f ca="1">J53</f>
        <v>34.21</v>
      </c>
      <c r="G1" s="182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0" t="s">
        <v>1510</v>
      </c>
      <c r="B2" s="1831">
        <f ca="1">C40+J29+L46</f>
        <v>84786</v>
      </c>
      <c r="C2" s="1832" t="s">
        <v>1511</v>
      </c>
      <c r="D2" s="1832"/>
      <c r="E2" s="1833"/>
      <c r="F2" s="1834"/>
      <c r="G2" s="1835"/>
      <c r="H2" s="1827"/>
      <c r="I2" s="1827"/>
      <c r="J2" s="1827"/>
      <c r="K2" s="1828"/>
      <c r="L2" s="1827"/>
      <c r="M2" s="1827"/>
    </row>
    <row r="3" spans="1:37" ht="18" customHeight="1" thickBot="1">
      <c r="A3" s="1836" t="s">
        <v>1512</v>
      </c>
      <c r="B3" s="1837">
        <f ca="1">IF(ISERROR(B2*10000/F43),0,ROUND(B2*10000/F43,0))</f>
        <v>12714</v>
      </c>
      <c r="C3" s="1832" t="s">
        <v>1513</v>
      </c>
      <c r="D3" s="1832"/>
      <c r="E3" s="1833"/>
      <c r="F3" s="1834"/>
      <c r="G3" s="1835"/>
      <c r="H3" s="741" t="s">
        <v>1583</v>
      </c>
      <c r="I3" s="1827"/>
      <c r="J3" s="1827"/>
      <c r="K3" s="1828"/>
      <c r="L3" s="1827"/>
      <c r="M3" s="1827"/>
    </row>
    <row r="4" spans="1:37" ht="18" customHeight="1">
      <c r="A4" s="338" t="s">
        <v>1391</v>
      </c>
      <c r="B4" s="339" t="s">
        <v>1392</v>
      </c>
      <c r="C4" s="339" t="s">
        <v>1393</v>
      </c>
      <c r="D4" s="339" t="s">
        <v>1394</v>
      </c>
      <c r="E4" s="340" t="s">
        <v>1395</v>
      </c>
      <c r="F4" s="341"/>
      <c r="G4" s="1838"/>
      <c r="H4" s="338" t="s">
        <v>1391</v>
      </c>
      <c r="I4" s="339" t="s">
        <v>1392</v>
      </c>
      <c r="J4" s="339" t="s">
        <v>1393</v>
      </c>
      <c r="K4" s="339" t="s">
        <v>1394</v>
      </c>
      <c r="L4" s="340" t="s">
        <v>1395</v>
      </c>
      <c r="M4" s="341"/>
    </row>
    <row r="5" spans="1:37" ht="18" customHeight="1">
      <c r="A5" s="342">
        <v>1</v>
      </c>
      <c r="B5" s="343" t="s">
        <v>1396</v>
      </c>
      <c r="C5" s="1281">
        <f ca="1">C6+C10+C12</f>
        <v>5265</v>
      </c>
      <c r="D5" s="1809" t="s">
        <v>1397</v>
      </c>
      <c r="E5" s="1282"/>
      <c r="F5" s="1283"/>
      <c r="G5" s="1838"/>
      <c r="H5" s="342">
        <v>1</v>
      </c>
      <c r="I5" s="343" t="s">
        <v>1396</v>
      </c>
      <c r="J5" s="1281">
        <f ca="1">J6+J10+J12</f>
        <v>0</v>
      </c>
      <c r="K5" s="1809" t="s">
        <v>1397</v>
      </c>
      <c r="L5" s="1282"/>
      <c r="M5" s="1283"/>
    </row>
    <row r="6" spans="1:37" ht="18" customHeight="1">
      <c r="A6" s="1280" t="s">
        <v>1032</v>
      </c>
      <c r="B6" s="3298" t="s">
        <v>1398</v>
      </c>
      <c r="C6" s="1285">
        <f ca="1">ROUND(F6*F8*F7*(1-F9)/10000,0)</f>
        <v>5258</v>
      </c>
      <c r="D6" s="162" t="s">
        <v>3012</v>
      </c>
      <c r="E6" s="345" t="s">
        <v>1400</v>
      </c>
      <c r="F6" s="346">
        <f ca="1">INDIRECT("'数据-取费表'!u"&amp;$G$1)</f>
        <v>2.4</v>
      </c>
      <c r="G6" s="1838"/>
      <c r="H6" s="1280" t="s">
        <v>1032</v>
      </c>
      <c r="I6" s="3298" t="s">
        <v>1398</v>
      </c>
      <c r="J6" s="344">
        <f ca="1">ROUND(M6*M8*M7*(1-M9)/10000,0)</f>
        <v>0</v>
      </c>
      <c r="K6" s="162" t="s">
        <v>3011</v>
      </c>
      <c r="L6" s="345" t="s">
        <v>1400</v>
      </c>
      <c r="M6" s="346">
        <f ca="1">INDIRECT("'数据-取费表'!z"&amp;$G$1)</f>
        <v>0</v>
      </c>
    </row>
    <row r="7" spans="1:37" ht="18" customHeight="1">
      <c r="A7" s="1284"/>
      <c r="B7" s="3299"/>
      <c r="C7" s="1286"/>
      <c r="D7" s="350"/>
      <c r="E7" s="1287" t="s">
        <v>1401</v>
      </c>
      <c r="F7" s="346">
        <f ca="1">IF(INDIRECT("'数据-取费表'!ah"&amp;$G$1)="",INDIRECT("'数据-取费表'!k"&amp;$G$1),INDIRECT("'数据-取费表'!ah"&amp;$G$1))</f>
        <v>66687.25</v>
      </c>
      <c r="G7" s="1838"/>
      <c r="H7" s="347"/>
      <c r="I7" s="3299"/>
      <c r="J7" s="349"/>
      <c r="K7" s="350"/>
      <c r="L7" s="345" t="s">
        <v>1401</v>
      </c>
      <c r="M7" s="346">
        <f ca="1">F7</f>
        <v>66687.25</v>
      </c>
    </row>
    <row r="8" spans="1:37" ht="18" customHeight="1">
      <c r="A8" s="347"/>
      <c r="B8" s="3299"/>
      <c r="C8" s="349"/>
      <c r="D8" s="350"/>
      <c r="E8" s="345" t="s">
        <v>1402</v>
      </c>
      <c r="F8" s="346">
        <f ca="1">INDIRECT("'数据-取费表'!ai"&amp;$G$1)</f>
        <v>365</v>
      </c>
      <c r="G8" s="1838"/>
      <c r="H8" s="347"/>
      <c r="I8" s="3299"/>
      <c r="J8" s="349"/>
      <c r="K8" s="350"/>
      <c r="L8" s="345" t="s">
        <v>1402</v>
      </c>
      <c r="M8" s="346">
        <f ca="1">INDIRECT("'数据-取费表'!ai"&amp;$G$1)</f>
        <v>365</v>
      </c>
    </row>
    <row r="9" spans="1:37" ht="18" customHeight="1">
      <c r="A9" s="347"/>
      <c r="B9" s="3300"/>
      <c r="C9" s="349"/>
      <c r="D9" s="350"/>
      <c r="E9" s="345" t="s">
        <v>1403</v>
      </c>
      <c r="F9" s="355">
        <f ca="1">INDIRECT("'数据-取费表'!w"&amp;$G$1)</f>
        <v>0.1</v>
      </c>
      <c r="G9" s="1838"/>
      <c r="H9" s="347"/>
      <c r="I9" s="3300"/>
      <c r="J9" s="349"/>
      <c r="K9" s="350"/>
      <c r="L9" s="356" t="s">
        <v>1403</v>
      </c>
      <c r="M9" s="357">
        <f ca="1">INDIRECT("'数据-取费表'!ab"&amp;$G$1)</f>
        <v>0</v>
      </c>
    </row>
    <row r="10" spans="1:37" ht="18" customHeight="1">
      <c r="A10" s="1280" t="s">
        <v>1036</v>
      </c>
      <c r="B10" s="1810" t="s">
        <v>1404</v>
      </c>
      <c r="C10" s="359">
        <f ca="1">ROUND(IF(F10="押一",C6/12*F11,IF(F10="押二",C6/12*2*F11,IF(F10="押三",C6/12*3*F11,C11*F11))),0)</f>
        <v>7</v>
      </c>
      <c r="D10" s="1811" t="s">
        <v>3021</v>
      </c>
      <c r="E10" s="356" t="s">
        <v>1405</v>
      </c>
      <c r="F10" s="1355" t="s">
        <v>4443</v>
      </c>
      <c r="G10" s="1838"/>
      <c r="H10" s="1280" t="s">
        <v>1036</v>
      </c>
      <c r="I10" s="1810" t="s">
        <v>1404</v>
      </c>
      <c r="J10" s="344">
        <f ca="1">ROUND(IF(M10="押一",J6/12*M11,IF(M10="押二",J6/12*2*M11,IF(M10="押三",J6/12*3*M11,J11*M11))),0)</f>
        <v>0</v>
      </c>
      <c r="K10" s="1811" t="s">
        <v>3020</v>
      </c>
      <c r="L10" s="356" t="s">
        <v>1405</v>
      </c>
      <c r="M10" s="1355" t="s">
        <v>1406</v>
      </c>
    </row>
    <row r="11" spans="1:37" ht="18" customHeight="1">
      <c r="A11" s="351"/>
      <c r="B11" s="1812" t="s">
        <v>1383</v>
      </c>
      <c r="C11" s="1167"/>
      <c r="D11" s="1813"/>
      <c r="E11" s="356" t="s">
        <v>1407</v>
      </c>
      <c r="F11" s="357">
        <f ca="1">'数据-取费表'!B39</f>
        <v>1.4999999999999999E-2</v>
      </c>
      <c r="G11" s="1838"/>
      <c r="H11" s="1288"/>
      <c r="I11" s="1812" t="s">
        <v>1383</v>
      </c>
      <c r="J11" s="1167"/>
      <c r="K11" s="745"/>
      <c r="L11" s="356" t="s">
        <v>1407</v>
      </c>
      <c r="M11" s="1045">
        <f ca="1">'数据-取费表'!B39</f>
        <v>1.4999999999999999E-2</v>
      </c>
    </row>
    <row r="12" spans="1:37" ht="18" customHeight="1" thickBot="1">
      <c r="A12" s="1322" t="s">
        <v>1072</v>
      </c>
      <c r="B12" s="1814" t="s">
        <v>1408</v>
      </c>
      <c r="C12" s="1323"/>
      <c r="D12" s="1324"/>
      <c r="E12" s="1329"/>
      <c r="F12" s="1325"/>
      <c r="G12" s="1838"/>
      <c r="H12" s="1322" t="s">
        <v>1072</v>
      </c>
      <c r="I12" s="1814" t="s">
        <v>1408</v>
      </c>
      <c r="J12" s="1323"/>
      <c r="K12" s="1337"/>
      <c r="L12" s="1329"/>
      <c r="M12" s="1338"/>
    </row>
    <row r="13" spans="1:37" ht="18" customHeight="1" thickTop="1">
      <c r="A13" s="1318">
        <v>2</v>
      </c>
      <c r="B13" s="1319" t="s">
        <v>1409</v>
      </c>
      <c r="C13" s="353">
        <f ca="1">ROUND(C29*F13,0)</f>
        <v>23151</v>
      </c>
      <c r="D13" s="1320" t="s">
        <v>1410</v>
      </c>
      <c r="E13" s="1320" t="s">
        <v>1411</v>
      </c>
      <c r="F13" s="1321">
        <f ca="1">INDIRECT("'数据-取费表'!y"&amp;$G$1)</f>
        <v>1</v>
      </c>
      <c r="G13" s="1838"/>
      <c r="H13" s="1318">
        <v>2</v>
      </c>
      <c r="I13" s="1319" t="s">
        <v>1409</v>
      </c>
      <c r="J13" s="1279">
        <f ca="1">ROUND(J14*J15,0)</f>
        <v>0</v>
      </c>
      <c r="K13" s="1326" t="s">
        <v>1410</v>
      </c>
      <c r="L13" s="1839"/>
      <c r="M13" s="1840"/>
    </row>
    <row r="14" spans="1:37" ht="18" customHeight="1">
      <c r="A14" s="1190" t="s">
        <v>1031</v>
      </c>
      <c r="B14" s="345" t="s">
        <v>1412</v>
      </c>
      <c r="C14" s="361">
        <f ca="1">INDIRECT("'数据-取费表'!m"&amp;$G$1)+INDIRECT("'数据-取费表'!t"&amp;$G$1)</f>
        <v>14671</v>
      </c>
      <c r="D14" s="1787" t="s">
        <v>1413</v>
      </c>
      <c r="E14" s="1781"/>
      <c r="F14" s="362"/>
      <c r="G14" s="1838"/>
      <c r="H14" s="1190" t="s">
        <v>1032</v>
      </c>
      <c r="I14" s="345" t="s">
        <v>1414</v>
      </c>
      <c r="J14" s="23">
        <f ca="1">C29</f>
        <v>23151</v>
      </c>
      <c r="K14" s="14"/>
      <c r="L14" s="969"/>
      <c r="M14" s="970"/>
    </row>
    <row r="15" spans="1:37" s="1845" customFormat="1" ht="18" customHeight="1" thickBot="1">
      <c r="A15" s="1190" t="s">
        <v>1033</v>
      </c>
      <c r="B15" s="345" t="s">
        <v>1415</v>
      </c>
      <c r="C15" s="23">
        <f ca="1">ROUND(C14*F15,0)</f>
        <v>440</v>
      </c>
      <c r="D15" s="363" t="s">
        <v>1416</v>
      </c>
      <c r="E15" s="363" t="s">
        <v>1417</v>
      </c>
      <c r="F15" s="364">
        <f>'数据-取费表'!B33</f>
        <v>0.03</v>
      </c>
      <c r="G15" s="1841"/>
      <c r="H15" s="1328" t="s">
        <v>1036</v>
      </c>
      <c r="I15" s="1329" t="s">
        <v>1411</v>
      </c>
      <c r="J15" s="1338">
        <f ca="1">INDIRECT("'数据-取费表'!ad"&amp;$G$1)</f>
        <v>0</v>
      </c>
      <c r="K15" s="1339"/>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0" t="s">
        <v>1384</v>
      </c>
      <c r="B16" s="345" t="s">
        <v>1418</v>
      </c>
      <c r="C16" s="23">
        <f ca="1">ROUND(INDIRECT("'数据-取费表'!m"&amp;$G$1)*F16,0)</f>
        <v>0</v>
      </c>
      <c r="D16" s="345" t="s">
        <v>1416</v>
      </c>
      <c r="E16" s="345" t="s">
        <v>1417</v>
      </c>
      <c r="F16" s="365">
        <f ca="1">IF(INDIRECT("'数据-取费表'!c"&amp;$G$1)="住宅",'数据-取费表'!B34,0)</f>
        <v>0</v>
      </c>
      <c r="G16" s="1838"/>
      <c r="H16" s="1318" t="s">
        <v>1027</v>
      </c>
      <c r="I16" s="1319" t="s">
        <v>1419</v>
      </c>
      <c r="J16" s="353">
        <f ca="1">ROUND(J17+J22+J23+J24,0)</f>
        <v>436</v>
      </c>
      <c r="K16" s="1326" t="s">
        <v>1420</v>
      </c>
      <c r="L16" s="1327"/>
      <c r="M16" s="1283"/>
    </row>
    <row r="17" spans="1:37" s="1845" customFormat="1" ht="18" customHeight="1">
      <c r="A17" s="1190" t="s">
        <v>1385</v>
      </c>
      <c r="B17" s="345" t="s">
        <v>1421</v>
      </c>
      <c r="C17" s="23">
        <f ca="1">ROUND(F17*(F43+INDIRECT("'数据-取费表'!S"&amp;$G$1))/10000,0)</f>
        <v>1334</v>
      </c>
      <c r="D17" s="345" t="s">
        <v>1422</v>
      </c>
      <c r="E17" s="345" t="s">
        <v>1423</v>
      </c>
      <c r="F17" s="25">
        <f>'数据-取费表'!B35</f>
        <v>200</v>
      </c>
      <c r="G17" s="1841"/>
      <c r="H17" s="1190" t="s">
        <v>1032</v>
      </c>
      <c r="I17" s="345" t="s">
        <v>1424</v>
      </c>
      <c r="J17" s="23">
        <f ca="1">ROUND(IF(项目基本情况!B11="自然人",J6*M17/(1+'数据-取费表'!C42),J18+J19+J20),1)</f>
        <v>204</v>
      </c>
      <c r="K17" s="1787" t="s">
        <v>1425</v>
      </c>
      <c r="L17" s="1785" t="s">
        <v>1426</v>
      </c>
      <c r="M17" s="366"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0" t="s">
        <v>1386</v>
      </c>
      <c r="B18" s="345" t="s">
        <v>1427</v>
      </c>
      <c r="C18" s="23">
        <f ca="1">ROUND(C14*F18,0)</f>
        <v>220</v>
      </c>
      <c r="D18" s="345" t="s">
        <v>1416</v>
      </c>
      <c r="E18" s="345" t="s">
        <v>1417</v>
      </c>
      <c r="F18" s="365">
        <f>'数据-取费表'!B36</f>
        <v>1.4999999999999999E-2</v>
      </c>
      <c r="G18" s="1841"/>
      <c r="H18" s="1190" t="s">
        <v>1031</v>
      </c>
      <c r="I18" s="345" t="s">
        <v>1428</v>
      </c>
      <c r="J18" s="23">
        <f ca="1">ROUND(J6*M18/(1+'数据-取费表'!C42),2)</f>
        <v>0</v>
      </c>
      <c r="K18" s="1785" t="s">
        <v>1429</v>
      </c>
      <c r="L18" s="345" t="s">
        <v>1417</v>
      </c>
      <c r="M18" s="365">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0" t="s">
        <v>1032</v>
      </c>
      <c r="B19" s="345" t="s">
        <v>1430</v>
      </c>
      <c r="C19" s="23">
        <f ca="1">SUM(C14:C18)</f>
        <v>16665</v>
      </c>
      <c r="D19" s="138" t="s">
        <v>1431</v>
      </c>
      <c r="E19" s="1805"/>
      <c r="F19" s="25"/>
      <c r="G19" s="1838"/>
      <c r="H19" s="1190" t="s">
        <v>1033</v>
      </c>
      <c r="I19" s="345" t="s">
        <v>1432</v>
      </c>
      <c r="J19" s="23">
        <f ca="1">IF(K19="按租金收入计税",ROUND(J6*M19/(1+'数据-取费表'!C42),2),ROUND(C29*M19*0.7,2))</f>
        <v>194.47</v>
      </c>
      <c r="K19" s="1815" t="s">
        <v>1433</v>
      </c>
      <c r="L19" s="345" t="s">
        <v>1417</v>
      </c>
      <c r="M19" s="365">
        <f>IF(K19="按租金收入计税",'数据-取费表'!B51,'数据-取费表'!B50)</f>
        <v>1.2E-2</v>
      </c>
    </row>
    <row r="20" spans="1:37" s="1845" customFormat="1" ht="18" customHeight="1">
      <c r="A20" s="1190" t="s">
        <v>1036</v>
      </c>
      <c r="B20" s="345" t="s">
        <v>1434</v>
      </c>
      <c r="C20" s="23">
        <f ca="1">ROUND(C19*F20,0)</f>
        <v>333</v>
      </c>
      <c r="D20" s="367" t="s">
        <v>1435</v>
      </c>
      <c r="E20" s="345" t="s">
        <v>1417</v>
      </c>
      <c r="F20" s="365">
        <f>'数据-取费表'!B37</f>
        <v>0.02</v>
      </c>
      <c r="G20" s="1841"/>
      <c r="H20" s="1190" t="s">
        <v>1384</v>
      </c>
      <c r="I20" s="162" t="s">
        <v>1436</v>
      </c>
      <c r="J20" s="24">
        <f ca="1">ROUND(M20*M21/10000,2)</f>
        <v>9.5299999999999994</v>
      </c>
      <c r="K20" s="368" t="s">
        <v>1437</v>
      </c>
      <c r="L20" s="345" t="s">
        <v>1438</v>
      </c>
      <c r="M20" s="369">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0" t="s">
        <v>1072</v>
      </c>
      <c r="B21" s="345" t="s">
        <v>1439</v>
      </c>
      <c r="C21" s="23" t="s">
        <v>18</v>
      </c>
      <c r="D21" s="367" t="s">
        <v>1440</v>
      </c>
      <c r="E21" s="345" t="s">
        <v>1441</v>
      </c>
      <c r="F21" s="365">
        <f>'数据-取费表'!B38</f>
        <v>0.01</v>
      </c>
      <c r="G21" s="1841"/>
      <c r="H21" s="370"/>
      <c r="I21" s="354"/>
      <c r="J21" s="28"/>
      <c r="K21" s="371"/>
      <c r="L21" s="345" t="s">
        <v>1442</v>
      </c>
      <c r="M21" s="346">
        <f ca="1">INDIRECT("'数据-取费表'!r"&amp;$G$1)</f>
        <v>19053.5</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0" t="s">
        <v>1387</v>
      </c>
      <c r="B22" s="345" t="s">
        <v>1443</v>
      </c>
      <c r="C22" s="23"/>
      <c r="D22" s="138" t="str">
        <f>IF(F23&lt;=1,"单利计息。","复利计息。")&amp;"建造成本、管理费用、销售费用产生的利息。"</f>
        <v>复利计息。建造成本、管理费用、销售费用产生的利息。</v>
      </c>
      <c r="E22" s="1805"/>
      <c r="F22" s="25"/>
      <c r="G22" s="1838"/>
      <c r="H22" s="1190" t="s">
        <v>1036</v>
      </c>
      <c r="I22" s="345" t="s">
        <v>1444</v>
      </c>
      <c r="J22" s="23">
        <f ca="1">ROUND(J14*M22,1)</f>
        <v>231.5</v>
      </c>
      <c r="K22" s="1785" t="s">
        <v>1445</v>
      </c>
      <c r="L22" s="345" t="s">
        <v>1417</v>
      </c>
      <c r="M22" s="372">
        <f ca="1">INDIRECT("'数据-取费表'!Ak"&amp;$G$1)</f>
        <v>0.01</v>
      </c>
    </row>
    <row r="23" spans="1:37" s="1845" customFormat="1" ht="18" customHeight="1">
      <c r="A23" s="1190" t="s">
        <v>1031</v>
      </c>
      <c r="B23" s="345" t="s">
        <v>1446</v>
      </c>
      <c r="C23" s="23">
        <f ca="1">IF('数据-取费表'!B22&lt;=1,ROUND(C19*F24*F23/2,0)+ROUND(C20*F24*F23/2,0),ROUND(C19*(POWER((1+F24),F23/2)-1),0)+ROUND(C20*(POWER((1+F24),F23/2)-1),0))</f>
        <v>1225</v>
      </c>
      <c r="D23" s="373" t="str">
        <f>IF(F23&lt;=1,"(建造成本+管理费用)×利率×(建设周期÷2)","(建造成本+管理费用)×((1+利率)^(建设周期÷2)-1)")</f>
        <v>(建造成本+管理费用)×((1+利率)^(建设周期÷2)-1)</v>
      </c>
      <c r="E23" s="345" t="s">
        <v>1447</v>
      </c>
      <c r="F23" s="369">
        <f>'数据-取费表'!B20</f>
        <v>3</v>
      </c>
      <c r="G23" s="1841"/>
      <c r="H23" s="1190" t="s">
        <v>1072</v>
      </c>
      <c r="I23" s="345" t="s">
        <v>1448</v>
      </c>
      <c r="J23" s="23">
        <f ca="1">ROUND(J13*M23,1)</f>
        <v>0</v>
      </c>
      <c r="K23" s="1785" t="s">
        <v>1449</v>
      </c>
      <c r="L23" s="345" t="s">
        <v>1450</v>
      </c>
      <c r="M23" s="374">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0" t="s">
        <v>1451</v>
      </c>
      <c r="B24" s="345" t="s">
        <v>1452</v>
      </c>
      <c r="C24" s="23">
        <f ca="1">ROUND(IF('数据-取费表'!B22&lt;=1,F21*F24*F23/2,F21*(POWER((1+F24),F23/2)-1)),4)</f>
        <v>6.9999999999999999E-4</v>
      </c>
      <c r="D24" s="373" t="str">
        <f>IF(F23&lt;=1,"销售费用×利率×(建设周期÷2)","销售费用×((1+利率)^(建设周期÷2)-1)")</f>
        <v>销售费用×((1+利率)^(建设周期÷2)-1)</v>
      </c>
      <c r="E24" s="345" t="s">
        <v>1453</v>
      </c>
      <c r="F24" s="375">
        <f ca="1">'数据-取费表'!B40</f>
        <v>4.7500000000000001E-2</v>
      </c>
      <c r="G24" s="1841"/>
      <c r="H24" s="1328" t="s">
        <v>1388</v>
      </c>
      <c r="I24" s="1329" t="s">
        <v>1434</v>
      </c>
      <c r="J24" s="1330">
        <f ca="1">ROUND(J5*M24,1)</f>
        <v>0</v>
      </c>
      <c r="K24" s="1331" t="s">
        <v>1454</v>
      </c>
      <c r="L24" s="1329" t="s">
        <v>1450</v>
      </c>
      <c r="M24" s="1325">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0" t="s">
        <v>1455</v>
      </c>
      <c r="B25" s="345" t="s">
        <v>1456</v>
      </c>
      <c r="C25" s="23"/>
      <c r="D25" s="138" t="s">
        <v>1457</v>
      </c>
      <c r="E25" s="1805"/>
      <c r="F25" s="25"/>
      <c r="G25" s="1838"/>
      <c r="H25" s="1318" t="s">
        <v>1028</v>
      </c>
      <c r="I25" s="1333" t="s">
        <v>1458</v>
      </c>
      <c r="J25" s="353">
        <f ca="1">J5-J16</f>
        <v>-436</v>
      </c>
      <c r="K25" s="1334" t="s">
        <v>1459</v>
      </c>
      <c r="L25" s="1335"/>
      <c r="M25" s="1336"/>
    </row>
    <row r="26" spans="1:37">
      <c r="A26" s="1190" t="s">
        <v>1031</v>
      </c>
      <c r="B26" s="345" t="s">
        <v>1460</v>
      </c>
      <c r="C26" s="23">
        <f ca="1">ROUND((C19+C20)*F26,0)</f>
        <v>3400</v>
      </c>
      <c r="D26" s="367" t="s">
        <v>1461</v>
      </c>
      <c r="E26" s="356" t="s">
        <v>1462</v>
      </c>
      <c r="F26" s="355">
        <f ca="1">INDIRECT("'数据-取费表'!q"&amp;$G$1)</f>
        <v>0.2</v>
      </c>
      <c r="G26" s="1838"/>
      <c r="H26" s="342" t="s">
        <v>1029</v>
      </c>
      <c r="I26" s="343" t="s">
        <v>1463</v>
      </c>
      <c r="J26" s="344">
        <f ca="1">IF(J5&lt;&gt;0,ROUND(J25*(1-((1+M28)/(1+M26))^M27)/(M26-M28),0),0)</f>
        <v>0</v>
      </c>
      <c r="K26" s="368" t="s">
        <v>1464</v>
      </c>
      <c r="L26" s="345" t="s">
        <v>1465</v>
      </c>
      <c r="M26" s="355">
        <f ca="1">INDIRECT("'数据-取费表'!I"&amp;$G$1)</f>
        <v>5.5E-2</v>
      </c>
    </row>
    <row r="27" spans="1:37" ht="18" customHeight="1">
      <c r="A27" s="1190" t="s">
        <v>1033</v>
      </c>
      <c r="B27" s="345" t="s">
        <v>1466</v>
      </c>
      <c r="C27" s="23">
        <f ca="1">ROUND(F21*F26,4)</f>
        <v>2E-3</v>
      </c>
      <c r="D27" s="367" t="s">
        <v>1467</v>
      </c>
      <c r="E27" s="363"/>
      <c r="F27" s="364"/>
      <c r="G27" s="1838"/>
      <c r="H27" s="347"/>
      <c r="I27" s="348"/>
      <c r="J27" s="349"/>
      <c r="K27" s="376" t="s">
        <v>1468</v>
      </c>
      <c r="L27" s="345" t="s">
        <v>1469</v>
      </c>
      <c r="M27" s="377">
        <f ca="1">INDIRECT("'数据-取费表'!ag"&amp;$G$1)</f>
        <v>0</v>
      </c>
    </row>
    <row r="28" spans="1:37" s="1845" customFormat="1" ht="18" customHeight="1">
      <c r="A28" s="1190" t="s">
        <v>1034</v>
      </c>
      <c r="B28" s="345" t="s">
        <v>1470</v>
      </c>
      <c r="C28" s="23">
        <f>ROUND(F28/(1+'数据-取费表'!C42),4)</f>
        <v>5.33E-2</v>
      </c>
      <c r="D28" s="367" t="s">
        <v>1471</v>
      </c>
      <c r="E28" s="345" t="s">
        <v>1417</v>
      </c>
      <c r="F28" s="365">
        <f>'数据-取费表'!B41</f>
        <v>5.6000000000000001E-2</v>
      </c>
      <c r="G28" s="1841"/>
      <c r="H28" s="351"/>
      <c r="I28" s="352"/>
      <c r="J28" s="353"/>
      <c r="K28" s="371"/>
      <c r="L28" s="345" t="s">
        <v>1472</v>
      </c>
      <c r="M28" s="355">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8" t="s">
        <v>1035</v>
      </c>
      <c r="B29" s="1329" t="s">
        <v>1473</v>
      </c>
      <c r="C29" s="1330">
        <f ca="1">ROUND((C19+C20+C23+C26)/(1-F21-C24-C27-C28),0)</f>
        <v>23151</v>
      </c>
      <c r="D29" s="1331"/>
      <c r="E29" s="1329"/>
      <c r="F29" s="1332"/>
      <c r="G29" s="1841"/>
      <c r="H29" s="378" t="s">
        <v>1030</v>
      </c>
      <c r="I29" s="379" t="s">
        <v>1474</v>
      </c>
      <c r="J29" s="380">
        <f ca="1">ROUND(J26/(1+F40)^F41,0)</f>
        <v>0</v>
      </c>
      <c r="K29" s="381" t="s">
        <v>1475</v>
      </c>
      <c r="L29" s="382"/>
      <c r="M29" s="383">
        <f ca="1">INDIRECT("'数据-取费表'!k"&amp;$G$1)</f>
        <v>66687.25</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8" t="s">
        <v>1027</v>
      </c>
      <c r="B30" s="1319" t="s">
        <v>1419</v>
      </c>
      <c r="C30" s="353">
        <f ca="1">ROUND(C31+C36+C37+C38,0)</f>
        <v>1210</v>
      </c>
      <c r="D30" s="1326" t="s">
        <v>1420</v>
      </c>
      <c r="E30" s="1327"/>
      <c r="F30" s="1283"/>
      <c r="G30" s="1838"/>
      <c r="H30" s="742"/>
      <c r="I30" s="743"/>
      <c r="J30" s="744"/>
      <c r="K30" s="745"/>
      <c r="L30" s="746"/>
      <c r="M30" s="747"/>
    </row>
    <row r="31" spans="1:37" ht="18" customHeight="1">
      <c r="A31" s="1190" t="s">
        <v>1032</v>
      </c>
      <c r="B31" s="345" t="s">
        <v>1424</v>
      </c>
      <c r="C31" s="23">
        <f ca="1">ROUND(IF(项目基本情况!B11="自然人",C6*F31/(1+'数据-取费表'!C42),C32+C33+C34),1)</f>
        <v>890.9</v>
      </c>
      <c r="D31" s="1787" t="s">
        <v>1425</v>
      </c>
      <c r="E31" s="1785" t="s">
        <v>1476</v>
      </c>
      <c r="F31" s="366" t="str">
        <f ca="1">IF(项目基本情况!B11="企业","",IF(INDIRECT("'数据-取费表'!c"&amp;$G$1)="住宅",5%,IF(F6*F7*F8/12/(1+'数据-取费表'!C42)&gt;20000,12%,7%)))</f>
        <v/>
      </c>
      <c r="G31" s="1838"/>
      <c r="H31" s="742"/>
      <c r="I31" s="743"/>
      <c r="J31" s="744"/>
      <c r="K31" s="745"/>
      <c r="L31" s="746"/>
      <c r="M31" s="747"/>
    </row>
    <row r="32" spans="1:37" ht="18" customHeight="1">
      <c r="A32" s="1190" t="s">
        <v>1031</v>
      </c>
      <c r="B32" s="345" t="s">
        <v>1428</v>
      </c>
      <c r="C32" s="23">
        <f ca="1">IF(项目基本情况!B11="自然人","——",ROUND(C6*F32/(1+'数据-取费表'!C42),2))</f>
        <v>280.43</v>
      </c>
      <c r="D32" s="1785" t="s">
        <v>1429</v>
      </c>
      <c r="E32" s="345" t="s">
        <v>1417</v>
      </c>
      <c r="F32" s="375">
        <f>'数据-取费表'!B41</f>
        <v>5.6000000000000001E-2</v>
      </c>
      <c r="G32" s="1838"/>
      <c r="H32" s="742"/>
      <c r="I32" s="743"/>
      <c r="J32" s="744"/>
      <c r="K32" s="745"/>
      <c r="L32" s="746"/>
      <c r="M32" s="747"/>
    </row>
    <row r="33" spans="1:18" ht="18" customHeight="1">
      <c r="A33" s="1190" t="s">
        <v>1033</v>
      </c>
      <c r="B33" s="345" t="s">
        <v>1432</v>
      </c>
      <c r="C33" s="23">
        <f ca="1">IF(项目基本情况!B11="自然人","——",IF(D33="按租金收入计税",ROUND(C6*F33/(1+'数据-取费表'!C42),2),IF(D33="按房产原值计税",ROUND(C29*F33*0.7,2),INDIRECT("'数据-取费表'!Aj"&amp;$G$1))))</f>
        <v>600.91</v>
      </c>
      <c r="D33" s="1815" t="s">
        <v>4444</v>
      </c>
      <c r="E33" s="345" t="s">
        <v>1417</v>
      </c>
      <c r="F33" s="365">
        <f>IF(D33="按票据","——",IF(D33="按租金收入计税",'数据-取费表'!B51,'数据-取费表'!B50))</f>
        <v>0.12</v>
      </c>
      <c r="G33" s="1838"/>
      <c r="H33" s="1846"/>
      <c r="I33" s="1847"/>
      <c r="J33" s="1848"/>
      <c r="K33" s="1849"/>
      <c r="L33" s="1846"/>
      <c r="M33" s="1846"/>
    </row>
    <row r="34" spans="1:18" ht="18" customHeight="1">
      <c r="A34" s="1280" t="s">
        <v>1384</v>
      </c>
      <c r="B34" s="162" t="s">
        <v>1436</v>
      </c>
      <c r="C34" s="24">
        <f ca="1">IF(项目基本情况!B11="自然人","——",ROUND(F34*F35/10000,2))</f>
        <v>9.5299999999999994</v>
      </c>
      <c r="D34" s="368" t="s">
        <v>1437</v>
      </c>
      <c r="E34" s="345" t="s">
        <v>1438</v>
      </c>
      <c r="F34" s="369">
        <f>'数据-取费表'!B52</f>
        <v>5</v>
      </c>
      <c r="G34" s="1838"/>
      <c r="H34" s="742"/>
      <c r="I34" s="1847"/>
      <c r="J34" s="1848"/>
      <c r="K34" s="1850"/>
      <c r="L34" s="1851"/>
      <c r="M34" s="1851"/>
    </row>
    <row r="35" spans="1:18" ht="18" customHeight="1">
      <c r="A35" s="1342"/>
      <c r="B35" s="1340"/>
      <c r="C35" s="28"/>
      <c r="D35" s="371"/>
      <c r="E35" s="345" t="s">
        <v>1442</v>
      </c>
      <c r="F35" s="346">
        <f ca="1">INDIRECT("'数据-取费表'!r"&amp;$G$1)</f>
        <v>19053.5</v>
      </c>
      <c r="G35" s="1838"/>
      <c r="H35" s="742"/>
      <c r="I35" s="1847"/>
      <c r="J35" s="1848"/>
      <c r="K35" s="1849"/>
      <c r="L35" s="1846"/>
      <c r="M35" s="1846"/>
    </row>
    <row r="36" spans="1:18" ht="18" customHeight="1">
      <c r="A36" s="1341" t="s">
        <v>1036</v>
      </c>
      <c r="B36" s="345" t="s">
        <v>1444</v>
      </c>
      <c r="C36" s="23">
        <f ca="1">ROUND(C29*F36,1)</f>
        <v>231.5</v>
      </c>
      <c r="D36" s="1785" t="s">
        <v>1477</v>
      </c>
      <c r="E36" s="345" t="s">
        <v>1417</v>
      </c>
      <c r="F36" s="372">
        <f ca="1">INDIRECT("'数据-取费表'!Ak"&amp;$G$1)</f>
        <v>0.01</v>
      </c>
      <c r="G36" s="1838"/>
      <c r="H36" s="1846"/>
      <c r="I36" s="1847"/>
      <c r="J36" s="1848"/>
      <c r="K36" s="748"/>
      <c r="L36" s="1846"/>
      <c r="M36" s="1846"/>
    </row>
    <row r="37" spans="1:18" ht="18" customHeight="1">
      <c r="A37" s="1190" t="s">
        <v>1072</v>
      </c>
      <c r="B37" s="345" t="s">
        <v>1448</v>
      </c>
      <c r="C37" s="23">
        <f ca="1">ROUND(C13*F37,1)</f>
        <v>34.700000000000003</v>
      </c>
      <c r="D37" s="1785" t="s">
        <v>1449</v>
      </c>
      <c r="E37" s="345" t="s">
        <v>1450</v>
      </c>
      <c r="F37" s="374">
        <f ca="1">INDIRECT("'数据-取费表'!Al"&amp;$G$1)</f>
        <v>1.5E-3</v>
      </c>
      <c r="G37" s="1838"/>
      <c r="H37" s="1846"/>
      <c r="I37" s="1847"/>
      <c r="J37" s="1848"/>
      <c r="K37" s="748"/>
      <c r="L37" s="1846"/>
      <c r="M37" s="1846"/>
    </row>
    <row r="38" spans="1:18" ht="18" customHeight="1" thickBot="1">
      <c r="A38" s="1328" t="s">
        <v>1388</v>
      </c>
      <c r="B38" s="1329" t="s">
        <v>1434</v>
      </c>
      <c r="C38" s="1330">
        <f ca="1">ROUND(C5*F38,1)</f>
        <v>52.7</v>
      </c>
      <c r="D38" s="1331" t="s">
        <v>1454</v>
      </c>
      <c r="E38" s="1329" t="s">
        <v>1450</v>
      </c>
      <c r="F38" s="1325">
        <f ca="1">INDIRECT("'数据-取费表'!Am"&amp;$G$1)</f>
        <v>0.01</v>
      </c>
      <c r="G38" s="1838"/>
      <c r="H38" s="1846"/>
      <c r="I38" s="1847"/>
      <c r="J38" s="1848"/>
      <c r="K38" s="1852"/>
      <c r="L38" s="1846"/>
      <c r="M38" s="1846"/>
    </row>
    <row r="39" spans="1:18" ht="24.6" customHeight="1" thickTop="1">
      <c r="A39" s="1318" t="s">
        <v>1028</v>
      </c>
      <c r="B39" s="1333" t="s">
        <v>1478</v>
      </c>
      <c r="C39" s="353">
        <f ca="1">C5-C30</f>
        <v>4055</v>
      </c>
      <c r="D39" s="1334" t="s">
        <v>1479</v>
      </c>
      <c r="E39" s="1335"/>
      <c r="F39" s="1336"/>
      <c r="G39" s="1838"/>
      <c r="H39" s="1846"/>
      <c r="I39" s="1847"/>
      <c r="J39" s="1848"/>
      <c r="K39" s="1852"/>
      <c r="L39" s="1846"/>
      <c r="M39" s="1846"/>
    </row>
    <row r="40" spans="1:18" ht="18" customHeight="1">
      <c r="A40" s="342" t="s">
        <v>1029</v>
      </c>
      <c r="B40" s="343" t="s">
        <v>1480</v>
      </c>
      <c r="C40" s="344">
        <f ca="1">ROUND(C39*(1-((1+F42)/(1+F40))^F41)/(F40-F42),0)</f>
        <v>84786</v>
      </c>
      <c r="D40" s="368" t="s">
        <v>1464</v>
      </c>
      <c r="E40" s="345" t="s">
        <v>1465</v>
      </c>
      <c r="F40" s="355">
        <f ca="1">INDIRECT("'数据-取费表'!I"&amp;$G$1)</f>
        <v>5.5E-2</v>
      </c>
      <c r="G40" s="1838"/>
      <c r="H40" s="1826"/>
      <c r="I40" s="1847"/>
      <c r="J40" s="1848"/>
      <c r="K40" s="1852"/>
      <c r="L40" s="1826"/>
      <c r="M40" s="1826"/>
    </row>
    <row r="41" spans="1:18" ht="18" customHeight="1">
      <c r="A41" s="347"/>
      <c r="B41" s="348"/>
      <c r="C41" s="349"/>
      <c r="D41" s="376" t="s">
        <v>1481</v>
      </c>
      <c r="E41" s="345" t="s">
        <v>1469</v>
      </c>
      <c r="F41" s="377">
        <f ca="1">IF(INDIRECT("'数据-取费表'!af"&amp;$G$1)=0,INDIRECT("'数据-取费表'!ae"&amp;$G$1),INDIRECT("'数据-取费表'!af"&amp;$G$1))</f>
        <v>34.21</v>
      </c>
      <c r="G41" s="1838"/>
      <c r="H41" s="729"/>
      <c r="I41" s="1847"/>
      <c r="J41" s="1848"/>
      <c r="K41" s="748"/>
      <c r="L41" s="729"/>
      <c r="M41" s="729"/>
    </row>
    <row r="42" spans="1:18" ht="18" customHeight="1">
      <c r="A42" s="351"/>
      <c r="B42" s="352"/>
      <c r="C42" s="353"/>
      <c r="D42" s="371"/>
      <c r="E42" s="345" t="s">
        <v>1472</v>
      </c>
      <c r="F42" s="355">
        <f ca="1">INDIRECT("'数据-取费表'!v"&amp;$G$1)</f>
        <v>2.5000000000000001E-2</v>
      </c>
      <c r="G42" s="1838"/>
      <c r="H42" s="729"/>
      <c r="I42" s="1847"/>
      <c r="J42" s="1848"/>
      <c r="K42" s="748"/>
      <c r="L42" s="729"/>
      <c r="M42" s="729"/>
    </row>
    <row r="43" spans="1:18" ht="18" customHeight="1" thickBot="1">
      <c r="A43" s="378" t="s">
        <v>1030</v>
      </c>
      <c r="B43" s="379" t="s">
        <v>1482</v>
      </c>
      <c r="C43" s="380">
        <f ca="1">ROUND(C40*10000/F43,0)</f>
        <v>12714</v>
      </c>
      <c r="D43" s="381" t="s">
        <v>1483</v>
      </c>
      <c r="E43" s="382" t="s">
        <v>1484</v>
      </c>
      <c r="F43" s="383">
        <f ca="1">INDIRECT("'数据-取费表'!k"&amp;$G$1)</f>
        <v>66687.25</v>
      </c>
      <c r="G43" s="1838"/>
      <c r="H43" s="729"/>
      <c r="I43" s="729"/>
      <c r="J43" s="729"/>
      <c r="K43" s="748"/>
      <c r="L43" s="729"/>
      <c r="M43" s="729"/>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3"/>
      <c r="O45" s="1856" t="s">
        <v>1514</v>
      </c>
      <c r="P45" s="1826"/>
      <c r="Q45" s="1826"/>
      <c r="R45" s="1826"/>
    </row>
    <row r="46" spans="1:18" s="1829" customFormat="1" ht="13.5" thickBot="1">
      <c r="A46" s="1857" t="s">
        <v>1515</v>
      </c>
      <c r="C46" s="1858">
        <f ca="1">C68-C40</f>
        <v>-118685</v>
      </c>
      <c r="D46" s="1859" t="str">
        <f>C2</f>
        <v>万元</v>
      </c>
      <c r="E46" s="1853"/>
      <c r="F46" s="1853"/>
      <c r="I46" s="1860" t="s">
        <v>1516</v>
      </c>
      <c r="J46" s="1861"/>
      <c r="K46" s="1862"/>
      <c r="L46" s="1863" t="str">
        <f ca="1">IF(M47="住宅",0,IF(L48&gt;J51,L60,J60))</f>
        <v>0</v>
      </c>
      <c r="O46" s="1864" t="s">
        <v>1517</v>
      </c>
      <c r="P46" s="1865" t="s">
        <v>1518</v>
      </c>
      <c r="Q46" s="1866" t="s">
        <v>1519</v>
      </c>
      <c r="R46" s="1866" t="s">
        <v>1520</v>
      </c>
    </row>
    <row r="47" spans="1:18" s="1829" customFormat="1" ht="13.5" thickBot="1">
      <c r="A47" s="1154" t="s">
        <v>1391</v>
      </c>
      <c r="B47" s="1186" t="s">
        <v>1392</v>
      </c>
      <c r="C47" s="1356" t="s">
        <v>1393</v>
      </c>
      <c r="D47" s="1186" t="s">
        <v>1394</v>
      </c>
      <c r="E47" s="1268" t="s">
        <v>1395</v>
      </c>
      <c r="F47" s="1269"/>
      <c r="G47" s="789"/>
      <c r="I47" s="1867" t="s">
        <v>1521</v>
      </c>
      <c r="J47" s="1868" t="s">
        <v>3235</v>
      </c>
      <c r="K47" s="1869" t="s">
        <v>1522</v>
      </c>
      <c r="L47" s="1870">
        <f ca="1">INDIRECT("'数据-取费表'!d"&amp;$G$1)</f>
        <v>40</v>
      </c>
      <c r="M47" s="1825" t="str">
        <f>IF(ISNUMBER(FIND("住宅",C1)),"住宅","非住宅")</f>
        <v>非住宅</v>
      </c>
      <c r="O47" s="1871" t="s">
        <v>1037</v>
      </c>
      <c r="P47" s="1872" t="s">
        <v>1523</v>
      </c>
      <c r="Q47" s="1873">
        <f ca="1">C40+J29</f>
        <v>84786</v>
      </c>
      <c r="R47" s="1873" t="s">
        <v>1524</v>
      </c>
    </row>
    <row r="48" spans="1:18" s="1829" customFormat="1" ht="28.5" thickBot="1">
      <c r="A48" s="1349" t="s">
        <v>1132</v>
      </c>
      <c r="B48" s="343" t="s">
        <v>1396</v>
      </c>
      <c r="C48" s="1804">
        <f ca="1">C49+C53+C55</f>
        <v>0</v>
      </c>
      <c r="D48" s="1351"/>
      <c r="E48" s="1352"/>
      <c r="F48" s="1170"/>
      <c r="G48" s="789"/>
      <c r="H48" s="790"/>
      <c r="I48" s="1874" t="s">
        <v>1525</v>
      </c>
      <c r="J48" s="1875" t="s">
        <v>4445</v>
      </c>
      <c r="K48" s="1876" t="s">
        <v>1526</v>
      </c>
      <c r="L48" s="1877">
        <f ca="1">INDIRECT("'数据-取费表'!f"&amp;$G$1)</f>
        <v>37.21</v>
      </c>
      <c r="O48" s="1871" t="s">
        <v>1038</v>
      </c>
      <c r="P48" s="1872" t="s">
        <v>1527</v>
      </c>
      <c r="Q48" s="1873" t="str">
        <f ca="1">J60</f>
        <v>0</v>
      </c>
      <c r="R48" s="1873" t="s">
        <v>1528</v>
      </c>
    </row>
    <row r="49" spans="1:18" s="1829" customFormat="1" ht="13.5" thickBot="1">
      <c r="A49" s="1183" t="s">
        <v>1133</v>
      </c>
      <c r="B49" s="1816" t="s">
        <v>1485</v>
      </c>
      <c r="C49" s="1353">
        <f ca="1">ROUND(F49*F51*F50*(1-F52)/10000,0)</f>
        <v>0</v>
      </c>
      <c r="D49" s="1265" t="s">
        <v>3013</v>
      </c>
      <c r="E49" s="1817" t="s">
        <v>1486</v>
      </c>
      <c r="F49" s="1270"/>
      <c r="G49" s="1878"/>
      <c r="H49" s="790"/>
      <c r="I49" s="1874" t="s">
        <v>1529</v>
      </c>
      <c r="J49" s="1879">
        <v>2020</v>
      </c>
      <c r="K49" s="1876" t="s">
        <v>1530</v>
      </c>
      <c r="L49" s="1880"/>
      <c r="O49" s="1881" t="s">
        <v>1039</v>
      </c>
      <c r="P49" s="1872" t="s">
        <v>1531</v>
      </c>
      <c r="Q49" s="1873">
        <f ca="1">C29</f>
        <v>23151</v>
      </c>
      <c r="R49" s="1873" t="s">
        <v>1524</v>
      </c>
    </row>
    <row r="50" spans="1:18" s="1829" customFormat="1" ht="13.5" thickBot="1">
      <c r="A50" s="1184"/>
      <c r="B50" s="1187"/>
      <c r="C50" s="1357"/>
      <c r="D50" s="1161"/>
      <c r="E50" s="1266" t="s">
        <v>1401</v>
      </c>
      <c r="F50" s="1267">
        <f ca="1">F7</f>
        <v>66687.25</v>
      </c>
      <c r="H50" s="790"/>
      <c r="I50" s="1874" t="s">
        <v>1532</v>
      </c>
      <c r="J50" s="1882">
        <f>SUMPRODUCT((I63:I65=J47)*(J62:L62=J48)*(J63:L65))</f>
        <v>60</v>
      </c>
      <c r="K50" s="1876" t="s">
        <v>1533</v>
      </c>
      <c r="L50" s="1880"/>
      <c r="M50" s="1883"/>
      <c r="O50" s="1881" t="s">
        <v>1040</v>
      </c>
      <c r="P50" s="1872" t="s">
        <v>1534</v>
      </c>
      <c r="Q50" s="1884" t="e">
        <f ca="1">J58</f>
        <v>#VALUE!</v>
      </c>
      <c r="R50" s="1873"/>
    </row>
    <row r="51" spans="1:18" s="1829" customFormat="1" ht="13.5" thickBot="1">
      <c r="A51" s="1185"/>
      <c r="B51" s="1187"/>
      <c r="C51" s="1188"/>
      <c r="D51" s="1161"/>
      <c r="E51" s="1189" t="s">
        <v>1402</v>
      </c>
      <c r="F51" s="346">
        <f ca="1">F8</f>
        <v>365</v>
      </c>
      <c r="I51" s="1885" t="s">
        <v>1535</v>
      </c>
      <c r="J51" s="1886">
        <f>IF(J49="",J50,J49+J50-YEAR('数据-取费表'!B2))</f>
        <v>60</v>
      </c>
      <c r="K51" s="1887" t="s">
        <v>1536</v>
      </c>
      <c r="L51" s="1888">
        <f ca="1">ROUND(-PV(INDIRECT("'数据-取费表'!h"&amp;$G$1),L48,(C39-C13*C76),0),0)</f>
        <v>67900</v>
      </c>
      <c r="M51" s="1889"/>
      <c r="O51" s="1881" t="s">
        <v>1041</v>
      </c>
      <c r="P51" s="1872" t="s">
        <v>1537</v>
      </c>
      <c r="Q51" s="1884">
        <f>J52</f>
        <v>0</v>
      </c>
      <c r="R51" s="1873"/>
    </row>
    <row r="52" spans="1:18" s="1829" customFormat="1" ht="13.5" thickBot="1">
      <c r="A52" s="1185"/>
      <c r="B52" s="1187"/>
      <c r="C52" s="1188"/>
      <c r="D52" s="1161"/>
      <c r="E52" s="1189" t="s">
        <v>1403</v>
      </c>
      <c r="F52" s="1264"/>
      <c r="I52" s="1890" t="s">
        <v>1538</v>
      </c>
      <c r="J52" s="1891"/>
      <c r="K52" s="1890" t="s">
        <v>1539</v>
      </c>
      <c r="L52" s="1891"/>
      <c r="O52" s="1881" t="s">
        <v>1042</v>
      </c>
      <c r="P52" s="1872" t="s">
        <v>1540</v>
      </c>
      <c r="Q52" s="1873">
        <f ca="1">J53</f>
        <v>34.21</v>
      </c>
      <c r="R52" s="1873" t="s">
        <v>1541</v>
      </c>
    </row>
    <row r="53" spans="1:18" s="1829" customFormat="1" ht="24.75" thickBot="1">
      <c r="A53" s="1394" t="s">
        <v>1134</v>
      </c>
      <c r="B53" s="1818" t="s">
        <v>1404</v>
      </c>
      <c r="C53" s="359">
        <f ca="1">ROUND(IF(F53="押一",C49/12*F11,IF(F53="押二",C49/12*2*F11,IF(F53="押三",C49/12*3*F11,C54*F11))),0)</f>
        <v>0</v>
      </c>
      <c r="D53" s="1811" t="s">
        <v>3020</v>
      </c>
      <c r="E53" s="356" t="s">
        <v>1405</v>
      </c>
      <c r="F53" s="1355"/>
      <c r="I53" s="1892" t="s">
        <v>1542</v>
      </c>
      <c r="J53" s="2928">
        <f ca="1">IF(M47="住宅",IF(D1="——",MAX(J51,L48),MAX(J51,L48-'数据-取费表'!B24)),IF(D1="——",MIN(J51,L48),MIN(J51,L48-'数据-取费表'!B24)))</f>
        <v>34.21</v>
      </c>
      <c r="K53" s="3296" t="s">
        <v>1543</v>
      </c>
      <c r="L53" s="3297"/>
      <c r="O53" s="1871" t="s">
        <v>1043</v>
      </c>
      <c r="P53" s="1872" t="s">
        <v>1544</v>
      </c>
      <c r="Q53" s="1873">
        <f ca="1">Q47+Q48</f>
        <v>84786</v>
      </c>
      <c r="R53" s="1873" t="s">
        <v>1044</v>
      </c>
    </row>
    <row r="54" spans="1:18" s="1829" customFormat="1" ht="13.5" thickBot="1">
      <c r="A54" s="1395"/>
      <c r="B54" s="1812" t="s">
        <v>1383</v>
      </c>
      <c r="C54" s="1167"/>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8"/>
      <c r="O54" s="1856" t="s">
        <v>1545</v>
      </c>
      <c r="P54" s="1826"/>
      <c r="Q54" s="1826"/>
      <c r="R54" s="1826"/>
    </row>
    <row r="55" spans="1:18" s="1829" customFormat="1" ht="13.5" thickBot="1">
      <c r="A55" s="1322" t="s">
        <v>1072</v>
      </c>
      <c r="B55" s="1814" t="s">
        <v>1408</v>
      </c>
      <c r="C55" s="1323"/>
      <c r="D55" s="1811"/>
      <c r="E55" s="1819"/>
      <c r="F55" s="1893"/>
      <c r="I55" s="1896" t="s">
        <v>1546</v>
      </c>
      <c r="J55" s="1897" t="e">
        <f ca="1">ROUND(IF(J47="钢混",J57/J50,1-(1-2%)*(J50-J57)/J50),3)</f>
        <v>#VALUE!</v>
      </c>
      <c r="K55" s="1898" t="s">
        <v>1547</v>
      </c>
      <c r="L55" s="1899" t="s">
        <v>1548</v>
      </c>
      <c r="O55" s="1864" t="s">
        <v>1517</v>
      </c>
      <c r="P55" s="1865" t="s">
        <v>1518</v>
      </c>
      <c r="Q55" s="1866" t="s">
        <v>1519</v>
      </c>
      <c r="R55" s="1866" t="s">
        <v>1520</v>
      </c>
    </row>
    <row r="56" spans="1:18" s="1829" customFormat="1" ht="25.5" thickTop="1" thickBot="1">
      <c r="A56" s="1165">
        <v>2</v>
      </c>
      <c r="B56" s="1166" t="s">
        <v>1409</v>
      </c>
      <c r="C56" s="274">
        <f ca="1">C13</f>
        <v>23151</v>
      </c>
      <c r="D56" s="1900"/>
      <c r="E56" s="1901"/>
      <c r="F56" s="1893"/>
      <c r="I56" s="1902" t="s">
        <v>1549</v>
      </c>
      <c r="J56" s="1903" t="s">
        <v>3050</v>
      </c>
      <c r="K56" s="1874" t="s">
        <v>1550</v>
      </c>
      <c r="L56" s="1877" t="str">
        <f ca="1">IF(L48&lt;J51,"——",L48-J53)</f>
        <v>——</v>
      </c>
      <c r="O56" s="1871" t="s">
        <v>1037</v>
      </c>
      <c r="P56" s="1872" t="s">
        <v>1523</v>
      </c>
      <c r="Q56" s="1873">
        <f ca="1">C40+J29</f>
        <v>84786</v>
      </c>
      <c r="R56" s="1873" t="s">
        <v>1524</v>
      </c>
    </row>
    <row r="57" spans="1:18" s="1829" customFormat="1" ht="24.75" thickBot="1">
      <c r="A57" s="1904"/>
      <c r="B57" s="1158" t="s">
        <v>1473</v>
      </c>
      <c r="C57" s="280">
        <f ca="1">C29</f>
        <v>23151</v>
      </c>
      <c r="D57" s="1905"/>
      <c r="E57" s="1906"/>
      <c r="F57" s="1907"/>
      <c r="I57" s="1908" t="s">
        <v>1551</v>
      </c>
      <c r="J57" s="1909" t="str">
        <f ca="1">IF(OR(M47="住宅",J51&lt;L48,J56="是"),"——",J51-L48)</f>
        <v>——</v>
      </c>
      <c r="K57" s="1874" t="s">
        <v>1552</v>
      </c>
      <c r="L57" s="1877" t="str">
        <f ca="1">IF(L48&lt;J51,"——",IF(L55="比较法",L49,IF(L55="基准地价",L50,L51)))</f>
        <v>——</v>
      </c>
      <c r="O57" s="1871" t="s">
        <v>1038</v>
      </c>
      <c r="P57" s="1872" t="s">
        <v>1553</v>
      </c>
      <c r="Q57" s="1873">
        <f ca="1">L60</f>
        <v>0</v>
      </c>
      <c r="R57" s="1873" t="s">
        <v>1554</v>
      </c>
    </row>
    <row r="58" spans="1:18" s="1829" customFormat="1" ht="24.75" thickBot="1">
      <c r="A58" s="358" t="s">
        <v>1027</v>
      </c>
      <c r="B58" s="1166" t="s">
        <v>1419</v>
      </c>
      <c r="C58" s="359">
        <f ca="1">ROUND(C59+C64+C65+C66,0)</f>
        <v>2220</v>
      </c>
      <c r="D58" s="1168" t="s">
        <v>1420</v>
      </c>
      <c r="E58" s="1169"/>
      <c r="F58" s="1170"/>
      <c r="I58" s="1908" t="s">
        <v>1555</v>
      </c>
      <c r="J58" s="1910" t="e">
        <f ca="1">IF(J55&lt;0.4,0.4,J55)</f>
        <v>#VALUE!</v>
      </c>
      <c r="K58" s="1887" t="s">
        <v>1556</v>
      </c>
      <c r="L58" s="1877" t="e">
        <f ca="1">ROUND(POWER(1+L52,L47-L48)*(POWER(1+L52,L48)-1)/(POWER(1+L52,L47)-1),4)</f>
        <v>#DIV/0!</v>
      </c>
      <c r="O58" s="1881" t="s">
        <v>1039</v>
      </c>
      <c r="P58" s="1872" t="s">
        <v>1557</v>
      </c>
      <c r="Q58" s="1873">
        <f>IF(L55="比较法",L49,IF(L55="基准地价",L50,0))</f>
        <v>0</v>
      </c>
      <c r="R58" s="1873" t="s">
        <v>1524</v>
      </c>
    </row>
    <row r="59" spans="1:18" s="1829" customFormat="1" ht="24.75" thickBot="1">
      <c r="A59" s="1190" t="s">
        <v>1032</v>
      </c>
      <c r="B59" s="1158" t="s">
        <v>1424</v>
      </c>
      <c r="C59" s="23">
        <f ca="1">ROUND(IF(项目基本情况!B11="自然人",C48*F59,C60+C61+C62),1)</f>
        <v>1954.2</v>
      </c>
      <c r="D59" s="1171" t="s">
        <v>1425</v>
      </c>
      <c r="E59" s="1172" t="s">
        <v>1426</v>
      </c>
      <c r="F59" s="366" t="str">
        <f ca="1">IF(项目基本情况!B11="企业","",IF(INDIRECT("'数据-取费表'!c"&amp;$G$1)="住宅",5%,IF(F49*F50*F51/12/(1+'数据-取费表'!C42)&gt;20000,12%,7%)))</f>
        <v/>
      </c>
      <c r="I59" s="1908" t="s">
        <v>1558</v>
      </c>
      <c r="J59" s="1909"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1040</v>
      </c>
      <c r="P59" s="1872" t="s">
        <v>1559</v>
      </c>
      <c r="Q59" s="1884">
        <f>L52</f>
        <v>0</v>
      </c>
      <c r="R59" s="1873"/>
    </row>
    <row r="60" spans="1:18" s="1829" customFormat="1" ht="16.5" thickBot="1">
      <c r="A60" s="1190" t="s">
        <v>1031</v>
      </c>
      <c r="B60" s="1158" t="s">
        <v>1428</v>
      </c>
      <c r="C60" s="23">
        <f ca="1">IF(项目基本情况!B11="自然人","——",ROUND(C48*F60/(1+'数据-取费表'!C42),2))</f>
        <v>0</v>
      </c>
      <c r="D60" s="1172" t="s">
        <v>1429</v>
      </c>
      <c r="E60" s="1158" t="s">
        <v>1417</v>
      </c>
      <c r="F60" s="375">
        <f t="shared" ref="F60:F66" si="0">F32</f>
        <v>5.6000000000000001E-2</v>
      </c>
      <c r="I60" s="1911" t="s">
        <v>1560</v>
      </c>
      <c r="J60" s="1912" t="str">
        <f ca="1">IF(OR(M47="住宅",J51&lt;L48,J56="是"),"0",ROUND(J59/(1+J52)^J53,0))</f>
        <v>0</v>
      </c>
      <c r="K60" s="1913" t="s">
        <v>1561</v>
      </c>
      <c r="L60" s="1912">
        <f ca="1">IF(OR(M47="住宅",L48&lt;J51),0,ROUND(L57*(L58/L59-1),0))</f>
        <v>0</v>
      </c>
      <c r="O60" s="1881" t="s">
        <v>1041</v>
      </c>
      <c r="P60" s="1872" t="s">
        <v>1562</v>
      </c>
      <c r="Q60" s="1873" t="e">
        <f ca="1">L58</f>
        <v>#DIV/0!</v>
      </c>
      <c r="R60" s="1873" t="s">
        <v>1563</v>
      </c>
    </row>
    <row r="61" spans="1:18" s="1829" customFormat="1" ht="13.5" thickBot="1">
      <c r="A61" s="1190" t="s">
        <v>1487</v>
      </c>
      <c r="B61" s="1158" t="s">
        <v>1488</v>
      </c>
      <c r="C61" s="23">
        <f ca="1">IF(项目基本情况!B11="自然人","——",IF(D61="按租金收入计税",ROUND(C48*F61,2),IF(D61="按房产原值计税",ROUND(C57*F61*0.7,2),INDIRECT("'数据-取费表'!Aj"&amp;$G$1))))</f>
        <v>1944.68</v>
      </c>
      <c r="D61" s="1815" t="s">
        <v>1433</v>
      </c>
      <c r="E61" s="1158" t="s">
        <v>1489</v>
      </c>
      <c r="F61" s="365">
        <f t="shared" si="0"/>
        <v>0.12</v>
      </c>
      <c r="I61" s="1914"/>
      <c r="J61" s="1914"/>
      <c r="K61" s="1914"/>
      <c r="L61" s="1914"/>
      <c r="O61" s="1881" t="s">
        <v>1042</v>
      </c>
      <c r="P61" s="1872" t="str">
        <f>K59</f>
        <v>建设期及建筑物耐用年限下的土地年期修正系数Kn</v>
      </c>
      <c r="Q61" s="1873" t="e">
        <f ca="1">L59</f>
        <v>#DIV/0!</v>
      </c>
      <c r="R61" s="1873" t="s">
        <v>1564</v>
      </c>
    </row>
    <row r="62" spans="1:18" s="1829" customFormat="1" ht="13.5" thickBot="1">
      <c r="A62" s="1190" t="s">
        <v>1490</v>
      </c>
      <c r="B62" s="1157" t="s">
        <v>1491</v>
      </c>
      <c r="C62" s="24">
        <f ca="1">IF(项目基本情况!B11="自然人","——",ROUND(F62*F63/10000,2))</f>
        <v>9.5299999999999994</v>
      </c>
      <c r="D62" s="1173" t="s">
        <v>1492</v>
      </c>
      <c r="E62" s="1158" t="s">
        <v>1493</v>
      </c>
      <c r="F62" s="369">
        <f t="shared" si="0"/>
        <v>5</v>
      </c>
      <c r="I62" s="1915" t="s">
        <v>1565</v>
      </c>
      <c r="J62" s="1916" t="s">
        <v>1566</v>
      </c>
      <c r="K62" s="1916" t="s">
        <v>1567</v>
      </c>
      <c r="L62" s="1916" t="s">
        <v>1568</v>
      </c>
      <c r="M62" s="1917" t="s">
        <v>1569</v>
      </c>
      <c r="O62" s="1871" t="s">
        <v>1043</v>
      </c>
      <c r="P62" s="1872" t="s">
        <v>1570</v>
      </c>
      <c r="Q62" s="1873">
        <f ca="1">Q56+Q57</f>
        <v>84786</v>
      </c>
      <c r="R62" s="1873" t="s">
        <v>1044</v>
      </c>
    </row>
    <row r="63" spans="1:18" s="1829" customFormat="1" ht="13.5" thickBot="1">
      <c r="A63" s="370"/>
      <c r="B63" s="1164"/>
      <c r="C63" s="28"/>
      <c r="D63" s="1174"/>
      <c r="E63" s="1158" t="s">
        <v>1494</v>
      </c>
      <c r="F63" s="346">
        <f t="shared" ca="1" si="0"/>
        <v>19053.5</v>
      </c>
      <c r="I63" s="1915" t="s">
        <v>1571</v>
      </c>
      <c r="J63" s="1916">
        <v>70</v>
      </c>
      <c r="K63" s="1916">
        <v>50</v>
      </c>
      <c r="L63" s="1916">
        <v>80</v>
      </c>
      <c r="M63" s="1918">
        <v>0.02</v>
      </c>
      <c r="O63" s="1856" t="s">
        <v>1572</v>
      </c>
      <c r="P63" s="1826"/>
      <c r="Q63" s="1826"/>
      <c r="R63" s="1826"/>
    </row>
    <row r="64" spans="1:18" s="1829" customFormat="1" ht="13.5" thickBot="1">
      <c r="A64" s="1190" t="s">
        <v>1495</v>
      </c>
      <c r="B64" s="1158" t="s">
        <v>1496</v>
      </c>
      <c r="C64" s="23">
        <f ca="1">ROUND(C57*F64,1)</f>
        <v>231.5</v>
      </c>
      <c r="D64" s="1172" t="s">
        <v>1497</v>
      </c>
      <c r="E64" s="1158" t="s">
        <v>1489</v>
      </c>
      <c r="F64" s="372">
        <f t="shared" ca="1" si="0"/>
        <v>0.01</v>
      </c>
      <c r="I64" s="1915" t="s">
        <v>1573</v>
      </c>
      <c r="J64" s="1916">
        <v>50</v>
      </c>
      <c r="K64" s="1916">
        <v>35</v>
      </c>
      <c r="L64" s="1916">
        <v>60</v>
      </c>
      <c r="M64" s="1917">
        <v>0</v>
      </c>
      <c r="O64" s="1864" t="s">
        <v>1517</v>
      </c>
      <c r="P64" s="1865" t="s">
        <v>1518</v>
      </c>
      <c r="Q64" s="1866" t="s">
        <v>1519</v>
      </c>
      <c r="R64" s="1866" t="s">
        <v>1520</v>
      </c>
    </row>
    <row r="65" spans="1:18" s="1829" customFormat="1" ht="13.5" thickBot="1">
      <c r="A65" s="1190" t="s">
        <v>1498</v>
      </c>
      <c r="B65" s="1158" t="s">
        <v>1448</v>
      </c>
      <c r="C65" s="23">
        <f ca="1">ROUND(C56*F65,1)</f>
        <v>34.700000000000003</v>
      </c>
      <c r="D65" s="1172" t="s">
        <v>1449</v>
      </c>
      <c r="E65" s="1158" t="s">
        <v>1450</v>
      </c>
      <c r="F65" s="374">
        <f t="shared" ca="1" si="0"/>
        <v>1.5E-3</v>
      </c>
      <c r="I65" s="1915" t="s">
        <v>1574</v>
      </c>
      <c r="J65" s="1916">
        <v>40</v>
      </c>
      <c r="K65" s="1916">
        <v>30</v>
      </c>
      <c r="L65" s="1916">
        <v>50</v>
      </c>
      <c r="M65" s="1918">
        <v>0.02</v>
      </c>
      <c r="O65" s="1871" t="s">
        <v>1037</v>
      </c>
      <c r="P65" s="1872" t="s">
        <v>1575</v>
      </c>
      <c r="Q65" s="1873">
        <f ca="1">C40+J29</f>
        <v>84786</v>
      </c>
      <c r="R65" s="1873" t="s">
        <v>1524</v>
      </c>
    </row>
    <row r="66" spans="1:18" s="1829" customFormat="1" ht="16.5" thickBot="1">
      <c r="A66" s="1190" t="s">
        <v>1499</v>
      </c>
      <c r="B66" s="1158" t="s">
        <v>1434</v>
      </c>
      <c r="C66" s="23">
        <f ca="1">ROUND(C48*F66,1)</f>
        <v>0</v>
      </c>
      <c r="D66" s="1172" t="s">
        <v>1500</v>
      </c>
      <c r="E66" s="1158" t="s">
        <v>1417</v>
      </c>
      <c r="F66" s="355">
        <f t="shared" ca="1" si="0"/>
        <v>0.01</v>
      </c>
      <c r="O66" s="1871" t="s">
        <v>1038</v>
      </c>
      <c r="P66" s="1872" t="s">
        <v>1553</v>
      </c>
      <c r="Q66" s="1873">
        <f ca="1">L60</f>
        <v>0</v>
      </c>
      <c r="R66" s="1873" t="s">
        <v>1576</v>
      </c>
    </row>
    <row r="67" spans="1:18" s="1829" customFormat="1" ht="16.5" thickBot="1">
      <c r="A67" s="1165" t="s">
        <v>1028</v>
      </c>
      <c r="B67" s="1175" t="s">
        <v>1458</v>
      </c>
      <c r="C67" s="359">
        <f ca="1">C48-C58</f>
        <v>-2220</v>
      </c>
      <c r="D67" s="1171" t="s">
        <v>1459</v>
      </c>
      <c r="E67" s="1176"/>
      <c r="F67" s="1177"/>
      <c r="O67" s="1881" t="s">
        <v>1039</v>
      </c>
      <c r="P67" s="1872" t="s">
        <v>1557</v>
      </c>
      <c r="Q67" s="1919">
        <f ca="1">L51</f>
        <v>67900</v>
      </c>
      <c r="R67" s="1873" t="s">
        <v>1577</v>
      </c>
    </row>
    <row r="68" spans="1:18" s="1829" customFormat="1" ht="16.5" thickBot="1">
      <c r="A68" s="1155" t="s">
        <v>1029</v>
      </c>
      <c r="B68" s="1156" t="s">
        <v>1480</v>
      </c>
      <c r="C68" s="344">
        <f ca="1">ROUND(C67*(1-((1+F70)/(1+F68))^F69)/(F68-F70),0)</f>
        <v>-33899</v>
      </c>
      <c r="D68" s="1173" t="s">
        <v>1464</v>
      </c>
      <c r="E68" s="1158" t="s">
        <v>1465</v>
      </c>
      <c r="F68" s="355">
        <f ca="1">F40</f>
        <v>5.5E-2</v>
      </c>
      <c r="O68" s="1881" t="s">
        <v>1040</v>
      </c>
      <c r="P68" s="1920" t="s">
        <v>1578</v>
      </c>
      <c r="Q68" s="1873">
        <f ca="1">ROUND(Q69-Q70*Q71,0)</f>
        <v>4055</v>
      </c>
      <c r="R68" s="1873" t="s">
        <v>1048</v>
      </c>
    </row>
    <row r="69" spans="1:18" s="1829" customFormat="1" ht="13.5" thickBot="1">
      <c r="A69" s="1159"/>
      <c r="B69" s="1160"/>
      <c r="C69" s="349"/>
      <c r="D69" s="1178" t="s">
        <v>1468</v>
      </c>
      <c r="E69" s="1158" t="s">
        <v>1469</v>
      </c>
      <c r="F69" s="377">
        <f ca="1">F41</f>
        <v>34.21</v>
      </c>
      <c r="O69" s="1881" t="s">
        <v>1045</v>
      </c>
      <c r="P69" s="1920" t="s">
        <v>1579</v>
      </c>
      <c r="Q69" s="1873">
        <f ca="1">C39</f>
        <v>4055</v>
      </c>
      <c r="R69" s="1873" t="s">
        <v>1524</v>
      </c>
    </row>
    <row r="70" spans="1:18" s="1829" customFormat="1" ht="13.5" thickBot="1">
      <c r="A70" s="1162"/>
      <c r="B70" s="1163"/>
      <c r="C70" s="353"/>
      <c r="D70" s="1174"/>
      <c r="E70" s="1158" t="s">
        <v>1472</v>
      </c>
      <c r="F70" s="1264"/>
      <c r="O70" s="1881" t="s">
        <v>1046</v>
      </c>
      <c r="P70" s="1920" t="s">
        <v>1580</v>
      </c>
      <c r="Q70" s="1873">
        <f ca="1">C13</f>
        <v>23151</v>
      </c>
      <c r="R70" s="1873" t="s">
        <v>1524</v>
      </c>
    </row>
    <row r="71" spans="1:18" s="1829" customFormat="1" ht="13.5" thickBot="1">
      <c r="A71" s="1179" t="s">
        <v>1030</v>
      </c>
      <c r="B71" s="1180" t="s">
        <v>1482</v>
      </c>
      <c r="C71" s="380">
        <f ca="1">ROUND(C68*10000/F71,0)</f>
        <v>-5083</v>
      </c>
      <c r="D71" s="1181" t="s">
        <v>1483</v>
      </c>
      <c r="E71" s="1182" t="s">
        <v>1484</v>
      </c>
      <c r="F71" s="383">
        <f ca="1">F43</f>
        <v>66687.25</v>
      </c>
      <c r="O71" s="1881" t="s">
        <v>1047</v>
      </c>
      <c r="P71" s="1920" t="s">
        <v>1581</v>
      </c>
      <c r="Q71" s="1884">
        <f ca="1">C76</f>
        <v>0</v>
      </c>
      <c r="R71" s="1873"/>
    </row>
    <row r="72" spans="1:18" s="1829" customFormat="1" ht="13.5" thickBot="1">
      <c r="B72" s="793"/>
      <c r="C72" s="793"/>
      <c r="O72" s="1881" t="s">
        <v>1041</v>
      </c>
      <c r="P72" s="1872" t="s">
        <v>1559</v>
      </c>
      <c r="Q72" s="1884">
        <f>L52</f>
        <v>0</v>
      </c>
      <c r="R72" s="1873"/>
    </row>
    <row r="73" spans="1:18" ht="16.5" thickBot="1">
      <c r="A73" s="1829"/>
      <c r="B73" s="793"/>
      <c r="C73" s="793"/>
      <c r="D73" s="1829"/>
      <c r="E73" s="1829"/>
      <c r="F73" s="1829"/>
      <c r="O73" s="1881" t="s">
        <v>1042</v>
      </c>
      <c r="P73" s="1872" t="s">
        <v>1562</v>
      </c>
      <c r="Q73" s="1873" t="e">
        <f ca="1">L58</f>
        <v>#DIV/0!</v>
      </c>
      <c r="R73" s="1873" t="s">
        <v>1563</v>
      </c>
    </row>
    <row r="74" spans="1:18" ht="13.5" thickBot="1">
      <c r="A74" s="1829"/>
      <c r="B74" s="315" t="s">
        <v>1582</v>
      </c>
      <c r="C74" s="1922"/>
      <c r="D74" s="1829"/>
      <c r="E74" s="1829"/>
      <c r="F74" s="1829"/>
      <c r="O74" s="1881" t="s">
        <v>1049</v>
      </c>
      <c r="P74" s="1872" t="str">
        <f>K59</f>
        <v>建设期及建筑物耐用年限下的土地年期修正系数Kn</v>
      </c>
      <c r="Q74" s="1873" t="e">
        <f ca="1">L59</f>
        <v>#DIV/0!</v>
      </c>
      <c r="R74" s="1873" t="s">
        <v>1564</v>
      </c>
    </row>
    <row r="75" spans="1:18" ht="13.5" thickBot="1">
      <c r="A75" s="1829"/>
      <c r="B75" s="384" t="s">
        <v>1501</v>
      </c>
      <c r="C75" s="385">
        <f ca="1">ROUND(C13*C76,0)</f>
        <v>0</v>
      </c>
      <c r="D75" s="1829"/>
      <c r="E75" s="1829"/>
      <c r="F75" s="1829"/>
      <c r="K75" s="1855"/>
      <c r="L75" s="1829"/>
      <c r="O75" s="1871" t="s">
        <v>1043</v>
      </c>
      <c r="P75" s="1872" t="s">
        <v>1544</v>
      </c>
      <c r="Q75" s="1873">
        <f ca="1">Q65+Q66</f>
        <v>84786</v>
      </c>
      <c r="R75" s="1873" t="s">
        <v>1044</v>
      </c>
    </row>
    <row r="76" spans="1:18">
      <c r="B76" s="386" t="s">
        <v>1502</v>
      </c>
      <c r="C76" s="387">
        <f ca="1">INDIRECT("'数据-取费表'!j"&amp;$G$1)</f>
        <v>0</v>
      </c>
      <c r="I76" s="1829"/>
      <c r="J76" s="1829"/>
      <c r="K76" s="1855"/>
      <c r="L76" s="1829"/>
    </row>
    <row r="77" spans="1:18">
      <c r="B77" s="388" t="s">
        <v>1503</v>
      </c>
      <c r="C77" s="389"/>
      <c r="I77" s="1829"/>
      <c r="J77" s="1829"/>
      <c r="K77" s="1855"/>
      <c r="L77" s="1829"/>
    </row>
    <row r="78" spans="1:18">
      <c r="B78" s="312" t="s">
        <v>1504</v>
      </c>
      <c r="C78" s="390"/>
    </row>
    <row r="79" spans="1:18">
      <c r="B79" s="384" t="s">
        <v>1505</v>
      </c>
      <c r="C79" s="316">
        <f ca="1">1-C80</f>
        <v>1</v>
      </c>
    </row>
    <row r="80" spans="1:18">
      <c r="B80" s="384" t="s">
        <v>1506</v>
      </c>
      <c r="C80" s="316">
        <f ca="1">ROUND(C75/C39,3)</f>
        <v>0</v>
      </c>
    </row>
    <row r="81" spans="2:3">
      <c r="B81" s="312" t="s">
        <v>1507</v>
      </c>
      <c r="C81" s="280"/>
    </row>
    <row r="82" spans="2:3">
      <c r="B82" s="315" t="s">
        <v>1508</v>
      </c>
      <c r="C82" s="317">
        <f ca="1">1-C83</f>
        <v>0.72699999999999998</v>
      </c>
    </row>
    <row r="83" spans="2:3">
      <c r="B83" s="315" t="s">
        <v>1509</v>
      </c>
      <c r="C83" s="316">
        <f ca="1">ROUND(C13/C40,3)</f>
        <v>0.27300000000000002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1" customWidth="1"/>
    <col min="12" max="12" width="16.375" style="300" customWidth="1"/>
    <col min="13" max="13" width="13" style="300" customWidth="1"/>
    <col min="14" max="14" width="13.75" style="1829" customWidth="1"/>
    <col min="15" max="15" width="5.125" style="1829" customWidth="1"/>
    <col min="16" max="16" width="25.75" style="1829" customWidth="1"/>
    <col min="17" max="17" width="13.75" style="1829" customWidth="1"/>
    <col min="18" max="18" width="20.5" style="1829" customWidth="1"/>
    <col min="19" max="19" width="13.25" style="1829" customWidth="1"/>
    <col min="20" max="37" width="9" style="1829"/>
    <col min="38" max="16384" width="9" style="300"/>
  </cols>
  <sheetData>
    <row r="1" spans="1:37" s="335" customFormat="1" ht="21">
      <c r="A1" s="1820" t="s">
        <v>1584</v>
      </c>
      <c r="B1" s="779"/>
      <c r="C1" s="1824"/>
      <c r="D1" s="1807"/>
      <c r="E1" s="1808" t="s">
        <v>1382</v>
      </c>
      <c r="F1" s="1272">
        <f ca="1">J53</f>
        <v>-3</v>
      </c>
      <c r="G1" s="1823">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0" t="s">
        <v>1585</v>
      </c>
      <c r="B2" s="1831" t="e">
        <f ca="1">ROUND(D2/10000,0)</f>
        <v>#DIV/0!</v>
      </c>
      <c r="C2" s="1832" t="s">
        <v>1586</v>
      </c>
      <c r="D2" s="1924" t="e">
        <f ca="1">C40+J29+L46</f>
        <v>#DIV/0!</v>
      </c>
      <c r="E2" s="1833" t="s">
        <v>1587</v>
      </c>
      <c r="F2" s="1834"/>
      <c r="G2" s="1835"/>
      <c r="H2" s="1827"/>
      <c r="I2" s="1827"/>
      <c r="J2" s="1827"/>
      <c r="K2" s="1828"/>
      <c r="L2" s="1827"/>
      <c r="M2" s="1827"/>
    </row>
    <row r="3" spans="1:37" ht="18" customHeight="1" thickBot="1">
      <c r="A3" s="1836" t="s">
        <v>1588</v>
      </c>
      <c r="B3" s="1837">
        <f ca="1">IF(ISERROR(D2/F43),0,ROUND(D2/F43,0))</f>
        <v>0</v>
      </c>
      <c r="C3" s="1832" t="s">
        <v>1589</v>
      </c>
      <c r="D3" s="1832"/>
      <c r="E3" s="1833"/>
      <c r="F3" s="1834"/>
      <c r="G3" s="1835"/>
      <c r="H3" s="741" t="s">
        <v>1583</v>
      </c>
      <c r="I3" s="1827"/>
      <c r="J3" s="1827"/>
      <c r="K3" s="1828"/>
      <c r="L3" s="1827"/>
      <c r="M3" s="1827"/>
    </row>
    <row r="4" spans="1:37" ht="18" customHeight="1">
      <c r="A4" s="338" t="s">
        <v>1590</v>
      </c>
      <c r="B4" s="339" t="s">
        <v>1591</v>
      </c>
      <c r="C4" s="339" t="s">
        <v>1592</v>
      </c>
      <c r="D4" s="339" t="s">
        <v>1593</v>
      </c>
      <c r="E4" s="340" t="s">
        <v>1594</v>
      </c>
      <c r="F4" s="341"/>
      <c r="G4" s="1838"/>
      <c r="H4" s="338" t="s">
        <v>1590</v>
      </c>
      <c r="I4" s="339" t="s">
        <v>1591</v>
      </c>
      <c r="J4" s="339" t="s">
        <v>1592</v>
      </c>
      <c r="K4" s="339" t="s">
        <v>1593</v>
      </c>
      <c r="L4" s="340" t="s">
        <v>1594</v>
      </c>
      <c r="M4" s="341"/>
    </row>
    <row r="5" spans="1:37" ht="18" customHeight="1">
      <c r="A5" s="342">
        <v>1</v>
      </c>
      <c r="B5" s="343" t="s">
        <v>1595</v>
      </c>
      <c r="C5" s="1281">
        <f ca="1">C6+C10+C12</f>
        <v>0</v>
      </c>
      <c r="D5" s="1809" t="s">
        <v>1596</v>
      </c>
      <c r="E5" s="1282"/>
      <c r="F5" s="1283"/>
      <c r="G5" s="1838"/>
      <c r="H5" s="342">
        <v>1</v>
      </c>
      <c r="I5" s="343" t="s">
        <v>1595</v>
      </c>
      <c r="J5" s="1281">
        <f ca="1">J6+J10+J12</f>
        <v>0</v>
      </c>
      <c r="K5" s="1809" t="s">
        <v>1596</v>
      </c>
      <c r="L5" s="1282"/>
      <c r="M5" s="1283"/>
    </row>
    <row r="6" spans="1:37" ht="18" customHeight="1">
      <c r="A6" s="1280" t="s">
        <v>1032</v>
      </c>
      <c r="B6" s="3298" t="s">
        <v>1398</v>
      </c>
      <c r="C6" s="1285">
        <f ca="1">ROUND(F6*F8*F7*(1-F9),0)</f>
        <v>0</v>
      </c>
      <c r="D6" s="162" t="s">
        <v>3009</v>
      </c>
      <c r="E6" s="345" t="s">
        <v>1400</v>
      </c>
      <c r="F6" s="346">
        <f ca="1">INDIRECT("'数据-取费表'!u"&amp;$G$1)</f>
        <v>0</v>
      </c>
      <c r="G6" s="1838"/>
      <c r="H6" s="1280" t="s">
        <v>1032</v>
      </c>
      <c r="I6" s="3298" t="s">
        <v>1398</v>
      </c>
      <c r="J6" s="344">
        <f ca="1">ROUND(M6*M8*M7*(1-M9),0)</f>
        <v>0</v>
      </c>
      <c r="K6" s="1821" t="s">
        <v>3010</v>
      </c>
      <c r="L6" s="345" t="s">
        <v>1400</v>
      </c>
      <c r="M6" s="346">
        <f ca="1">INDIRECT("'数据-取费表'!z"&amp;$G$1)</f>
        <v>0</v>
      </c>
    </row>
    <row r="7" spans="1:37" ht="18" customHeight="1">
      <c r="A7" s="1284"/>
      <c r="B7" s="3299"/>
      <c r="C7" s="1286"/>
      <c r="D7" s="350"/>
      <c r="E7" s="1287" t="s">
        <v>1401</v>
      </c>
      <c r="F7" s="346">
        <f ca="1">IF(INDIRECT("'数据-取费表'!ah"&amp;$G$1)="",INDIRECT("'数据-取费表'!k"&amp;$G$1),INDIRECT("'数据-取费表'!ah"&amp;$G$1))</f>
        <v>0</v>
      </c>
      <c r="G7" s="1838"/>
      <c r="H7" s="347"/>
      <c r="I7" s="3299"/>
      <c r="J7" s="349"/>
      <c r="K7" s="350"/>
      <c r="L7" s="345" t="s">
        <v>1401</v>
      </c>
      <c r="M7" s="346">
        <f ca="1">F7</f>
        <v>0</v>
      </c>
    </row>
    <row r="8" spans="1:37" ht="18" customHeight="1">
      <c r="A8" s="347"/>
      <c r="B8" s="3299"/>
      <c r="C8" s="349"/>
      <c r="D8" s="350"/>
      <c r="E8" s="345" t="s">
        <v>1402</v>
      </c>
      <c r="F8" s="346">
        <f ca="1">INDIRECT("'数据-取费表'!ai"&amp;$G$1)</f>
        <v>0</v>
      </c>
      <c r="G8" s="1838"/>
      <c r="H8" s="347"/>
      <c r="I8" s="3299"/>
      <c r="J8" s="349"/>
      <c r="K8" s="350"/>
      <c r="L8" s="345" t="s">
        <v>1402</v>
      </c>
      <c r="M8" s="346">
        <f ca="1">INDIRECT("'数据-取费表'!ai"&amp;$G$1)</f>
        <v>0</v>
      </c>
    </row>
    <row r="9" spans="1:37" ht="18" customHeight="1">
      <c r="A9" s="347"/>
      <c r="B9" s="3300"/>
      <c r="C9" s="349"/>
      <c r="D9" s="350"/>
      <c r="E9" s="345" t="s">
        <v>1403</v>
      </c>
      <c r="F9" s="355">
        <f ca="1">INDIRECT("'数据-取费表'!w"&amp;$G$1)</f>
        <v>0</v>
      </c>
      <c r="G9" s="1838"/>
      <c r="H9" s="347"/>
      <c r="I9" s="3300"/>
      <c r="J9" s="349"/>
      <c r="K9" s="350"/>
      <c r="L9" s="356" t="s">
        <v>1403</v>
      </c>
      <c r="M9" s="357">
        <f ca="1">INDIRECT("'数据-取费表'!ab"&amp;$G$1)</f>
        <v>0</v>
      </c>
    </row>
    <row r="10" spans="1:37" ht="18" customHeight="1">
      <c r="A10" s="1280" t="s">
        <v>1036</v>
      </c>
      <c r="B10" s="1810" t="s">
        <v>1404</v>
      </c>
      <c r="C10" s="359">
        <f ca="1">ROUND(IF(F10="押一",C6/12*F11,IF(F10="押二",C6/12*2*F11,IF(F10="押三",C6/12*3*F11,C11*F11))),0)</f>
        <v>0</v>
      </c>
      <c r="D10" s="1811" t="s">
        <v>3020</v>
      </c>
      <c r="E10" s="356" t="s">
        <v>1405</v>
      </c>
      <c r="F10" s="1355"/>
      <c r="G10" s="1838"/>
      <c r="H10" s="1280" t="s">
        <v>1036</v>
      </c>
      <c r="I10" s="1810" t="s">
        <v>1404</v>
      </c>
      <c r="J10" s="344">
        <f ca="1">ROUND(IF(M10="押一",J6/12*M11,IF(M10="押二",J6/12*2*M11,IF(M10="押三",J6/12*3*M11,J11*M11))),0)</f>
        <v>0</v>
      </c>
      <c r="K10" s="1822" t="s">
        <v>3022</v>
      </c>
      <c r="L10" s="356" t="s">
        <v>1405</v>
      </c>
      <c r="M10" s="1355"/>
    </row>
    <row r="11" spans="1:37" ht="18" customHeight="1">
      <c r="A11" s="351"/>
      <c r="B11" s="1812" t="s">
        <v>1597</v>
      </c>
      <c r="C11" s="1167"/>
      <c r="D11" s="350"/>
      <c r="E11" s="356" t="s">
        <v>1407</v>
      </c>
      <c r="F11" s="357">
        <f ca="1">'数据-取费表'!B39</f>
        <v>1.4999999999999999E-2</v>
      </c>
      <c r="G11" s="1838"/>
      <c r="H11" s="1288"/>
      <c r="I11" s="1812" t="s">
        <v>1598</v>
      </c>
      <c r="J11" s="1167"/>
      <c r="K11" s="745"/>
      <c r="L11" s="356" t="s">
        <v>1407</v>
      </c>
      <c r="M11" s="1045">
        <f ca="1">'数据-取费表'!B39</f>
        <v>1.4999999999999999E-2</v>
      </c>
    </row>
    <row r="12" spans="1:37" ht="18" customHeight="1" thickBot="1">
      <c r="A12" s="1322" t="s">
        <v>1072</v>
      </c>
      <c r="B12" s="1814" t="s">
        <v>1408</v>
      </c>
      <c r="C12" s="1323"/>
      <c r="D12" s="1324"/>
      <c r="E12" s="1329"/>
      <c r="F12" s="1325"/>
      <c r="G12" s="1838"/>
      <c r="H12" s="1322" t="s">
        <v>1072</v>
      </c>
      <c r="I12" s="1814" t="s">
        <v>1408</v>
      </c>
      <c r="J12" s="1323"/>
      <c r="K12" s="1337"/>
      <c r="L12" s="1329"/>
      <c r="M12" s="1338"/>
    </row>
    <row r="13" spans="1:37" ht="18" customHeight="1" thickTop="1">
      <c r="A13" s="1318">
        <v>2</v>
      </c>
      <c r="B13" s="1319" t="s">
        <v>1409</v>
      </c>
      <c r="C13" s="353">
        <f ca="1">ROUND(C29*F13,0)</f>
        <v>0</v>
      </c>
      <c r="D13" s="1320" t="s">
        <v>1410</v>
      </c>
      <c r="E13" s="1320" t="s">
        <v>1411</v>
      </c>
      <c r="F13" s="1321">
        <f ca="1">INDIRECT("'数据-取费表'!y"&amp;$G$1)</f>
        <v>0</v>
      </c>
      <c r="G13" s="1838"/>
      <c r="H13" s="1318">
        <v>2</v>
      </c>
      <c r="I13" s="1319" t="s">
        <v>1409</v>
      </c>
      <c r="J13" s="1279">
        <f ca="1">ROUND(J14*J15,0)</f>
        <v>0</v>
      </c>
      <c r="K13" s="1326" t="s">
        <v>1410</v>
      </c>
      <c r="L13" s="1839"/>
      <c r="M13" s="1840"/>
    </row>
    <row r="14" spans="1:37" ht="18" customHeight="1">
      <c r="A14" s="1190" t="s">
        <v>1031</v>
      </c>
      <c r="B14" s="345" t="s">
        <v>1412</v>
      </c>
      <c r="C14" s="361">
        <f ca="1">ROUND(INDIRECT("'数据-取费表'!l"&amp;$G$1)*F43+'数据-取费表'!L14*INDIRECT("'数据-取费表'!S"&amp;$G$1),0)</f>
        <v>0</v>
      </c>
      <c r="D14" s="1787" t="s">
        <v>1413</v>
      </c>
      <c r="E14" s="1781"/>
      <c r="F14" s="362"/>
      <c r="G14" s="1838"/>
      <c r="H14" s="1190" t="s">
        <v>1032</v>
      </c>
      <c r="I14" s="345" t="s">
        <v>1414</v>
      </c>
      <c r="J14" s="23">
        <f ca="1">C29</f>
        <v>0</v>
      </c>
      <c r="K14" s="14"/>
      <c r="L14" s="969"/>
      <c r="M14" s="970"/>
    </row>
    <row r="15" spans="1:37" s="1845" customFormat="1" ht="18" customHeight="1" thickBot="1">
      <c r="A15" s="1190" t="s">
        <v>1033</v>
      </c>
      <c r="B15" s="345" t="s">
        <v>1415</v>
      </c>
      <c r="C15" s="23">
        <f ca="1">ROUND(C14*F15,0)</f>
        <v>0</v>
      </c>
      <c r="D15" s="363" t="s">
        <v>1416</v>
      </c>
      <c r="E15" s="363" t="s">
        <v>1417</v>
      </c>
      <c r="F15" s="364">
        <f>'数据-取费表'!B33</f>
        <v>0.03</v>
      </c>
      <c r="G15" s="1841"/>
      <c r="H15" s="1328" t="s">
        <v>1036</v>
      </c>
      <c r="I15" s="1329" t="s">
        <v>1411</v>
      </c>
      <c r="J15" s="1338">
        <f ca="1">INDIRECT("'数据-取费表'!ad"&amp;$G$1)</f>
        <v>0</v>
      </c>
      <c r="K15" s="1339"/>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0" t="s">
        <v>1384</v>
      </c>
      <c r="B16" s="345" t="s">
        <v>1418</v>
      </c>
      <c r="C16" s="23">
        <f ca="1">ROUND(INDIRECT("'数据-取费表'!l"&amp;$G$1)*F43*F16,0)</f>
        <v>0</v>
      </c>
      <c r="D16" s="345" t="s">
        <v>1416</v>
      </c>
      <c r="E16" s="345" t="s">
        <v>1417</v>
      </c>
      <c r="F16" s="365">
        <f ca="1">IF(INDIRECT("'数据-取费表'!c"&amp;$G$1)="住宅",'数据-取费表'!B34,0)</f>
        <v>0</v>
      </c>
      <c r="G16" s="1838"/>
      <c r="H16" s="1318" t="s">
        <v>1027</v>
      </c>
      <c r="I16" s="1319" t="s">
        <v>1419</v>
      </c>
      <c r="J16" s="353">
        <f ca="1">ROUND(J17+J22+J23+J24,0)</f>
        <v>0</v>
      </c>
      <c r="K16" s="1326" t="s">
        <v>1420</v>
      </c>
      <c r="L16" s="1327"/>
      <c r="M16" s="1283"/>
    </row>
    <row r="17" spans="1:37" s="1845" customFormat="1" ht="18" customHeight="1">
      <c r="A17" s="1190" t="s">
        <v>1385</v>
      </c>
      <c r="B17" s="345" t="s">
        <v>1421</v>
      </c>
      <c r="C17" s="23">
        <f ca="1">ROUND(F17*(F43+INDIRECT("'数据-取费表'!S"&amp;$G$1)),0)</f>
        <v>0</v>
      </c>
      <c r="D17" s="345" t="s">
        <v>1422</v>
      </c>
      <c r="E17" s="345" t="s">
        <v>1423</v>
      </c>
      <c r="F17" s="25">
        <f>'数据-取费表'!B35</f>
        <v>200</v>
      </c>
      <c r="G17" s="1841"/>
      <c r="H17" s="1190" t="s">
        <v>1032</v>
      </c>
      <c r="I17" s="345" t="s">
        <v>1424</v>
      </c>
      <c r="J17" s="23">
        <f ca="1">ROUND(IF(项目基本情况!B11="自然人",J6*M17/(1+'数据-取费表'!C42),J18+J19+J20),0)</f>
        <v>0</v>
      </c>
      <c r="K17" s="1787" t="s">
        <v>1425</v>
      </c>
      <c r="L17" s="1785" t="s">
        <v>1426</v>
      </c>
      <c r="M17" s="366"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0" t="s">
        <v>1386</v>
      </c>
      <c r="B18" s="345" t="s">
        <v>1427</v>
      </c>
      <c r="C18" s="23">
        <f ca="1">ROUND(C14*F18,0)</f>
        <v>0</v>
      </c>
      <c r="D18" s="345" t="s">
        <v>1416</v>
      </c>
      <c r="E18" s="345" t="s">
        <v>1417</v>
      </c>
      <c r="F18" s="365">
        <f>'数据-取费表'!B36</f>
        <v>1.4999999999999999E-2</v>
      </c>
      <c r="G18" s="1841"/>
      <c r="H18" s="1190" t="s">
        <v>1031</v>
      </c>
      <c r="I18" s="345" t="s">
        <v>1428</v>
      </c>
      <c r="J18" s="23">
        <f ca="1">ROUND(J6*M18/(1+'数据-取费表'!C42),0)</f>
        <v>0</v>
      </c>
      <c r="K18" s="1785" t="s">
        <v>1429</v>
      </c>
      <c r="L18" s="345" t="s">
        <v>1417</v>
      </c>
      <c r="M18" s="365">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0" t="s">
        <v>1032</v>
      </c>
      <c r="B19" s="345" t="s">
        <v>1430</v>
      </c>
      <c r="C19" s="23">
        <f ca="1">SUM(C14:C18)</f>
        <v>0</v>
      </c>
      <c r="D19" s="138" t="s">
        <v>1431</v>
      </c>
      <c r="E19" s="1805"/>
      <c r="F19" s="25"/>
      <c r="G19" s="1838"/>
      <c r="H19" s="1190" t="s">
        <v>1033</v>
      </c>
      <c r="I19" s="345" t="s">
        <v>1432</v>
      </c>
      <c r="J19" s="23">
        <f ca="1">IF(K19="按租金收入计税",ROUND(J6*M19/(1+'数据-取费表'!C42),0),ROUND(C29*M19*0.7,0))</f>
        <v>0</v>
      </c>
      <c r="K19" s="1815" t="s">
        <v>1433</v>
      </c>
      <c r="L19" s="345" t="s">
        <v>1417</v>
      </c>
      <c r="M19" s="365">
        <f>IF(K19="按租金收入计税",'数据-取费表'!B51,'数据-取费表'!B50)</f>
        <v>1.2E-2</v>
      </c>
    </row>
    <row r="20" spans="1:37" s="1845" customFormat="1" ht="18" customHeight="1">
      <c r="A20" s="1190" t="s">
        <v>1036</v>
      </c>
      <c r="B20" s="345" t="s">
        <v>1434</v>
      </c>
      <c r="C20" s="23">
        <f ca="1">ROUND(C19*F20,0)</f>
        <v>0</v>
      </c>
      <c r="D20" s="367" t="s">
        <v>1435</v>
      </c>
      <c r="E20" s="345" t="s">
        <v>1417</v>
      </c>
      <c r="F20" s="365">
        <f>'数据-取费表'!B37</f>
        <v>0.02</v>
      </c>
      <c r="G20" s="1841"/>
      <c r="H20" s="1190" t="s">
        <v>1384</v>
      </c>
      <c r="I20" s="162" t="s">
        <v>1436</v>
      </c>
      <c r="J20" s="24">
        <f ca="1">ROUND(M20*M21,0)</f>
        <v>0</v>
      </c>
      <c r="K20" s="368" t="s">
        <v>1437</v>
      </c>
      <c r="L20" s="345" t="s">
        <v>1438</v>
      </c>
      <c r="M20" s="369">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0" t="s">
        <v>1072</v>
      </c>
      <c r="B21" s="345" t="s">
        <v>1439</v>
      </c>
      <c r="C21" s="23" t="s">
        <v>1</v>
      </c>
      <c r="D21" s="367" t="s">
        <v>1440</v>
      </c>
      <c r="E21" s="345" t="s">
        <v>1441</v>
      </c>
      <c r="F21" s="365">
        <f>'数据-取费表'!B38</f>
        <v>0.01</v>
      </c>
      <c r="G21" s="1841"/>
      <c r="H21" s="370"/>
      <c r="I21" s="354"/>
      <c r="J21" s="28"/>
      <c r="K21" s="371"/>
      <c r="L21" s="345" t="s">
        <v>1442</v>
      </c>
      <c r="M21" s="346">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0" t="s">
        <v>1387</v>
      </c>
      <c r="B22" s="345" t="s">
        <v>1443</v>
      </c>
      <c r="C22" s="23"/>
      <c r="D22" s="138" t="str">
        <f>IF(F23&lt;=1,"单利计息。","复利计息。")&amp;"建造成本、管理费用、销售费用产生的利息。"</f>
        <v>复利计息。建造成本、管理费用、销售费用产生的利息。</v>
      </c>
      <c r="E22" s="1805"/>
      <c r="F22" s="25"/>
      <c r="G22" s="1838"/>
      <c r="H22" s="1190" t="s">
        <v>1036</v>
      </c>
      <c r="I22" s="345" t="s">
        <v>1444</v>
      </c>
      <c r="J22" s="23">
        <f ca="1">ROUND(J14*M22,0)</f>
        <v>0</v>
      </c>
      <c r="K22" s="1785" t="s">
        <v>1445</v>
      </c>
      <c r="L22" s="345" t="s">
        <v>1417</v>
      </c>
      <c r="M22" s="372">
        <f ca="1">INDIRECT("'数据-取费表'!Ak"&amp;$G$1)</f>
        <v>0</v>
      </c>
    </row>
    <row r="23" spans="1:37" s="1845" customFormat="1" ht="18" customHeight="1">
      <c r="A23" s="1190" t="s">
        <v>1031</v>
      </c>
      <c r="B23" s="345" t="s">
        <v>1446</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3</v>
      </c>
      <c r="G23" s="1841"/>
      <c r="H23" s="1190" t="s">
        <v>1072</v>
      </c>
      <c r="I23" s="345" t="s">
        <v>1448</v>
      </c>
      <c r="J23" s="23">
        <f ca="1">ROUND(J13*M23,0)</f>
        <v>0</v>
      </c>
      <c r="K23" s="1785" t="s">
        <v>1449</v>
      </c>
      <c r="L23" s="345" t="s">
        <v>1450</v>
      </c>
      <c r="M23" s="374">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0" t="s">
        <v>1451</v>
      </c>
      <c r="B24" s="345" t="s">
        <v>1452</v>
      </c>
      <c r="C24" s="23">
        <f ca="1">ROUND(IF('数据-取费表'!B22&lt;=1,F21*F24*F23/2,F21*(POWER((1+F24),F23/2)-1)),4)</f>
        <v>6.9999999999999999E-4</v>
      </c>
      <c r="D24" s="373" t="str">
        <f>IF(F23&lt;=1,"销售费用×利率×(建设周期÷2)","销售费用×((1+利率)^(建设周期÷2)-1)")</f>
        <v>销售费用×((1+利率)^(建设周期÷2)-1)</v>
      </c>
      <c r="E24" s="345" t="s">
        <v>1453</v>
      </c>
      <c r="F24" s="375">
        <f ca="1">'数据-取费表'!B40</f>
        <v>4.7500000000000001E-2</v>
      </c>
      <c r="G24" s="1841"/>
      <c r="H24" s="1328" t="s">
        <v>1388</v>
      </c>
      <c r="I24" s="1329" t="s">
        <v>1434</v>
      </c>
      <c r="J24" s="1330">
        <f ca="1">ROUND(J5*M24,0)</f>
        <v>0</v>
      </c>
      <c r="K24" s="1331" t="s">
        <v>1454</v>
      </c>
      <c r="L24" s="1329" t="s">
        <v>1450</v>
      </c>
      <c r="M24" s="1325">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0" t="s">
        <v>1455</v>
      </c>
      <c r="B25" s="345" t="s">
        <v>1456</v>
      </c>
      <c r="C25" s="23"/>
      <c r="D25" s="138" t="s">
        <v>1457</v>
      </c>
      <c r="E25" s="1805"/>
      <c r="F25" s="25"/>
      <c r="G25" s="1838"/>
      <c r="H25" s="1318" t="s">
        <v>1028</v>
      </c>
      <c r="I25" s="1333" t="s">
        <v>1458</v>
      </c>
      <c r="J25" s="353">
        <f ca="1">J5-J16</f>
        <v>0</v>
      </c>
      <c r="K25" s="1334" t="s">
        <v>1459</v>
      </c>
      <c r="L25" s="1335"/>
      <c r="M25" s="1336"/>
    </row>
    <row r="26" spans="1:37" ht="18" customHeight="1">
      <c r="A26" s="1190" t="s">
        <v>1031</v>
      </c>
      <c r="B26" s="345" t="s">
        <v>1460</v>
      </c>
      <c r="C26" s="23">
        <f ca="1">ROUND((C19+C20)*F26,0)</f>
        <v>0</v>
      </c>
      <c r="D26" s="367" t="s">
        <v>1461</v>
      </c>
      <c r="E26" s="356" t="s">
        <v>1462</v>
      </c>
      <c r="F26" s="355">
        <f ca="1">INDIRECT("'数据-取费表'!q"&amp;$G$1)</f>
        <v>0</v>
      </c>
      <c r="G26" s="1838"/>
      <c r="H26" s="342" t="s">
        <v>1029</v>
      </c>
      <c r="I26" s="343" t="s">
        <v>1463</v>
      </c>
      <c r="J26" s="344">
        <f ca="1">IF(J5&lt;&gt;0,ROUND(J25*(1-((1+M28)/(1+M26))^M27)/(M26-M28),0),0)</f>
        <v>0</v>
      </c>
      <c r="K26" s="368" t="s">
        <v>1464</v>
      </c>
      <c r="L26" s="345" t="s">
        <v>1465</v>
      </c>
      <c r="M26" s="355">
        <f ca="1">INDIRECT("'数据-取费表'!I"&amp;$G$1)</f>
        <v>0</v>
      </c>
    </row>
    <row r="27" spans="1:37" ht="18" customHeight="1">
      <c r="A27" s="1190" t="s">
        <v>1033</v>
      </c>
      <c r="B27" s="345" t="s">
        <v>1466</v>
      </c>
      <c r="C27" s="23">
        <f ca="1">ROUND(F21*F26,4)</f>
        <v>0</v>
      </c>
      <c r="D27" s="367" t="s">
        <v>1467</v>
      </c>
      <c r="E27" s="363"/>
      <c r="F27" s="364"/>
      <c r="G27" s="1838"/>
      <c r="H27" s="347"/>
      <c r="I27" s="348"/>
      <c r="J27" s="349"/>
      <c r="K27" s="376" t="s">
        <v>1468</v>
      </c>
      <c r="L27" s="345" t="s">
        <v>1469</v>
      </c>
      <c r="M27" s="377">
        <f ca="1">INDIRECT("'数据-取费表'!ag"&amp;$G$1)</f>
        <v>0</v>
      </c>
    </row>
    <row r="28" spans="1:37" s="1845" customFormat="1" ht="18" customHeight="1">
      <c r="A28" s="1190" t="s">
        <v>1034</v>
      </c>
      <c r="B28" s="345" t="s">
        <v>1470</v>
      </c>
      <c r="C28" s="23">
        <f>ROUND(F28/(1+'数据-取费表'!C42),4)</f>
        <v>5.33E-2</v>
      </c>
      <c r="D28" s="367" t="s">
        <v>1471</v>
      </c>
      <c r="E28" s="345" t="s">
        <v>1417</v>
      </c>
      <c r="F28" s="365">
        <f>'数据-取费表'!B41</f>
        <v>5.6000000000000001E-2</v>
      </c>
      <c r="G28" s="1841"/>
      <c r="H28" s="351"/>
      <c r="I28" s="352"/>
      <c r="J28" s="353"/>
      <c r="K28" s="371"/>
      <c r="L28" s="345" t="s">
        <v>1472</v>
      </c>
      <c r="M28" s="355">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8" t="s">
        <v>1035</v>
      </c>
      <c r="B29" s="1329" t="s">
        <v>1473</v>
      </c>
      <c r="C29" s="1330">
        <f ca="1">ROUND((C19+C20+C23+C26)/(1-F21-C24-C27-C28),0)</f>
        <v>0</v>
      </c>
      <c r="D29" s="1331"/>
      <c r="E29" s="1329"/>
      <c r="F29" s="1332"/>
      <c r="G29" s="1841"/>
      <c r="H29" s="378" t="s">
        <v>1030</v>
      </c>
      <c r="I29" s="379" t="s">
        <v>1474</v>
      </c>
      <c r="J29" s="380">
        <f ca="1">ROUND(J26/(1+F40)^F41,0)</f>
        <v>0</v>
      </c>
      <c r="K29" s="381" t="s">
        <v>1475</v>
      </c>
      <c r="L29" s="382"/>
      <c r="M29" s="383">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8" t="s">
        <v>1027</v>
      </c>
      <c r="B30" s="1319" t="s">
        <v>1419</v>
      </c>
      <c r="C30" s="353">
        <f ca="1">ROUND(C31+C36+C37+C38,0)</f>
        <v>0</v>
      </c>
      <c r="D30" s="1326" t="s">
        <v>1420</v>
      </c>
      <c r="E30" s="1327"/>
      <c r="F30" s="1283"/>
      <c r="G30" s="1838"/>
      <c r="H30" s="742"/>
      <c r="I30" s="743"/>
      <c r="J30" s="744"/>
      <c r="K30" s="745"/>
      <c r="L30" s="746"/>
      <c r="M30" s="747"/>
    </row>
    <row r="31" spans="1:37" ht="18" customHeight="1">
      <c r="A31" s="1190" t="s">
        <v>1032</v>
      </c>
      <c r="B31" s="345" t="s">
        <v>1424</v>
      </c>
      <c r="C31" s="23">
        <f ca="1">ROUND(IF(项目基本情况!B11="自然人",C6*F31/(1+'数据-取费表'!C42),C32+C33+C34),0)</f>
        <v>0</v>
      </c>
      <c r="D31" s="1787" t="s">
        <v>1425</v>
      </c>
      <c r="E31" s="1785" t="s">
        <v>1476</v>
      </c>
      <c r="F31" s="366" t="str">
        <f ca="1">IF(项目基本情况!B11="企业","",IF(INDIRECT("'数据-取费表'!c"&amp;$G$1)="住宅",5%,IF(F6*F7*F8/12/(1+'数据-取费表'!C42)&gt;20000,12%,7%)))</f>
        <v/>
      </c>
      <c r="G31" s="1838"/>
      <c r="H31" s="742"/>
      <c r="I31" s="743"/>
      <c r="J31" s="744"/>
      <c r="K31" s="745"/>
      <c r="L31" s="746"/>
      <c r="M31" s="747"/>
    </row>
    <row r="32" spans="1:37" ht="18" customHeight="1">
      <c r="A32" s="1190" t="s">
        <v>1031</v>
      </c>
      <c r="B32" s="345" t="s">
        <v>1428</v>
      </c>
      <c r="C32" s="23">
        <f ca="1">IF(项目基本情况!B11="自然人","——",ROUND(C6*F32/(1+'数据-取费表'!C42),0))</f>
        <v>0</v>
      </c>
      <c r="D32" s="1785" t="s">
        <v>1429</v>
      </c>
      <c r="E32" s="345" t="s">
        <v>1417</v>
      </c>
      <c r="F32" s="375">
        <f>'数据-取费表'!B41</f>
        <v>5.6000000000000001E-2</v>
      </c>
      <c r="G32" s="1838"/>
      <c r="H32" s="742"/>
      <c r="I32" s="743"/>
      <c r="J32" s="744"/>
      <c r="K32" s="745"/>
      <c r="L32" s="746"/>
      <c r="M32" s="747"/>
    </row>
    <row r="33" spans="1:18" ht="18" customHeight="1">
      <c r="A33" s="1190" t="s">
        <v>1033</v>
      </c>
      <c r="B33" s="345" t="s">
        <v>1432</v>
      </c>
      <c r="C33" s="23">
        <f ca="1">IF(项目基本情况!B11="自然人","——",IF(D33="按租金收入计税",ROUND(C6*F33/(1+'数据-取费表'!C42),0),IF(D33="按房产原值计税",ROUND(C29*F33*0.7,0),INDIRECT("'数据-取费表'!Aj"&amp;$G$1))))</f>
        <v>0</v>
      </c>
      <c r="D33" s="1815" t="s">
        <v>1433</v>
      </c>
      <c r="E33" s="345" t="s">
        <v>1417</v>
      </c>
      <c r="F33" s="365">
        <f>IF(D33="按票据","——",IF(D33="按租金收入计税",'数据-取费表'!B51,'数据-取费表'!B50))</f>
        <v>1.2E-2</v>
      </c>
      <c r="G33" s="1838"/>
      <c r="H33" s="1846"/>
      <c r="I33" s="1847"/>
      <c r="J33" s="1848"/>
      <c r="K33" s="1849"/>
      <c r="L33" s="1846"/>
      <c r="M33" s="1846"/>
    </row>
    <row r="34" spans="1:18" ht="18" customHeight="1">
      <c r="A34" s="1280" t="s">
        <v>1384</v>
      </c>
      <c r="B34" s="162" t="s">
        <v>1436</v>
      </c>
      <c r="C34" s="24">
        <f ca="1">IF(项目基本情况!B11="自然人","——",ROUND(F34*F35,))</f>
        <v>0</v>
      </c>
      <c r="D34" s="368" t="s">
        <v>1437</v>
      </c>
      <c r="E34" s="345" t="s">
        <v>1438</v>
      </c>
      <c r="F34" s="369">
        <f>'数据-取费表'!B52</f>
        <v>5</v>
      </c>
      <c r="G34" s="1838"/>
      <c r="H34" s="742"/>
      <c r="I34" s="1847"/>
      <c r="J34" s="1848"/>
      <c r="K34" s="1850"/>
      <c r="L34" s="1851"/>
      <c r="M34" s="1851"/>
    </row>
    <row r="35" spans="1:18" ht="18" customHeight="1">
      <c r="A35" s="1342"/>
      <c r="B35" s="1340"/>
      <c r="C35" s="28"/>
      <c r="D35" s="371"/>
      <c r="E35" s="345" t="s">
        <v>1442</v>
      </c>
      <c r="F35" s="346">
        <f ca="1">INDIRECT("'数据-取费表'!r"&amp;$G$1)</f>
        <v>0</v>
      </c>
      <c r="G35" s="1838"/>
      <c r="H35" s="742"/>
      <c r="I35" s="1847"/>
      <c r="J35" s="1848"/>
      <c r="K35" s="1849"/>
      <c r="L35" s="1846"/>
      <c r="M35" s="1846"/>
    </row>
    <row r="36" spans="1:18" ht="18" customHeight="1">
      <c r="A36" s="1341" t="s">
        <v>1036</v>
      </c>
      <c r="B36" s="345" t="s">
        <v>1444</v>
      </c>
      <c r="C36" s="23">
        <f ca="1">ROUND(C29*F36,0)</f>
        <v>0</v>
      </c>
      <c r="D36" s="1785" t="s">
        <v>1477</v>
      </c>
      <c r="E36" s="345" t="s">
        <v>1417</v>
      </c>
      <c r="F36" s="372">
        <f ca="1">INDIRECT("'数据-取费表'!Ak"&amp;$G$1)</f>
        <v>0</v>
      </c>
      <c r="G36" s="1838"/>
      <c r="H36" s="1846"/>
      <c r="I36" s="1847"/>
      <c r="J36" s="1848"/>
      <c r="K36" s="748"/>
      <c r="L36" s="1846"/>
      <c r="M36" s="1846"/>
    </row>
    <row r="37" spans="1:18" ht="18" customHeight="1">
      <c r="A37" s="1190" t="s">
        <v>1072</v>
      </c>
      <c r="B37" s="345" t="s">
        <v>1448</v>
      </c>
      <c r="C37" s="23">
        <f ca="1">ROUND(C13*F37,0)</f>
        <v>0</v>
      </c>
      <c r="D37" s="1785" t="s">
        <v>1449</v>
      </c>
      <c r="E37" s="345" t="s">
        <v>1450</v>
      </c>
      <c r="F37" s="374">
        <f ca="1">INDIRECT("'数据-取费表'!Al"&amp;$G$1)</f>
        <v>0</v>
      </c>
      <c r="G37" s="1838"/>
      <c r="H37" s="1846"/>
      <c r="I37" s="1847"/>
      <c r="J37" s="1848"/>
      <c r="K37" s="748"/>
      <c r="L37" s="1846"/>
      <c r="M37" s="1846"/>
    </row>
    <row r="38" spans="1:18" ht="18" customHeight="1" thickBot="1">
      <c r="A38" s="1328" t="s">
        <v>1388</v>
      </c>
      <c r="B38" s="1329" t="s">
        <v>1434</v>
      </c>
      <c r="C38" s="1330">
        <f ca="1">ROUND(C5*F38,1)</f>
        <v>0</v>
      </c>
      <c r="D38" s="1331" t="s">
        <v>1454</v>
      </c>
      <c r="E38" s="1329" t="s">
        <v>1450</v>
      </c>
      <c r="F38" s="1325">
        <f ca="1">INDIRECT("'数据-取费表'!Am"&amp;$G$1)</f>
        <v>0</v>
      </c>
      <c r="G38" s="1838"/>
      <c r="H38" s="1846"/>
      <c r="I38" s="1847"/>
      <c r="J38" s="1848"/>
      <c r="K38" s="1852"/>
      <c r="L38" s="1846"/>
      <c r="M38" s="1846"/>
    </row>
    <row r="39" spans="1:18" ht="24.6" customHeight="1" thickTop="1">
      <c r="A39" s="1318" t="s">
        <v>1028</v>
      </c>
      <c r="B39" s="1333" t="s">
        <v>1478</v>
      </c>
      <c r="C39" s="353">
        <f ca="1">C5-C30</f>
        <v>0</v>
      </c>
      <c r="D39" s="1334" t="s">
        <v>1479</v>
      </c>
      <c r="E39" s="1335"/>
      <c r="F39" s="1336"/>
      <c r="G39" s="1838"/>
      <c r="H39" s="1846"/>
      <c r="I39" s="1847"/>
      <c r="J39" s="1848"/>
      <c r="K39" s="1852"/>
      <c r="L39" s="1846"/>
      <c r="M39" s="1846"/>
    </row>
    <row r="40" spans="1:18" ht="18" customHeight="1">
      <c r="A40" s="342" t="s">
        <v>1029</v>
      </c>
      <c r="B40" s="343" t="s">
        <v>1480</v>
      </c>
      <c r="C40" s="344" t="e">
        <f ca="1">ROUND(C39*(1-((1+F42)/(1+F40))^F41)/(F40-F42),0)</f>
        <v>#DIV/0!</v>
      </c>
      <c r="D40" s="368" t="s">
        <v>1464</v>
      </c>
      <c r="E40" s="345" t="s">
        <v>1465</v>
      </c>
      <c r="F40" s="355">
        <f ca="1">INDIRECT("'数据-取费表'!I"&amp;$G$1)</f>
        <v>0</v>
      </c>
      <c r="G40" s="1838"/>
      <c r="H40" s="1826"/>
      <c r="I40" s="1847"/>
      <c r="J40" s="1848"/>
      <c r="K40" s="1852"/>
      <c r="L40" s="1826"/>
      <c r="M40" s="1826"/>
    </row>
    <row r="41" spans="1:18" ht="18" customHeight="1">
      <c r="A41" s="347"/>
      <c r="B41" s="348"/>
      <c r="C41" s="349"/>
      <c r="D41" s="376" t="s">
        <v>1481</v>
      </c>
      <c r="E41" s="345" t="s">
        <v>1469</v>
      </c>
      <c r="F41" s="377">
        <f ca="1">IF(INDIRECT("'数据-取费表'!af"&amp;$G$1)=0,INDIRECT("'数据-取费表'!ae"&amp;$G$1),INDIRECT("'数据-取费表'!af"&amp;$G$1))</f>
        <v>0</v>
      </c>
      <c r="G41" s="1838"/>
      <c r="H41" s="729"/>
      <c r="I41" s="1847"/>
      <c r="J41" s="1848"/>
      <c r="K41" s="748"/>
      <c r="L41" s="729"/>
      <c r="M41" s="729"/>
    </row>
    <row r="42" spans="1:18" ht="18" customHeight="1">
      <c r="A42" s="351"/>
      <c r="B42" s="352"/>
      <c r="C42" s="353"/>
      <c r="D42" s="371"/>
      <c r="E42" s="345" t="s">
        <v>1472</v>
      </c>
      <c r="F42" s="355">
        <f ca="1">INDIRECT("'数据-取费表'!v"&amp;$G$1)</f>
        <v>0</v>
      </c>
      <c r="G42" s="1838"/>
      <c r="H42" s="729"/>
      <c r="I42" s="1847"/>
      <c r="J42" s="1848"/>
      <c r="K42" s="748"/>
      <c r="L42" s="729"/>
      <c r="M42" s="729"/>
    </row>
    <row r="43" spans="1:18" ht="18" customHeight="1" thickBot="1">
      <c r="A43" s="378" t="s">
        <v>1030</v>
      </c>
      <c r="B43" s="379" t="s">
        <v>1482</v>
      </c>
      <c r="C43" s="380" t="e">
        <f ca="1">ROUND(C40/F43,0)</f>
        <v>#DIV/0!</v>
      </c>
      <c r="D43" s="381" t="s">
        <v>1483</v>
      </c>
      <c r="E43" s="382" t="s">
        <v>1484</v>
      </c>
      <c r="F43" s="383">
        <f ca="1">INDIRECT("'数据-取费表'!k"&amp;$G$1)</f>
        <v>0</v>
      </c>
      <c r="G43" s="1838"/>
      <c r="H43" s="729"/>
      <c r="I43" s="729"/>
      <c r="J43" s="729"/>
      <c r="K43" s="748"/>
      <c r="L43" s="729"/>
      <c r="M43" s="729"/>
    </row>
    <row r="44" spans="1:18" s="1829" customFormat="1" ht="18" customHeight="1">
      <c r="A44" s="1853"/>
      <c r="B44" s="1853"/>
      <c r="C44" s="1854"/>
      <c r="D44" s="1853"/>
      <c r="E44" s="1853"/>
      <c r="F44" s="1853"/>
      <c r="K44" s="1855"/>
    </row>
    <row r="45" spans="1:18" s="1829" customFormat="1" ht="18" customHeight="1" thickBot="1">
      <c r="A45" s="1853"/>
      <c r="B45" s="1853"/>
      <c r="C45" s="1925" t="e">
        <f ca="1">C68-C40</f>
        <v>#DIV/0!</v>
      </c>
      <c r="D45" s="1926" t="s">
        <v>1599</v>
      </c>
      <c r="E45" s="1853"/>
      <c r="F45" s="1853"/>
      <c r="O45" s="1856" t="s">
        <v>1514</v>
      </c>
      <c r="P45" s="1826"/>
      <c r="Q45" s="1826"/>
      <c r="R45" s="1826"/>
    </row>
    <row r="46" spans="1:18" s="1829" customFormat="1" ht="13.5" thickBot="1">
      <c r="A46" s="1857" t="s">
        <v>1515</v>
      </c>
      <c r="C46" s="1858" t="e">
        <f ca="1">ROUND(C45/10000,0)</f>
        <v>#DIV/0!</v>
      </c>
      <c r="D46" s="1859" t="str">
        <f>C2</f>
        <v>万元</v>
      </c>
      <c r="I46" s="1860" t="s">
        <v>1516</v>
      </c>
      <c r="J46" s="1861"/>
      <c r="K46" s="1862"/>
      <c r="L46" s="1863" t="e">
        <f ca="1">IF(M47="住宅",0,IF(L48&gt;J51,L60,J60))</f>
        <v>#DIV/0!</v>
      </c>
      <c r="O46" s="1864" t="s">
        <v>1517</v>
      </c>
      <c r="P46" s="1865" t="s">
        <v>1518</v>
      </c>
      <c r="Q46" s="1866" t="s">
        <v>1519</v>
      </c>
      <c r="R46" s="1866" t="s">
        <v>1520</v>
      </c>
    </row>
    <row r="47" spans="1:18" s="1829" customFormat="1" ht="13.5" thickBot="1">
      <c r="A47" s="1154" t="s">
        <v>1391</v>
      </c>
      <c r="B47" s="1186" t="s">
        <v>1392</v>
      </c>
      <c r="C47" s="1186" t="s">
        <v>1393</v>
      </c>
      <c r="D47" s="1186" t="s">
        <v>1394</v>
      </c>
      <c r="E47" s="1268" t="s">
        <v>1395</v>
      </c>
      <c r="F47" s="1269"/>
      <c r="G47" s="789"/>
      <c r="I47" s="1867" t="s">
        <v>1521</v>
      </c>
      <c r="J47" s="1868"/>
      <c r="K47" s="1869" t="s">
        <v>1522</v>
      </c>
      <c r="L47" s="1870">
        <f ca="1">INDIRECT("'数据-取费表'!d"&amp;$G$1)</f>
        <v>0</v>
      </c>
      <c r="M47" s="1825" t="str">
        <f>IF(ISNUMBER(FIND("住宅",C1)),"住宅","非住宅")</f>
        <v>非住宅</v>
      </c>
      <c r="O47" s="1871" t="s">
        <v>1037</v>
      </c>
      <c r="P47" s="1872" t="s">
        <v>1523</v>
      </c>
      <c r="Q47" s="1873" t="e">
        <f ca="1">C40+J29</f>
        <v>#DIV/0!</v>
      </c>
      <c r="R47" s="1873" t="s">
        <v>1524</v>
      </c>
    </row>
    <row r="48" spans="1:18" s="1829" customFormat="1" ht="28.5" thickBot="1">
      <c r="A48" s="1349" t="s">
        <v>1132</v>
      </c>
      <c r="B48" s="343" t="s">
        <v>1396</v>
      </c>
      <c r="C48" s="1804">
        <f ca="1">C49+C53+C55</f>
        <v>0</v>
      </c>
      <c r="D48" s="1351"/>
      <c r="E48" s="1352"/>
      <c r="F48" s="1170"/>
      <c r="G48" s="789"/>
      <c r="H48" s="790"/>
      <c r="I48" s="1874" t="s">
        <v>1525</v>
      </c>
      <c r="J48" s="1875"/>
      <c r="K48" s="1876" t="s">
        <v>1526</v>
      </c>
      <c r="L48" s="1877">
        <f ca="1">INDIRECT("'数据-取费表'!f"&amp;$G$1)</f>
        <v>0</v>
      </c>
      <c r="O48" s="1871" t="s">
        <v>1038</v>
      </c>
      <c r="P48" s="1872" t="s">
        <v>1527</v>
      </c>
      <c r="Q48" s="1873" t="e">
        <f ca="1">J60</f>
        <v>#DIV/0!</v>
      </c>
      <c r="R48" s="1873" t="s">
        <v>1528</v>
      </c>
    </row>
    <row r="49" spans="1:18" s="1829" customFormat="1" ht="13.5" thickBot="1">
      <c r="A49" s="1183" t="s">
        <v>1133</v>
      </c>
      <c r="B49" s="1816" t="s">
        <v>1485</v>
      </c>
      <c r="C49" s="1353">
        <f ca="1">ROUND(F49*F51*F50*(1-F52),0)</f>
        <v>0</v>
      </c>
      <c r="D49" s="1265" t="s">
        <v>1399</v>
      </c>
      <c r="E49" s="1817" t="s">
        <v>1486</v>
      </c>
      <c r="F49" s="1270"/>
      <c r="G49" s="1878"/>
      <c r="H49" s="790"/>
      <c r="I49" s="1874" t="s">
        <v>1529</v>
      </c>
      <c r="J49" s="1879"/>
      <c r="K49" s="1876" t="s">
        <v>1530</v>
      </c>
      <c r="L49" s="1880"/>
      <c r="O49" s="1881" t="s">
        <v>1039</v>
      </c>
      <c r="P49" s="1872" t="s">
        <v>1531</v>
      </c>
      <c r="Q49" s="1873">
        <f ca="1">C29</f>
        <v>0</v>
      </c>
      <c r="R49" s="1873" t="s">
        <v>1524</v>
      </c>
    </row>
    <row r="50" spans="1:18" s="1829" customFormat="1" ht="13.5" thickBot="1">
      <c r="A50" s="1184"/>
      <c r="B50" s="1187"/>
      <c r="C50" s="1188"/>
      <c r="D50" s="1161"/>
      <c r="E50" s="1266" t="s">
        <v>1401</v>
      </c>
      <c r="F50" s="1267">
        <f ca="1">F7</f>
        <v>0</v>
      </c>
      <c r="H50" s="790"/>
      <c r="I50" s="1874" t="s">
        <v>1532</v>
      </c>
      <c r="J50" s="1882">
        <f>SUMPRODUCT((I63:I65=J47)*(J62:L62=J48)*(J63:L65))</f>
        <v>0</v>
      </c>
      <c r="K50" s="1876" t="s">
        <v>1533</v>
      </c>
      <c r="L50" s="1880"/>
      <c r="M50" s="1883"/>
      <c r="O50" s="1881" t="s">
        <v>1040</v>
      </c>
      <c r="P50" s="1872" t="s">
        <v>1534</v>
      </c>
      <c r="Q50" s="1884" t="e">
        <f ca="1">J58</f>
        <v>#DIV/0!</v>
      </c>
      <c r="R50" s="1873"/>
    </row>
    <row r="51" spans="1:18" s="1829" customFormat="1" ht="13.5" thickBot="1">
      <c r="A51" s="1185"/>
      <c r="B51" s="1187"/>
      <c r="C51" s="1188"/>
      <c r="D51" s="1161"/>
      <c r="E51" s="1189" t="s">
        <v>1402</v>
      </c>
      <c r="F51" s="346">
        <f ca="1">F8</f>
        <v>0</v>
      </c>
      <c r="I51" s="1885" t="s">
        <v>1535</v>
      </c>
      <c r="J51" s="1886">
        <f>IF(J49="",J50,J49+J50-YEAR('数据-取费表'!B2))</f>
        <v>0</v>
      </c>
      <c r="K51" s="1887" t="s">
        <v>1536</v>
      </c>
      <c r="L51" s="1888">
        <f ca="1">ROUND(-PV(INDIRECT("'数据-取费表'!h"&amp;$G$1),L48,(C39-C13*C76),0),0)</f>
        <v>0</v>
      </c>
      <c r="M51" s="1889"/>
      <c r="O51" s="1881" t="s">
        <v>1041</v>
      </c>
      <c r="P51" s="1872" t="s">
        <v>1537</v>
      </c>
      <c r="Q51" s="1884">
        <f>J52</f>
        <v>0</v>
      </c>
      <c r="R51" s="1873"/>
    </row>
    <row r="52" spans="1:18" s="1829" customFormat="1" ht="13.5" thickBot="1">
      <c r="A52" s="1185"/>
      <c r="B52" s="1187"/>
      <c r="C52" s="1188"/>
      <c r="D52" s="1161"/>
      <c r="E52" s="1189" t="s">
        <v>1403</v>
      </c>
      <c r="F52" s="1264"/>
      <c r="I52" s="1890" t="s">
        <v>1538</v>
      </c>
      <c r="J52" s="1891"/>
      <c r="K52" s="1890" t="s">
        <v>1539</v>
      </c>
      <c r="L52" s="1891"/>
      <c r="O52" s="1881" t="s">
        <v>1042</v>
      </c>
      <c r="P52" s="1872" t="s">
        <v>1540</v>
      </c>
      <c r="Q52" s="1873">
        <f ca="1">J53</f>
        <v>-3</v>
      </c>
      <c r="R52" s="1873" t="s">
        <v>1541</v>
      </c>
    </row>
    <row r="53" spans="1:18" s="1829" customFormat="1" ht="30.75" customHeight="1" thickBot="1">
      <c r="A53" s="1350" t="s">
        <v>1134</v>
      </c>
      <c r="B53" s="367" t="s">
        <v>1404</v>
      </c>
      <c r="C53" s="359">
        <f ca="1">ROUND(IF(F53="押一",C49/12*F11,IF(F53="押二",C49/12*2*F11,IF(F53="押三",C49/12*3*F11,C54*F11))),0)</f>
        <v>0</v>
      </c>
      <c r="D53" s="1811" t="s">
        <v>3023</v>
      </c>
      <c r="E53" s="356" t="s">
        <v>1405</v>
      </c>
      <c r="F53" s="1355"/>
      <c r="I53" s="1892" t="s">
        <v>1542</v>
      </c>
      <c r="J53" s="2928">
        <f ca="1">IF(M47="住宅",IF(D1="——",MAX(J51,L48),MAX(J51,L48-'数据-取费表'!B24)),IF(D1="——",MIN(J51,L48),MIN(J51,L48-'数据-取费表'!B24)))</f>
        <v>-3</v>
      </c>
      <c r="K53" s="3296" t="s">
        <v>1543</v>
      </c>
      <c r="L53" s="3297"/>
      <c r="O53" s="1871" t="s">
        <v>1043</v>
      </c>
      <c r="P53" s="1872" t="s">
        <v>1544</v>
      </c>
      <c r="Q53" s="1873" t="e">
        <f ca="1">Q47+Q48</f>
        <v>#DIV/0!</v>
      </c>
      <c r="R53" s="1873" t="s">
        <v>1044</v>
      </c>
    </row>
    <row r="54" spans="1:18" s="1829" customFormat="1" ht="13.5" thickBot="1">
      <c r="A54" s="1183"/>
      <c r="B54" s="1927" t="s">
        <v>1598</v>
      </c>
      <c r="C54" s="1167"/>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8"/>
      <c r="O54" s="1856" t="s">
        <v>1545</v>
      </c>
      <c r="P54" s="1826"/>
      <c r="Q54" s="1826"/>
      <c r="R54" s="1826"/>
    </row>
    <row r="55" spans="1:18" s="1829" customFormat="1" ht="13.5" thickBot="1">
      <c r="A55" s="1322" t="s">
        <v>1072</v>
      </c>
      <c r="B55" s="1814" t="s">
        <v>1408</v>
      </c>
      <c r="C55" s="1323"/>
      <c r="D55" s="1811"/>
      <c r="E55" s="1819"/>
      <c r="F55" s="1893"/>
      <c r="I55" s="1896" t="s">
        <v>1546</v>
      </c>
      <c r="J55" s="1897" t="e">
        <f ca="1">ROUND(IF(J47="钢混",J57/J50,1-(1-2%)*(J50-J57)/J50),3)</f>
        <v>#DIV/0!</v>
      </c>
      <c r="K55" s="1898" t="s">
        <v>1547</v>
      </c>
      <c r="L55" s="1899"/>
      <c r="O55" s="1864" t="s">
        <v>1517</v>
      </c>
      <c r="P55" s="1865" t="s">
        <v>1518</v>
      </c>
      <c r="Q55" s="1866" t="s">
        <v>1519</v>
      </c>
      <c r="R55" s="1866" t="s">
        <v>1520</v>
      </c>
    </row>
    <row r="56" spans="1:18" s="1829" customFormat="1" ht="36" customHeight="1" thickTop="1" thickBot="1">
      <c r="A56" s="1165">
        <v>2</v>
      </c>
      <c r="B56" s="1166" t="s">
        <v>1409</v>
      </c>
      <c r="C56" s="274">
        <f ca="1">C13</f>
        <v>0</v>
      </c>
      <c r="D56" s="1900"/>
      <c r="E56" s="1901"/>
      <c r="F56" s="1893"/>
      <c r="I56" s="1902" t="s">
        <v>1549</v>
      </c>
      <c r="J56" s="1903"/>
      <c r="K56" s="1874" t="s">
        <v>1550</v>
      </c>
      <c r="L56" s="1877">
        <f ca="1">IF(L48&lt;J51,"——",L48-J51)</f>
        <v>0</v>
      </c>
      <c r="O56" s="1871" t="s">
        <v>1037</v>
      </c>
      <c r="P56" s="1872" t="s">
        <v>1523</v>
      </c>
      <c r="Q56" s="1873" t="e">
        <f ca="1">C40+J29</f>
        <v>#DIV/0!</v>
      </c>
      <c r="R56" s="1873" t="s">
        <v>1524</v>
      </c>
    </row>
    <row r="57" spans="1:18" s="1829" customFormat="1" ht="24.75" thickBot="1">
      <c r="A57" s="1904"/>
      <c r="B57" s="1158" t="s">
        <v>1473</v>
      </c>
      <c r="C57" s="280">
        <f ca="1">C29</f>
        <v>0</v>
      </c>
      <c r="D57" s="1905"/>
      <c r="E57" s="1906"/>
      <c r="F57" s="1907"/>
      <c r="I57" s="1908" t="s">
        <v>1551</v>
      </c>
      <c r="J57" s="1909">
        <f ca="1">IF(OR(M47="住宅",J51&lt;L48,J56="是"),"——",J51-L48)</f>
        <v>0</v>
      </c>
      <c r="K57" s="1874" t="s">
        <v>1600</v>
      </c>
      <c r="L57" s="1877">
        <f ca="1">IF(L48&lt;J51,"——",IF(L55="比较法",L49,IF(L55="基准地价",L50,L51)))</f>
        <v>0</v>
      </c>
      <c r="O57" s="1871" t="s">
        <v>1038</v>
      </c>
      <c r="P57" s="1872" t="s">
        <v>1601</v>
      </c>
      <c r="Q57" s="1873" t="e">
        <f ca="1">L60</f>
        <v>#DIV/0!</v>
      </c>
      <c r="R57" s="1873" t="s">
        <v>1602</v>
      </c>
    </row>
    <row r="58" spans="1:18" s="1829" customFormat="1" ht="24.75" thickBot="1">
      <c r="A58" s="358" t="s">
        <v>1027</v>
      </c>
      <c r="B58" s="1166" t="s">
        <v>1419</v>
      </c>
      <c r="C58" s="359">
        <f ca="1">ROUND(C59+C64+C65+C66,0)</f>
        <v>0</v>
      </c>
      <c r="D58" s="1168" t="s">
        <v>1420</v>
      </c>
      <c r="E58" s="1169"/>
      <c r="F58" s="1170"/>
      <c r="I58" s="1908" t="s">
        <v>1555</v>
      </c>
      <c r="J58" s="1910" t="e">
        <f ca="1">IF(J55&lt;0.4,0.4,J55)</f>
        <v>#DIV/0!</v>
      </c>
      <c r="K58" s="1887" t="s">
        <v>1603</v>
      </c>
      <c r="L58" s="1877" t="e">
        <f ca="1">ROUND(POWER(1+L52,L47-L48)*(POWER(1+L52,L48)-1)/(POWER(1+L52,L47)-1),4)</f>
        <v>#DIV/0!</v>
      </c>
      <c r="O58" s="1881" t="s">
        <v>1039</v>
      </c>
      <c r="P58" s="1872" t="s">
        <v>1557</v>
      </c>
      <c r="Q58" s="1873">
        <f>IF(L55="比较法",L49,IF(L55="基准地价",L50,0))</f>
        <v>0</v>
      </c>
      <c r="R58" s="1873" t="s">
        <v>1524</v>
      </c>
    </row>
    <row r="59" spans="1:18" s="1829" customFormat="1" ht="24.75" thickBot="1">
      <c r="A59" s="1190" t="s">
        <v>1032</v>
      </c>
      <c r="B59" s="1158" t="s">
        <v>1424</v>
      </c>
      <c r="C59" s="23">
        <f ca="1">ROUND(IF(项目基本情况!B11="自然人",C48*F59,C60+C61+C62),0)</f>
        <v>0</v>
      </c>
      <c r="D59" s="1171" t="s">
        <v>1425</v>
      </c>
      <c r="E59" s="1172" t="s">
        <v>1426</v>
      </c>
      <c r="F59" s="366" t="str">
        <f ca="1">IF(项目基本情况!B11="企业","",IF(INDIRECT("'数据-取费表'!c"&amp;$G$1)="住宅",5%,IF(F49*F50*F51/12/(1+'数据-取费表'!C42)&gt;20000,12%,7%)))</f>
        <v/>
      </c>
      <c r="I59" s="1908" t="s">
        <v>1558</v>
      </c>
      <c r="J59" s="1909"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1" t="s">
        <v>1040</v>
      </c>
      <c r="P59" s="1872" t="s">
        <v>1559</v>
      </c>
      <c r="Q59" s="1884">
        <f>L52</f>
        <v>0</v>
      </c>
      <c r="R59" s="1873"/>
    </row>
    <row r="60" spans="1:18" s="1829" customFormat="1" ht="16.5" thickBot="1">
      <c r="A60" s="1190" t="s">
        <v>1031</v>
      </c>
      <c r="B60" s="1158" t="s">
        <v>1428</v>
      </c>
      <c r="C60" s="23">
        <f ca="1">IF(项目基本情况!B11="自然人","——",ROUND(C48*F60/(1+'数据-取费表'!C42),0))</f>
        <v>0</v>
      </c>
      <c r="D60" s="1172" t="s">
        <v>1429</v>
      </c>
      <c r="E60" s="1158" t="s">
        <v>1417</v>
      </c>
      <c r="F60" s="375">
        <f t="shared" ref="F60:F66" si="0">F32</f>
        <v>5.6000000000000001E-2</v>
      </c>
      <c r="I60" s="1911" t="s">
        <v>1560</v>
      </c>
      <c r="J60" s="1912" t="e">
        <f ca="1">IF(OR(M47="住宅",J51&lt;L48,J56="是"),"0",ROUND(J59/(1+J52)^J53,0))</f>
        <v>#DIV/0!</v>
      </c>
      <c r="K60" s="1913" t="s">
        <v>1561</v>
      </c>
      <c r="L60" s="1912" t="e">
        <f ca="1">IF(OR(M47="住宅",L48&lt;J51),0,ROUND(L57*(L58/L59-1),0))</f>
        <v>#DIV/0!</v>
      </c>
      <c r="O60" s="1881" t="s">
        <v>1041</v>
      </c>
      <c r="P60" s="1872" t="s">
        <v>1562</v>
      </c>
      <c r="Q60" s="1873" t="e">
        <f ca="1">L58</f>
        <v>#DIV/0!</v>
      </c>
      <c r="R60" s="1873" t="s">
        <v>1563</v>
      </c>
    </row>
    <row r="61" spans="1:18" s="1829" customFormat="1" ht="13.5" thickBot="1">
      <c r="A61" s="1190" t="s">
        <v>1487</v>
      </c>
      <c r="B61" s="1158" t="s">
        <v>1488</v>
      </c>
      <c r="C61" s="23">
        <f ca="1">IF(项目基本情况!B11="自然人","——",IF(D61="按租金收入计税",ROUND(C48*F61,0),IF(D61="按房产原值计税",ROUND(C57*F61*0.7,0),INDIRECT("'数据-取费表'!Aj"&amp;$G$1))))</f>
        <v>0</v>
      </c>
      <c r="D61" s="1815" t="s">
        <v>1433</v>
      </c>
      <c r="E61" s="1158" t="s">
        <v>1489</v>
      </c>
      <c r="F61" s="365">
        <f t="shared" si="0"/>
        <v>1.2E-2</v>
      </c>
      <c r="I61" s="1914"/>
      <c r="J61" s="1914"/>
      <c r="K61" s="1914"/>
      <c r="L61" s="1914"/>
      <c r="O61" s="1881" t="s">
        <v>1042</v>
      </c>
      <c r="P61" s="1872" t="str">
        <f>K59</f>
        <v>建设期及建筑物耐用年限下的土地年期修正系数Kn</v>
      </c>
      <c r="Q61" s="1873" t="e">
        <f ca="1">L59</f>
        <v>#DIV/0!</v>
      </c>
      <c r="R61" s="1873" t="s">
        <v>1564</v>
      </c>
    </row>
    <row r="62" spans="1:18" s="1829" customFormat="1" ht="13.5" thickBot="1">
      <c r="A62" s="1190" t="s">
        <v>1490</v>
      </c>
      <c r="B62" s="1157" t="s">
        <v>1491</v>
      </c>
      <c r="C62" s="24">
        <f ca="1">IF(项目基本情况!B11="自然人","——",ROUND(F62*F63,0))</f>
        <v>0</v>
      </c>
      <c r="D62" s="1173" t="s">
        <v>1492</v>
      </c>
      <c r="E62" s="1158" t="s">
        <v>1493</v>
      </c>
      <c r="F62" s="369">
        <f t="shared" si="0"/>
        <v>5</v>
      </c>
      <c r="I62" s="1915" t="s">
        <v>1565</v>
      </c>
      <c r="J62" s="1916" t="s">
        <v>1566</v>
      </c>
      <c r="K62" s="1916" t="s">
        <v>1567</v>
      </c>
      <c r="L62" s="1916" t="s">
        <v>1568</v>
      </c>
      <c r="M62" s="1917" t="s">
        <v>1569</v>
      </c>
      <c r="O62" s="1871" t="s">
        <v>1043</v>
      </c>
      <c r="P62" s="1872" t="s">
        <v>1570</v>
      </c>
      <c r="Q62" s="1873" t="e">
        <f ca="1">Q56+Q57</f>
        <v>#DIV/0!</v>
      </c>
      <c r="R62" s="1873" t="s">
        <v>1044</v>
      </c>
    </row>
    <row r="63" spans="1:18" s="1829" customFormat="1" ht="13.5" thickBot="1">
      <c r="A63" s="370"/>
      <c r="B63" s="1164"/>
      <c r="C63" s="28"/>
      <c r="D63" s="1174"/>
      <c r="E63" s="1158" t="s">
        <v>1494</v>
      </c>
      <c r="F63" s="346">
        <f t="shared" ca="1" si="0"/>
        <v>0</v>
      </c>
      <c r="I63" s="1915" t="s">
        <v>1571</v>
      </c>
      <c r="J63" s="1916">
        <v>70</v>
      </c>
      <c r="K63" s="1916">
        <v>50</v>
      </c>
      <c r="L63" s="1916">
        <v>80</v>
      </c>
      <c r="M63" s="1918">
        <v>0.02</v>
      </c>
      <c r="O63" s="1856" t="s">
        <v>1572</v>
      </c>
      <c r="P63" s="1826"/>
      <c r="Q63" s="1826"/>
      <c r="R63" s="1826"/>
    </row>
    <row r="64" spans="1:18" s="1829" customFormat="1" ht="13.5" thickBot="1">
      <c r="A64" s="1190" t="s">
        <v>1495</v>
      </c>
      <c r="B64" s="1158" t="s">
        <v>1496</v>
      </c>
      <c r="C64" s="23">
        <f ca="1">ROUND(C57*F64,0)</f>
        <v>0</v>
      </c>
      <c r="D64" s="1172" t="s">
        <v>1497</v>
      </c>
      <c r="E64" s="1158" t="s">
        <v>1489</v>
      </c>
      <c r="F64" s="372">
        <f t="shared" ca="1" si="0"/>
        <v>0</v>
      </c>
      <c r="I64" s="1915" t="s">
        <v>1573</v>
      </c>
      <c r="J64" s="1916">
        <v>50</v>
      </c>
      <c r="K64" s="1916">
        <v>35</v>
      </c>
      <c r="L64" s="1916">
        <v>60</v>
      </c>
      <c r="M64" s="1917">
        <v>0</v>
      </c>
      <c r="O64" s="1864" t="s">
        <v>1517</v>
      </c>
      <c r="P64" s="1865" t="s">
        <v>1518</v>
      </c>
      <c r="Q64" s="1866" t="s">
        <v>1519</v>
      </c>
      <c r="R64" s="1866" t="s">
        <v>1520</v>
      </c>
    </row>
    <row r="65" spans="1:18" s="1829" customFormat="1" ht="13.5" thickBot="1">
      <c r="A65" s="1190" t="s">
        <v>1498</v>
      </c>
      <c r="B65" s="1158" t="s">
        <v>1448</v>
      </c>
      <c r="C65" s="23">
        <f ca="1">ROUND(C56*F65,0)</f>
        <v>0</v>
      </c>
      <c r="D65" s="1172" t="s">
        <v>1449</v>
      </c>
      <c r="E65" s="1158" t="s">
        <v>1450</v>
      </c>
      <c r="F65" s="374">
        <f t="shared" ca="1" si="0"/>
        <v>0</v>
      </c>
      <c r="I65" s="1915" t="s">
        <v>1574</v>
      </c>
      <c r="J65" s="1916">
        <v>40</v>
      </c>
      <c r="K65" s="1916">
        <v>30</v>
      </c>
      <c r="L65" s="1916">
        <v>50</v>
      </c>
      <c r="M65" s="1918">
        <v>0.02</v>
      </c>
      <c r="O65" s="1871" t="s">
        <v>1037</v>
      </c>
      <c r="P65" s="1872" t="s">
        <v>1575</v>
      </c>
      <c r="Q65" s="1873" t="e">
        <f ca="1">C40+J29</f>
        <v>#DIV/0!</v>
      </c>
      <c r="R65" s="1873" t="s">
        <v>1524</v>
      </c>
    </row>
    <row r="66" spans="1:18" s="1829" customFormat="1" ht="16.5" thickBot="1">
      <c r="A66" s="1190" t="s">
        <v>1499</v>
      </c>
      <c r="B66" s="1158" t="s">
        <v>1434</v>
      </c>
      <c r="C66" s="23">
        <f ca="1">ROUND(C48*F66,0)</f>
        <v>0</v>
      </c>
      <c r="D66" s="1172" t="s">
        <v>1500</v>
      </c>
      <c r="E66" s="1158" t="s">
        <v>1417</v>
      </c>
      <c r="F66" s="355">
        <f t="shared" ca="1" si="0"/>
        <v>0</v>
      </c>
      <c r="O66" s="1871" t="s">
        <v>1038</v>
      </c>
      <c r="P66" s="1872" t="s">
        <v>1553</v>
      </c>
      <c r="Q66" s="1873" t="e">
        <f ca="1">L60</f>
        <v>#DIV/0!</v>
      </c>
      <c r="R66" s="1873" t="s">
        <v>1576</v>
      </c>
    </row>
    <row r="67" spans="1:18" s="1829" customFormat="1" ht="16.5" thickBot="1">
      <c r="A67" s="1165" t="s">
        <v>1028</v>
      </c>
      <c r="B67" s="1175" t="s">
        <v>1458</v>
      </c>
      <c r="C67" s="359">
        <f ca="1">C48-C58</f>
        <v>0</v>
      </c>
      <c r="D67" s="1171" t="s">
        <v>1459</v>
      </c>
      <c r="E67" s="1176"/>
      <c r="F67" s="1177"/>
      <c r="O67" s="1881" t="s">
        <v>1039</v>
      </c>
      <c r="P67" s="1872" t="s">
        <v>1557</v>
      </c>
      <c r="Q67" s="1919">
        <f ca="1">L51</f>
        <v>0</v>
      </c>
      <c r="R67" s="1873" t="s">
        <v>1577</v>
      </c>
    </row>
    <row r="68" spans="1:18" s="1829" customFormat="1" ht="16.5" thickBot="1">
      <c r="A68" s="1155" t="s">
        <v>1029</v>
      </c>
      <c r="B68" s="1156" t="s">
        <v>1480</v>
      </c>
      <c r="C68" s="344" t="e">
        <f ca="1">ROUND(C67*(1-((1+F70)/(1+F68))^F69)/(F68-F70),0)</f>
        <v>#DIV/0!</v>
      </c>
      <c r="D68" s="1173" t="s">
        <v>1464</v>
      </c>
      <c r="E68" s="1158" t="s">
        <v>1465</v>
      </c>
      <c r="F68" s="355">
        <f ca="1">F40</f>
        <v>0</v>
      </c>
      <c r="O68" s="1881" t="s">
        <v>1040</v>
      </c>
      <c r="P68" s="1920" t="s">
        <v>1578</v>
      </c>
      <c r="Q68" s="1873">
        <f ca="1">ROUND(Q69-Q70*Q71,0)</f>
        <v>0</v>
      </c>
      <c r="R68" s="1873" t="s">
        <v>1048</v>
      </c>
    </row>
    <row r="69" spans="1:18" s="1829" customFormat="1" ht="13.5" thickBot="1">
      <c r="A69" s="1159"/>
      <c r="B69" s="1160"/>
      <c r="C69" s="349"/>
      <c r="D69" s="1178" t="s">
        <v>1468</v>
      </c>
      <c r="E69" s="1158" t="s">
        <v>1469</v>
      </c>
      <c r="F69" s="377">
        <f ca="1">F41</f>
        <v>0</v>
      </c>
      <c r="O69" s="1881" t="s">
        <v>1045</v>
      </c>
      <c r="P69" s="1920" t="s">
        <v>1579</v>
      </c>
      <c r="Q69" s="1873">
        <f ca="1">C39</f>
        <v>0</v>
      </c>
      <c r="R69" s="1873" t="s">
        <v>1524</v>
      </c>
    </row>
    <row r="70" spans="1:18" s="1829" customFormat="1" ht="13.5" thickBot="1">
      <c r="A70" s="1162"/>
      <c r="B70" s="1163"/>
      <c r="C70" s="353"/>
      <c r="D70" s="1174"/>
      <c r="E70" s="1158" t="s">
        <v>1472</v>
      </c>
      <c r="F70" s="1264">
        <f ca="1">F42</f>
        <v>0</v>
      </c>
      <c r="O70" s="1881" t="s">
        <v>1046</v>
      </c>
      <c r="P70" s="1920" t="s">
        <v>1580</v>
      </c>
      <c r="Q70" s="1873">
        <f ca="1">C13</f>
        <v>0</v>
      </c>
      <c r="R70" s="1873" t="s">
        <v>1524</v>
      </c>
    </row>
    <row r="71" spans="1:18" s="1829" customFormat="1" ht="13.5" thickBot="1">
      <c r="A71" s="1179" t="s">
        <v>1030</v>
      </c>
      <c r="B71" s="1180" t="s">
        <v>1482</v>
      </c>
      <c r="C71" s="380" t="e">
        <f ca="1">ROUND(C68/F71,0)</f>
        <v>#DIV/0!</v>
      </c>
      <c r="D71" s="1181" t="s">
        <v>1483</v>
      </c>
      <c r="E71" s="1182" t="s">
        <v>1484</v>
      </c>
      <c r="F71" s="383">
        <f ca="1">F43</f>
        <v>0</v>
      </c>
      <c r="O71" s="1881" t="s">
        <v>1047</v>
      </c>
      <c r="P71" s="1920" t="s">
        <v>1581</v>
      </c>
      <c r="Q71" s="1884">
        <f ca="1">C76</f>
        <v>0</v>
      </c>
      <c r="R71" s="1873"/>
    </row>
    <row r="72" spans="1:18" s="1829" customFormat="1" ht="13.5" thickBot="1">
      <c r="B72" s="793"/>
      <c r="C72" s="793"/>
      <c r="O72" s="1881" t="s">
        <v>1041</v>
      </c>
      <c r="P72" s="1872" t="s">
        <v>1559</v>
      </c>
      <c r="Q72" s="1884">
        <f>L52</f>
        <v>0</v>
      </c>
      <c r="R72" s="1873"/>
    </row>
    <row r="73" spans="1:18" ht="16.5" thickBot="1">
      <c r="A73" s="1829"/>
      <c r="B73" s="793"/>
      <c r="C73" s="793"/>
      <c r="D73" s="1829"/>
      <c r="E73" s="1829"/>
      <c r="F73" s="1829"/>
      <c r="O73" s="1881" t="s">
        <v>1042</v>
      </c>
      <c r="P73" s="1872" t="s">
        <v>1562</v>
      </c>
      <c r="Q73" s="1873" t="e">
        <f ca="1">L58</f>
        <v>#DIV/0!</v>
      </c>
      <c r="R73" s="1873" t="s">
        <v>1563</v>
      </c>
    </row>
    <row r="74" spans="1:18" ht="13.5" thickBot="1">
      <c r="A74" s="1829"/>
      <c r="B74" s="315" t="s">
        <v>1582</v>
      </c>
      <c r="C74" s="1922"/>
      <c r="D74" s="1829"/>
      <c r="E74" s="1829"/>
      <c r="F74" s="1829"/>
      <c r="O74" s="1881" t="s">
        <v>1049</v>
      </c>
      <c r="P74" s="1872" t="str">
        <f>K59</f>
        <v>建设期及建筑物耐用年限下的土地年期修正系数Kn</v>
      </c>
      <c r="Q74" s="1873" t="e">
        <f ca="1">L59</f>
        <v>#DIV/0!</v>
      </c>
      <c r="R74" s="1873" t="s">
        <v>1564</v>
      </c>
    </row>
    <row r="75" spans="1:18" ht="13.5" thickBot="1">
      <c r="A75" s="1829"/>
      <c r="B75" s="384" t="s">
        <v>1501</v>
      </c>
      <c r="C75" s="385">
        <f ca="1">ROUND(C13*C76,0)</f>
        <v>0</v>
      </c>
      <c r="D75" s="1829"/>
      <c r="E75" s="1829"/>
      <c r="F75" s="1829"/>
      <c r="K75" s="1855"/>
      <c r="L75" s="1829"/>
      <c r="O75" s="1871" t="s">
        <v>1043</v>
      </c>
      <c r="P75" s="1872" t="s">
        <v>1544</v>
      </c>
      <c r="Q75" s="1873" t="e">
        <f ca="1">Q65+Q66</f>
        <v>#DIV/0!</v>
      </c>
      <c r="R75" s="1873" t="s">
        <v>1044</v>
      </c>
    </row>
    <row r="76" spans="1:18">
      <c r="B76" s="386" t="s">
        <v>1502</v>
      </c>
      <c r="C76" s="387">
        <f ca="1">INDIRECT("'数据-取费表'!j"&amp;$G$1)</f>
        <v>0</v>
      </c>
      <c r="I76" s="1829"/>
      <c r="J76" s="1829"/>
      <c r="K76" s="1855"/>
      <c r="L76" s="1829"/>
    </row>
    <row r="77" spans="1:18">
      <c r="B77" s="388" t="s">
        <v>1503</v>
      </c>
      <c r="C77" s="389"/>
      <c r="I77" s="1829"/>
      <c r="J77" s="1829"/>
      <c r="K77" s="1855"/>
      <c r="L77" s="1829"/>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2" t="s">
        <v>2509</v>
      </c>
      <c r="B1" s="2543"/>
      <c r="C1" s="2543"/>
      <c r="D1" s="2543"/>
      <c r="E1" s="2544"/>
    </row>
    <row r="2" spans="1:6" ht="15.75">
      <c r="A2" s="2545" t="s">
        <v>2313</v>
      </c>
      <c r="B2" s="2546">
        <f ca="1">SUMIF(B6:B13,"&lt;&gt;#ref!",B6:B13)</f>
        <v>84786</v>
      </c>
      <c r="C2" s="2547" t="s">
        <v>2502</v>
      </c>
      <c r="D2" s="2548" t="s">
        <v>2503</v>
      </c>
      <c r="E2" s="2549">
        <f>SUM(E6:E13)</f>
        <v>66687.25</v>
      </c>
    </row>
    <row r="3" spans="1:6" ht="15.75">
      <c r="A3" s="2545" t="s">
        <v>1390</v>
      </c>
      <c r="B3" s="2546">
        <f ca="1">ROUND(B2*10000/E2,0)</f>
        <v>12714</v>
      </c>
      <c r="C3" s="2547" t="s">
        <v>2510</v>
      </c>
      <c r="D3" s="2550"/>
      <c r="E3" s="2551"/>
    </row>
    <row r="4" spans="1:6" ht="15.75">
      <c r="A4" s="2552"/>
      <c r="B4" s="2550"/>
      <c r="C4" s="2550"/>
      <c r="D4" s="2550"/>
      <c r="E4" s="2551"/>
    </row>
    <row r="5" spans="1:6" ht="15">
      <c r="A5" s="2553" t="s">
        <v>2504</v>
      </c>
      <c r="B5" s="3301" t="s">
        <v>2505</v>
      </c>
      <c r="C5" s="3301"/>
      <c r="D5" s="2554"/>
      <c r="E5" s="2555" t="s">
        <v>2506</v>
      </c>
      <c r="F5" s="2556" t="s">
        <v>2507</v>
      </c>
    </row>
    <row r="6" spans="1:6">
      <c r="A6" s="2557" t="str">
        <f>'数据-取费表'!AN6</f>
        <v>收益法</v>
      </c>
      <c r="B6" s="2556">
        <f ca="1">IF(F6="是",'数据-取费表'!AO6,0)</f>
        <v>84786</v>
      </c>
      <c r="C6" s="2547" t="s">
        <v>2502</v>
      </c>
      <c r="D6" s="2550"/>
      <c r="E6" s="2558">
        <f>IF(OR(A6=0,F6="否"),0,'数据-取费表'!K6+'数据-取费表'!S6)</f>
        <v>66687.25</v>
      </c>
      <c r="F6" s="2559" t="s">
        <v>2508</v>
      </c>
    </row>
    <row r="7" spans="1:6">
      <c r="A7" s="2557">
        <f>'数据-取费表'!AN7</f>
        <v>0</v>
      </c>
      <c r="B7" s="2556" t="e">
        <f ca="1">IF(F7="是",'数据-取费表'!AO7,0)</f>
        <v>#REF!</v>
      </c>
      <c r="C7" s="2547" t="s">
        <v>2502</v>
      </c>
      <c r="D7" s="2550"/>
      <c r="E7" s="2558">
        <f>IF(OR(A7=0,F7="否"),0,'数据-取费表'!K7+'数据-取费表'!S7)</f>
        <v>0</v>
      </c>
      <c r="F7" s="2559" t="s">
        <v>2508</v>
      </c>
    </row>
    <row r="8" spans="1:6">
      <c r="A8" s="2557">
        <f>'数据-取费表'!AN8</f>
        <v>0</v>
      </c>
      <c r="B8" s="2556" t="e">
        <f ca="1">IF(F8="是",'数据-取费表'!AO8,0)</f>
        <v>#REF!</v>
      </c>
      <c r="C8" s="2547" t="s">
        <v>2502</v>
      </c>
      <c r="D8" s="2550"/>
      <c r="E8" s="2558">
        <f>IF(OR(A8=0,F8="否"),0,'数据-取费表'!K8+'数据-取费表'!S8)</f>
        <v>0</v>
      </c>
      <c r="F8" s="2559" t="s">
        <v>2508</v>
      </c>
    </row>
    <row r="9" spans="1:6">
      <c r="A9" s="2557">
        <f>'数据-取费表'!AN9</f>
        <v>0</v>
      </c>
      <c r="B9" s="2556" t="e">
        <f ca="1">IF(F9="是",'数据-取费表'!AO9,0)</f>
        <v>#REF!</v>
      </c>
      <c r="C9" s="2547" t="s">
        <v>2502</v>
      </c>
      <c r="D9" s="2550"/>
      <c r="E9" s="2558">
        <f>IF(OR(A9=0,F9="否"),0,'数据-取费表'!K9+'数据-取费表'!S9)</f>
        <v>0</v>
      </c>
      <c r="F9" s="2559" t="s">
        <v>2508</v>
      </c>
    </row>
    <row r="10" spans="1:6">
      <c r="A10" s="2557">
        <f>'数据-取费表'!AN10</f>
        <v>0</v>
      </c>
      <c r="B10" s="2556" t="e">
        <f ca="1">IF(F10="是",'数据-取费表'!AO10,0)</f>
        <v>#REF!</v>
      </c>
      <c r="C10" s="2547" t="s">
        <v>2502</v>
      </c>
      <c r="D10" s="2550"/>
      <c r="E10" s="2558">
        <f>IF(OR(A10=0,F10="否"),0,'数据-取费表'!K10+'数据-取费表'!S10)</f>
        <v>0</v>
      </c>
      <c r="F10" s="2559" t="s">
        <v>2508</v>
      </c>
    </row>
    <row r="11" spans="1:6">
      <c r="A11" s="2557">
        <f>'数据-取费表'!AN11</f>
        <v>0</v>
      </c>
      <c r="B11" s="2556" t="e">
        <f ca="1">IF(F11="是",'数据-取费表'!AO11,0)</f>
        <v>#REF!</v>
      </c>
      <c r="C11" s="2547" t="s">
        <v>2502</v>
      </c>
      <c r="D11" s="2550"/>
      <c r="E11" s="2558">
        <f>IF(OR(A11=0,F11="否"),0,'数据-取费表'!K11+'数据-取费表'!S11)</f>
        <v>0</v>
      </c>
      <c r="F11" s="2559" t="s">
        <v>2508</v>
      </c>
    </row>
    <row r="12" spans="1:6">
      <c r="A12" s="2557">
        <f>'数据-取费表'!AN12</f>
        <v>0</v>
      </c>
      <c r="B12" s="2556" t="e">
        <f ca="1">IF(F12="是",'数据-取费表'!AO12,0)</f>
        <v>#REF!</v>
      </c>
      <c r="C12" s="2547" t="s">
        <v>2502</v>
      </c>
      <c r="D12" s="2550"/>
      <c r="E12" s="2558">
        <f>IF(OR(A12=0,F12="否"),0,'数据-取费表'!K12+'数据-取费表'!S12)</f>
        <v>0</v>
      </c>
      <c r="F12" s="2559" t="s">
        <v>2508</v>
      </c>
    </row>
    <row r="13" spans="1:6" ht="15" thickBot="1">
      <c r="A13" s="2560">
        <f>'数据-取费表'!AN13</f>
        <v>0</v>
      </c>
      <c r="B13" s="2556" t="e">
        <f ca="1">IF(F13="是",'数据-取费表'!AO13,0)</f>
        <v>#REF!</v>
      </c>
      <c r="C13" s="2561" t="s">
        <v>2502</v>
      </c>
      <c r="D13" s="2562"/>
      <c r="E13" s="2558">
        <f>IF(OR(A13=0,F13="否"),0,'数据-取费表'!K13+'数据-取费表'!S13)</f>
        <v>0</v>
      </c>
      <c r="F13" s="2559"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8" t="s">
        <v>1073</v>
      </c>
      <c r="B1" s="3319"/>
      <c r="C1" s="3320"/>
      <c r="D1" s="3321">
        <f>SUM(I10,I15,I20,I21,I23)</f>
        <v>0</v>
      </c>
      <c r="E1" s="3321"/>
      <c r="F1" s="3321"/>
      <c r="G1" s="3321"/>
      <c r="H1" s="3321"/>
      <c r="I1" s="3322"/>
    </row>
    <row r="2" spans="1:9">
      <c r="A2" s="3308" t="s">
        <v>1074</v>
      </c>
      <c r="B2" s="3309" t="s">
        <v>1075</v>
      </c>
      <c r="C2" s="3309"/>
      <c r="D2" s="1290" t="s">
        <v>1076</v>
      </c>
      <c r="E2" s="1290" t="s">
        <v>1077</v>
      </c>
      <c r="F2" s="1290" t="s">
        <v>1078</v>
      </c>
      <c r="G2" s="1290" t="s">
        <v>1079</v>
      </c>
      <c r="H2" s="1290" t="s">
        <v>1080</v>
      </c>
      <c r="I2" s="1291" t="s">
        <v>1081</v>
      </c>
    </row>
    <row r="3" spans="1:9">
      <c r="A3" s="3308"/>
      <c r="B3" s="3309" t="s">
        <v>1082</v>
      </c>
      <c r="C3" s="3309"/>
      <c r="D3" s="1292"/>
      <c r="E3" s="1290"/>
      <c r="F3" s="1293"/>
      <c r="G3" s="1293"/>
      <c r="H3" s="1294"/>
      <c r="I3" s="1295">
        <f>ROUND(D3*E3*F3*G3*H3/10000,0)</f>
        <v>0</v>
      </c>
    </row>
    <row r="4" spans="1:9">
      <c r="A4" s="3308"/>
      <c r="B4" s="3309" t="s">
        <v>1083</v>
      </c>
      <c r="C4" s="3309"/>
      <c r="D4" s="1292"/>
      <c r="E4" s="1290"/>
      <c r="F4" s="1293"/>
      <c r="G4" s="1293"/>
      <c r="H4" s="1294"/>
      <c r="I4" s="1295">
        <f t="shared" ref="I4:I9" si="0">ROUND(D4*E4*F4*G4*H4/10000,0)</f>
        <v>0</v>
      </c>
    </row>
    <row r="5" spans="1:9">
      <c r="A5" s="3308"/>
      <c r="B5" s="3309" t="s">
        <v>1084</v>
      </c>
      <c r="C5" s="3309"/>
      <c r="D5" s="1292"/>
      <c r="E5" s="1290"/>
      <c r="F5" s="1293"/>
      <c r="G5" s="1293"/>
      <c r="H5" s="1294"/>
      <c r="I5" s="1295">
        <f t="shared" si="0"/>
        <v>0</v>
      </c>
    </row>
    <row r="6" spans="1:9">
      <c r="A6" s="3308"/>
      <c r="B6" s="3309" t="s">
        <v>1085</v>
      </c>
      <c r="C6" s="3309"/>
      <c r="D6" s="1292"/>
      <c r="E6" s="1290"/>
      <c r="F6" s="1293"/>
      <c r="G6" s="1293"/>
      <c r="H6" s="1294"/>
      <c r="I6" s="1295">
        <f t="shared" si="0"/>
        <v>0</v>
      </c>
    </row>
    <row r="7" spans="1:9">
      <c r="A7" s="3308"/>
      <c r="B7" s="3309" t="s">
        <v>1086</v>
      </c>
      <c r="C7" s="3309"/>
      <c r="D7" s="1292"/>
      <c r="E7" s="1290"/>
      <c r="F7" s="1293"/>
      <c r="G7" s="1293"/>
      <c r="H7" s="1294"/>
      <c r="I7" s="1295">
        <f t="shared" si="0"/>
        <v>0</v>
      </c>
    </row>
    <row r="8" spans="1:9">
      <c r="A8" s="3308"/>
      <c r="B8" s="3309" t="s">
        <v>1087</v>
      </c>
      <c r="C8" s="3309"/>
      <c r="D8" s="1292"/>
      <c r="E8" s="1290"/>
      <c r="F8" s="1293"/>
      <c r="G8" s="1293"/>
      <c r="H8" s="1294"/>
      <c r="I8" s="1295">
        <f t="shared" si="0"/>
        <v>0</v>
      </c>
    </row>
    <row r="9" spans="1:9">
      <c r="A9" s="3308"/>
      <c r="B9" s="3309" t="s">
        <v>1088</v>
      </c>
      <c r="C9" s="3309"/>
      <c r="D9" s="1292"/>
      <c r="E9" s="1290"/>
      <c r="F9" s="1293"/>
      <c r="G9" s="1293"/>
      <c r="H9" s="1294"/>
      <c r="I9" s="1295">
        <f t="shared" si="0"/>
        <v>0</v>
      </c>
    </row>
    <row r="10" spans="1:9">
      <c r="A10" s="3308"/>
      <c r="B10" s="3310" t="s">
        <v>1089</v>
      </c>
      <c r="C10" s="3310"/>
      <c r="D10" s="1296"/>
      <c r="E10" s="1296" t="e">
        <f>ROUND(D1*10000/D10/H9,0)</f>
        <v>#DIV/0!</v>
      </c>
      <c r="F10" s="1297"/>
      <c r="G10" s="1297"/>
      <c r="H10" s="1298"/>
      <c r="I10" s="1299">
        <f>SUM(I3:I9)</f>
        <v>0</v>
      </c>
    </row>
    <row r="11" spans="1:9" ht="14.25">
      <c r="A11" s="3308" t="s">
        <v>1090</v>
      </c>
      <c r="B11" s="3309" t="s">
        <v>1091</v>
      </c>
      <c r="C11" s="3309"/>
      <c r="D11" s="1292" t="s">
        <v>1092</v>
      </c>
      <c r="E11" s="1292" t="s">
        <v>1093</v>
      </c>
      <c r="F11" s="1293" t="s">
        <v>1094</v>
      </c>
      <c r="G11" s="1293" t="s">
        <v>1080</v>
      </c>
      <c r="H11" s="1300" t="s">
        <v>1095</v>
      </c>
      <c r="I11" s="1291" t="s">
        <v>1081</v>
      </c>
    </row>
    <row r="12" spans="1:9">
      <c r="A12" s="3308"/>
      <c r="B12" s="3309" t="s">
        <v>1096</v>
      </c>
      <c r="C12" s="3309"/>
      <c r="D12" s="1292"/>
      <c r="E12" s="1292"/>
      <c r="F12" s="1293"/>
      <c r="G12" s="1294"/>
      <c r="H12" s="1301"/>
      <c r="I12" s="1291">
        <f>ROUND(D12*E12*F12*G12/10000,0)</f>
        <v>0</v>
      </c>
    </row>
    <row r="13" spans="1:9">
      <c r="A13" s="3308"/>
      <c r="B13" s="3309" t="s">
        <v>1097</v>
      </c>
      <c r="C13" s="3309"/>
      <c r="D13" s="1292"/>
      <c r="E13" s="1292"/>
      <c r="F13" s="1293"/>
      <c r="G13" s="1294"/>
      <c r="H13" s="1301"/>
      <c r="I13" s="1291">
        <f>ROUND(D13*E13*F13*G13/10000,0)</f>
        <v>0</v>
      </c>
    </row>
    <row r="14" spans="1:9">
      <c r="A14" s="3308"/>
      <c r="B14" s="3309" t="s">
        <v>1098</v>
      </c>
      <c r="C14" s="3309"/>
      <c r="D14" s="1292"/>
      <c r="E14" s="1292"/>
      <c r="F14" s="1293"/>
      <c r="G14" s="1294"/>
      <c r="H14" s="1301"/>
      <c r="I14" s="1291">
        <f>ROUND(D14*E14*F14*G14/10000,0)</f>
        <v>0</v>
      </c>
    </row>
    <row r="15" spans="1:9">
      <c r="A15" s="3308"/>
      <c r="B15" s="3310" t="s">
        <v>1089</v>
      </c>
      <c r="C15" s="3310"/>
      <c r="D15" s="1296"/>
      <c r="E15" s="1296">
        <f>SUM(E12:E14)</f>
        <v>0</v>
      </c>
      <c r="F15" s="1297"/>
      <c r="G15" s="1294"/>
      <c r="H15" s="1301"/>
      <c r="I15" s="1302">
        <f>SUM(I12:I14)</f>
        <v>0</v>
      </c>
    </row>
    <row r="16" spans="1:9" ht="24">
      <c r="A16" s="3308" t="s">
        <v>1099</v>
      </c>
      <c r="B16" s="3309" t="s">
        <v>1100</v>
      </c>
      <c r="C16" s="3309"/>
      <c r="D16" s="1292" t="s">
        <v>1076</v>
      </c>
      <c r="E16" s="1303" t="s">
        <v>1101</v>
      </c>
      <c r="F16" s="1293" t="s">
        <v>1102</v>
      </c>
      <c r="G16" s="1294" t="s">
        <v>1080</v>
      </c>
      <c r="H16" s="1300" t="s">
        <v>1095</v>
      </c>
      <c r="I16" s="1291" t="s">
        <v>1081</v>
      </c>
    </row>
    <row r="17" spans="1:9" ht="14.25">
      <c r="A17" s="3308"/>
      <c r="B17" s="3309" t="s">
        <v>1103</v>
      </c>
      <c r="C17" s="3309"/>
      <c r="D17" s="1292"/>
      <c r="E17" s="1292"/>
      <c r="F17" s="1293"/>
      <c r="G17" s="1294"/>
      <c r="H17" s="1304"/>
      <c r="I17" s="1305">
        <f>ROUND(D17*E17*F17*G17/10000,0)</f>
        <v>0</v>
      </c>
    </row>
    <row r="18" spans="1:9" ht="14.25">
      <c r="A18" s="3308"/>
      <c r="B18" s="3309" t="s">
        <v>1104</v>
      </c>
      <c r="C18" s="3309"/>
      <c r="D18" s="1292"/>
      <c r="E18" s="1292"/>
      <c r="F18" s="1293"/>
      <c r="G18" s="1294"/>
      <c r="H18" s="1304"/>
      <c r="I18" s="1305">
        <f>ROUND(D18*E18*F18*G18/10000,0)</f>
        <v>0</v>
      </c>
    </row>
    <row r="19" spans="1:9" ht="14.25">
      <c r="A19" s="3308"/>
      <c r="B19" s="3309" t="s">
        <v>1105</v>
      </c>
      <c r="C19" s="3309"/>
      <c r="D19" s="1292"/>
      <c r="E19" s="1292"/>
      <c r="F19" s="1293"/>
      <c r="G19" s="1294"/>
      <c r="H19" s="1304"/>
      <c r="I19" s="1305">
        <f>ROUND(D19*E19*F19*G19/10000,0)</f>
        <v>0</v>
      </c>
    </row>
    <row r="20" spans="1:9">
      <c r="A20" s="3308"/>
      <c r="B20" s="3310" t="s">
        <v>1089</v>
      </c>
      <c r="C20" s="3310"/>
      <c r="D20" s="1296">
        <f>SUM(D17:D19)</f>
        <v>0</v>
      </c>
      <c r="E20" s="1296"/>
      <c r="F20" s="1297"/>
      <c r="G20" s="1294"/>
      <c r="H20" s="1301"/>
      <c r="I20" s="1302">
        <f>SUM(I17:I19)</f>
        <v>0</v>
      </c>
    </row>
    <row r="21" spans="1:9">
      <c r="A21" s="3308" t="s">
        <v>1106</v>
      </c>
      <c r="B21" s="3311"/>
      <c r="C21" s="3311"/>
      <c r="D21" s="3311"/>
      <c r="E21" s="3311"/>
      <c r="F21" s="3311"/>
      <c r="G21" s="3311"/>
      <c r="H21" s="1752">
        <v>0.1</v>
      </c>
      <c r="I21" s="1299">
        <f>ROUND(I10*H21,0)</f>
        <v>0</v>
      </c>
    </row>
    <row r="22" spans="1:9" ht="14.25">
      <c r="A22" s="3312" t="s">
        <v>1107</v>
      </c>
      <c r="B22" s="3313"/>
      <c r="C22" s="3314"/>
      <c r="D22" s="1306" t="s">
        <v>1108</v>
      </c>
      <c r="E22" s="1306" t="s">
        <v>1109</v>
      </c>
      <c r="F22" s="1307" t="s">
        <v>1110</v>
      </c>
      <c r="G22" s="1307" t="s">
        <v>1111</v>
      </c>
      <c r="H22" s="1300" t="s">
        <v>1112</v>
      </c>
      <c r="I22" s="1291" t="s">
        <v>1113</v>
      </c>
    </row>
    <row r="23" spans="1:9" ht="14.25" thickBot="1">
      <c r="A23" s="3315"/>
      <c r="B23" s="3316"/>
      <c r="C23" s="3317"/>
      <c r="D23" s="1308"/>
      <c r="E23" s="1308"/>
      <c r="F23" s="1308"/>
      <c r="G23" s="1309"/>
      <c r="H23" s="1310"/>
      <c r="I23" s="1311">
        <f>ROUND(E23*D23*F23*(1-G23)/10000,0)</f>
        <v>0</v>
      </c>
    </row>
    <row r="26" spans="1:9">
      <c r="A26" s="1312" t="s">
        <v>1114</v>
      </c>
      <c r="B26" s="1312"/>
      <c r="C26" s="1312"/>
      <c r="D26" s="1312"/>
      <c r="E26" s="3305">
        <f>C27-C30-C31-C32</f>
        <v>0</v>
      </c>
      <c r="F26" s="3305"/>
      <c r="G26" s="3305"/>
      <c r="H26" s="1725" t="s">
        <v>1336</v>
      </c>
    </row>
    <row r="27" spans="1:9">
      <c r="A27" s="1313">
        <v>1</v>
      </c>
      <c r="B27" s="1314" t="s">
        <v>1115</v>
      </c>
      <c r="C27" s="1314">
        <f>C28+C29</f>
        <v>0</v>
      </c>
      <c r="D27" s="1314"/>
      <c r="E27" s="3306"/>
      <c r="F27" s="3306"/>
      <c r="G27" s="3306"/>
    </row>
    <row r="28" spans="1:9">
      <c r="A28" s="1315" t="s">
        <v>1116</v>
      </c>
      <c r="B28" s="1314" t="s">
        <v>1117</v>
      </c>
      <c r="C28" s="1314"/>
      <c r="D28" s="1314"/>
      <c r="E28" s="3306"/>
      <c r="F28" s="3306"/>
      <c r="G28" s="3306"/>
    </row>
    <row r="29" spans="1:9">
      <c r="A29" s="1315" t="s">
        <v>1118</v>
      </c>
      <c r="B29" s="1314" t="s">
        <v>1119</v>
      </c>
      <c r="C29" s="1314"/>
      <c r="D29" s="1314"/>
      <c r="E29" s="1314" t="s">
        <v>1120</v>
      </c>
      <c r="F29" s="1314"/>
      <c r="G29" s="1314"/>
    </row>
    <row r="30" spans="1:9">
      <c r="A30" s="1313">
        <v>2</v>
      </c>
      <c r="B30" s="1314" t="s">
        <v>1121</v>
      </c>
      <c r="C30" s="1314">
        <f>C27*D30</f>
        <v>0</v>
      </c>
      <c r="D30" s="1316">
        <v>0.2</v>
      </c>
      <c r="E30" s="1314" t="s">
        <v>1122</v>
      </c>
      <c r="F30" s="1314"/>
      <c r="G30" s="1314"/>
    </row>
    <row r="31" spans="1:9">
      <c r="A31" s="1313">
        <v>3</v>
      </c>
      <c r="B31" s="1314" t="s">
        <v>1123</v>
      </c>
      <c r="C31" s="1314">
        <f>C25*D31</f>
        <v>0</v>
      </c>
      <c r="D31" s="1316">
        <v>0.15</v>
      </c>
      <c r="E31" s="1314" t="s">
        <v>1124</v>
      </c>
      <c r="F31" s="1314"/>
      <c r="G31" s="1314"/>
    </row>
    <row r="32" spans="1:9">
      <c r="A32" s="1313">
        <v>4</v>
      </c>
      <c r="B32" s="1314" t="s">
        <v>1125</v>
      </c>
      <c r="C32" s="1314">
        <f>C27*D32</f>
        <v>0</v>
      </c>
      <c r="D32" s="1316">
        <v>0.05</v>
      </c>
      <c r="E32" s="3307"/>
      <c r="F32" s="3307"/>
      <c r="G32" s="3307"/>
    </row>
    <row r="33" spans="1:7" hidden="1">
      <c r="A33" s="3302" t="s">
        <v>1126</v>
      </c>
      <c r="B33" s="3303"/>
      <c r="C33" s="3303"/>
      <c r="D33" s="3304"/>
      <c r="E33" s="3305"/>
      <c r="F33" s="3305"/>
      <c r="G33" s="3305"/>
    </row>
    <row r="34" spans="1:7" hidden="1">
      <c r="A34" s="1317">
        <v>1</v>
      </c>
      <c r="B34" s="1314" t="s">
        <v>1127</v>
      </c>
      <c r="C34" s="1314"/>
      <c r="D34" s="1314"/>
      <c r="E34" s="3306"/>
      <c r="F34" s="3306"/>
      <c r="G34" s="3306"/>
    </row>
    <row r="35" spans="1:7" hidden="1">
      <c r="A35" s="1317">
        <v>2</v>
      </c>
      <c r="B35" s="1314" t="s">
        <v>1128</v>
      </c>
      <c r="C35" s="1314"/>
      <c r="D35" s="1314"/>
      <c r="E35" s="3306"/>
      <c r="F35" s="3306"/>
      <c r="G35" s="3306"/>
    </row>
    <row r="36" spans="1:7" hidden="1">
      <c r="A36" s="1317">
        <v>3</v>
      </c>
      <c r="B36" s="1314" t="s">
        <v>1129</v>
      </c>
      <c r="C36" s="1314"/>
      <c r="D36" s="1314"/>
      <c r="E36" s="3306"/>
      <c r="F36" s="3306"/>
      <c r="G36" s="3306"/>
    </row>
    <row r="37" spans="1:7" hidden="1">
      <c r="A37" s="1317">
        <v>4</v>
      </c>
      <c r="B37" s="1314" t="s">
        <v>1130</v>
      </c>
      <c r="C37" s="1314"/>
      <c r="D37" s="1314"/>
      <c r="E37" s="3306"/>
      <c r="F37" s="3306"/>
      <c r="G37" s="3306"/>
    </row>
    <row r="38" spans="1:7" hidden="1">
      <c r="A38" s="3302" t="s">
        <v>1131</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7" customFormat="1" ht="28.5" customHeight="1" thickBot="1">
      <c r="A1" s="1606" t="s">
        <v>2511</v>
      </c>
      <c r="B1" s="2563" t="s">
        <v>2625</v>
      </c>
      <c r="C1" s="1622" t="s">
        <v>2513</v>
      </c>
      <c r="D1" s="1609"/>
      <c r="E1" s="2635"/>
      <c r="F1" s="2565"/>
      <c r="G1" s="1619" t="s">
        <v>2626</v>
      </c>
      <c r="H1" s="1618"/>
      <c r="I1" s="1618"/>
      <c r="J1" s="1618"/>
      <c r="K1" s="1620"/>
      <c r="L1" s="1621"/>
      <c r="M1" s="1622"/>
      <c r="N1" s="1622"/>
      <c r="O1" s="1622"/>
      <c r="P1" s="2636"/>
      <c r="Q1" s="2637"/>
      <c r="R1" s="2637"/>
      <c r="S1" s="2637"/>
      <c r="T1" s="2637"/>
      <c r="U1" s="2637"/>
      <c r="V1" s="2637"/>
      <c r="W1" s="2637"/>
      <c r="X1" s="2637"/>
      <c r="Y1" s="2637"/>
      <c r="Z1" s="2637"/>
      <c r="AA1" s="2637"/>
      <c r="AB1" s="2637"/>
      <c r="AC1" s="2638"/>
    </row>
    <row r="2" spans="1:29" s="396" customFormat="1" ht="28.5" customHeight="1" thickTop="1">
      <c r="A2" s="1605" t="s">
        <v>2313</v>
      </c>
      <c r="B2" s="1407" t="e">
        <f ca="1">IF(C2="——",ROUND(C49*D3/10000,0),ROUND(C49*D3/10000,0)-D2)</f>
        <v>#DIV/0!</v>
      </c>
      <c r="C2" s="2567"/>
      <c r="D2" s="1354" t="e">
        <f ca="1">SUMIF(INDIRECT("'"&amp;F2&amp;"'"&amp;"!A:A"),"承租人权益价值",INDIRECT("'"&amp;F2&amp;"'"&amp;"!c:c"))</f>
        <v>#REF!</v>
      </c>
      <c r="E2" s="2568" t="s">
        <v>2314</v>
      </c>
      <c r="F2" s="2569"/>
      <c r="G2" s="1114"/>
      <c r="H2" s="1114"/>
      <c r="I2" s="1114"/>
      <c r="J2" s="1114"/>
      <c r="K2" s="1114"/>
      <c r="L2" s="1117"/>
      <c r="M2" s="1118"/>
      <c r="N2" s="1118"/>
      <c r="O2" s="1118"/>
      <c r="P2" s="2639"/>
      <c r="Q2" s="1118"/>
      <c r="R2" s="1118"/>
      <c r="S2" s="1118"/>
      <c r="T2" s="1118"/>
      <c r="U2" s="1118"/>
      <c r="V2" s="1118"/>
      <c r="W2" s="1118"/>
      <c r="X2" s="1118"/>
      <c r="Y2" s="1118"/>
      <c r="Z2" s="1118"/>
      <c r="AA2" s="1118"/>
      <c r="AB2" s="1118"/>
      <c r="AC2" s="2640"/>
    </row>
    <row r="3" spans="1:29" s="396" customFormat="1" ht="28.5" customHeight="1" thickBot="1">
      <c r="A3" s="245" t="s">
        <v>2315</v>
      </c>
      <c r="B3" s="606" t="e">
        <f ca="1">IF(C2="——",C49,ROUND(B2*10000/D3,0))</f>
        <v>#DIV/0!</v>
      </c>
      <c r="C3" s="398" t="s">
        <v>2627</v>
      </c>
      <c r="D3" s="397">
        <f>IF(D1="",'数据-汇总表'!E3,SUMIF('数据-汇总表'!$C19:$C33,D1,'数据-汇总表'!$E19:$E33))</f>
        <v>66687.25</v>
      </c>
      <c r="E3" s="2641"/>
      <c r="F3" s="1115"/>
      <c r="G3" s="1114"/>
      <c r="H3" s="1114"/>
      <c r="I3" s="1114"/>
      <c r="J3" s="1114"/>
      <c r="K3" s="1116"/>
      <c r="L3" s="1117"/>
      <c r="M3" s="1118"/>
      <c r="N3" s="1118"/>
      <c r="O3" s="1118"/>
      <c r="P3" s="2639"/>
      <c r="Q3" s="1118"/>
      <c r="R3" s="1118"/>
      <c r="S3" s="1118"/>
      <c r="T3" s="1118"/>
      <c r="U3" s="1118"/>
      <c r="V3" s="1118"/>
      <c r="W3" s="1118"/>
      <c r="X3" s="1118"/>
      <c r="Y3" s="1118"/>
      <c r="Z3" s="1118"/>
      <c r="AA3" s="1118"/>
      <c r="AB3" s="1118"/>
      <c r="AC3" s="2641"/>
    </row>
    <row r="4" spans="1:29" ht="15">
      <c r="A4" s="399" t="s">
        <v>2628</v>
      </c>
      <c r="B4" s="400"/>
      <c r="C4" s="3244" t="s">
        <v>2629</v>
      </c>
      <c r="D4" s="3257"/>
      <c r="E4" s="3258" t="s">
        <v>2630</v>
      </c>
      <c r="F4" s="3259"/>
      <c r="G4" s="3244" t="s">
        <v>2631</v>
      </c>
      <c r="H4" s="3257"/>
      <c r="I4" s="3244" t="s">
        <v>2632</v>
      </c>
      <c r="J4" s="3257"/>
      <c r="K4" s="607" t="s">
        <v>2633</v>
      </c>
      <c r="L4" s="1119"/>
      <c r="M4" s="1120"/>
      <c r="N4" s="1120"/>
      <c r="O4" s="1120"/>
      <c r="P4" s="3260" t="s">
        <v>2634</v>
      </c>
      <c r="Q4" s="3261"/>
      <c r="R4" s="3266" t="s">
        <v>2630</v>
      </c>
      <c r="S4" s="3267"/>
      <c r="T4" s="3266" t="s">
        <v>2631</v>
      </c>
      <c r="U4" s="3267"/>
      <c r="V4" s="3253" t="s">
        <v>2632</v>
      </c>
      <c r="W4" s="3253"/>
      <c r="X4" s="1800"/>
      <c r="Y4" s="3266" t="s">
        <v>2634</v>
      </c>
      <c r="Z4" s="3267"/>
      <c r="AA4" s="3254" t="s">
        <v>2630</v>
      </c>
      <c r="AB4" s="3253" t="s">
        <v>2631</v>
      </c>
      <c r="AC4" s="3254" t="s">
        <v>2632</v>
      </c>
    </row>
    <row r="5" spans="1:29" ht="15">
      <c r="A5" s="402"/>
      <c r="B5" s="403"/>
      <c r="C5" s="3274" t="s">
        <v>2525</v>
      </c>
      <c r="D5" s="3275"/>
      <c r="E5" s="3281" t="s">
        <v>2526</v>
      </c>
      <c r="F5" s="3282"/>
      <c r="G5" s="3274" t="s">
        <v>2527</v>
      </c>
      <c r="H5" s="3275"/>
      <c r="I5" s="3274" t="s">
        <v>2528</v>
      </c>
      <c r="J5" s="3275"/>
      <c r="K5" s="607"/>
      <c r="L5" s="1119"/>
      <c r="M5" s="1120"/>
      <c r="N5" s="1120"/>
      <c r="O5" s="1120"/>
      <c r="P5" s="3262"/>
      <c r="Q5" s="3263"/>
      <c r="R5" s="3268"/>
      <c r="S5" s="3269"/>
      <c r="T5" s="3268"/>
      <c r="U5" s="3269"/>
      <c r="V5" s="3253"/>
      <c r="W5" s="3253"/>
      <c r="X5" s="1800"/>
      <c r="Y5" s="3268"/>
      <c r="Z5" s="3269"/>
      <c r="AA5" s="3255"/>
      <c r="AB5" s="3253"/>
      <c r="AC5" s="3255"/>
    </row>
    <row r="6" spans="1:29" ht="15.75" thickBot="1">
      <c r="A6" s="404"/>
      <c r="B6" s="405"/>
      <c r="C6" s="3272" t="s">
        <v>2529</v>
      </c>
      <c r="D6" s="3273"/>
      <c r="E6" s="3279" t="s">
        <v>2529</v>
      </c>
      <c r="F6" s="3280"/>
      <c r="G6" s="3272" t="s">
        <v>2529</v>
      </c>
      <c r="H6" s="3273"/>
      <c r="I6" s="3272" t="s">
        <v>2529</v>
      </c>
      <c r="J6" s="3273"/>
      <c r="K6" s="607" t="s">
        <v>2530</v>
      </c>
      <c r="L6" s="1119"/>
      <c r="M6" s="1120"/>
      <c r="N6" s="1120"/>
      <c r="O6" s="1120"/>
      <c r="P6" s="3264"/>
      <c r="Q6" s="3265"/>
      <c r="R6" s="3268"/>
      <c r="S6" s="3269"/>
      <c r="T6" s="3270"/>
      <c r="U6" s="3271"/>
      <c r="V6" s="3253"/>
      <c r="W6" s="3253"/>
      <c r="X6" s="1800"/>
      <c r="Y6" s="3270"/>
      <c r="Z6" s="3271"/>
      <c r="AA6" s="3256"/>
      <c r="AB6" s="3253"/>
      <c r="AC6" s="3256"/>
    </row>
    <row r="7" spans="1:29" s="115" customFormat="1" ht="15.75" thickBot="1">
      <c r="A7" s="406" t="s">
        <v>2531</v>
      </c>
      <c r="B7" s="407"/>
      <c r="C7" s="408">
        <f>'数据-取费表'!B2</f>
        <v>43970</v>
      </c>
      <c r="D7" s="409">
        <v>100</v>
      </c>
      <c r="E7" s="410"/>
      <c r="F7" s="411">
        <f>SUMIF(58:58,YEAR(E7)&amp;"-"&amp;MONTH(E7),59:59)</f>
        <v>0</v>
      </c>
      <c r="G7" s="410"/>
      <c r="H7" s="409">
        <f>SUMIF(58:58,YEAR(G7)&amp;"-"&amp;MONTH(G7),59:59)</f>
        <v>0</v>
      </c>
      <c r="I7" s="410"/>
      <c r="J7" s="409">
        <f>SUMIF(58:58,YEAR(I7)&amp;"-"&amp;MONTH(I7),59:59)</f>
        <v>0</v>
      </c>
      <c r="K7" s="608"/>
      <c r="L7" s="1121"/>
      <c r="M7" s="1122"/>
      <c r="N7" s="1122"/>
      <c r="O7" s="1122"/>
      <c r="P7" s="3276" t="s">
        <v>2532</v>
      </c>
      <c r="Q7" s="3278"/>
      <c r="R7" s="767" t="s">
        <v>17</v>
      </c>
      <c r="S7" s="768">
        <f t="shared" ref="S7:S15" si="0">F7</f>
        <v>0</v>
      </c>
      <c r="T7" s="767" t="s">
        <v>17</v>
      </c>
      <c r="U7" s="768">
        <f t="shared" ref="U7:U15" si="1">H7</f>
        <v>0</v>
      </c>
      <c r="V7" s="767" t="s">
        <v>17</v>
      </c>
      <c r="W7" s="768">
        <f t="shared" ref="W7:W15" si="2">J7</f>
        <v>0</v>
      </c>
      <c r="X7" s="769"/>
      <c r="Y7" s="3276" t="s">
        <v>2532</v>
      </c>
      <c r="Z7" s="3277"/>
      <c r="AA7" s="770" t="e">
        <f>D7/F7</f>
        <v>#DIV/0!</v>
      </c>
      <c r="AB7" s="770" t="e">
        <f>D7/H7</f>
        <v>#DIV/0!</v>
      </c>
      <c r="AC7" s="770" t="e">
        <f>D7/J7</f>
        <v>#DIV/0!</v>
      </c>
    </row>
    <row r="8" spans="1:29" s="115" customFormat="1" ht="15.75" thickBot="1">
      <c r="A8" s="406" t="s">
        <v>2533</v>
      </c>
      <c r="B8" s="407"/>
      <c r="C8" s="412" t="s">
        <v>2635</v>
      </c>
      <c r="D8" s="409">
        <v>100</v>
      </c>
      <c r="E8" s="412"/>
      <c r="F8" s="411">
        <f>SUMIF(61:61,E8,62:62)-SUMIF(61:61,C8,62:62)+100</f>
        <v>0</v>
      </c>
      <c r="G8" s="412"/>
      <c r="H8" s="409">
        <f>SUMIF(61:61,G8,62:62)-SUMIF(61:61,C8,62:62)+100</f>
        <v>0</v>
      </c>
      <c r="I8" s="412"/>
      <c r="J8" s="409">
        <f>SUMIF(61:61,I8,62:62)-SUMIF(61:61,C8,62:62)+100</f>
        <v>0</v>
      </c>
      <c r="K8" s="608"/>
      <c r="L8" s="1121"/>
      <c r="M8" s="1122"/>
      <c r="N8" s="1122"/>
      <c r="O8" s="1122"/>
      <c r="P8" s="3276" t="s">
        <v>2535</v>
      </c>
      <c r="Q8" s="3277"/>
      <c r="R8" s="767" t="s">
        <v>17</v>
      </c>
      <c r="S8" s="768">
        <f t="shared" si="0"/>
        <v>0</v>
      </c>
      <c r="T8" s="767" t="s">
        <v>17</v>
      </c>
      <c r="U8" s="768">
        <f t="shared" si="1"/>
        <v>0</v>
      </c>
      <c r="V8" s="767" t="s">
        <v>17</v>
      </c>
      <c r="W8" s="768">
        <f t="shared" si="2"/>
        <v>0</v>
      </c>
      <c r="X8" s="769"/>
      <c r="Y8" s="3276" t="s">
        <v>2535</v>
      </c>
      <c r="Z8" s="3277"/>
      <c r="AA8" s="770" t="e">
        <f t="shared" ref="AA8:AA46" si="3">D8/F8</f>
        <v>#DIV/0!</v>
      </c>
      <c r="AB8" s="770" t="e">
        <f t="shared" ref="AB8:AB46" si="4">D8/H8</f>
        <v>#DIV/0!</v>
      </c>
      <c r="AC8" s="770" t="e">
        <f t="shared" ref="AC8:AC46" si="5">D8/J8</f>
        <v>#DIV/0!</v>
      </c>
    </row>
    <row r="9" spans="1:29" s="115" customFormat="1">
      <c r="A9" s="413" t="s">
        <v>2536</v>
      </c>
      <c r="B9" s="70" t="s">
        <v>2537</v>
      </c>
      <c r="C9" s="414"/>
      <c r="D9" s="133">
        <v>100</v>
      </c>
      <c r="E9" s="415"/>
      <c r="F9" s="416">
        <f>SUMIF(63:63,E9,64:64)-SUMIF(63:63,C9,64:64)+100</f>
        <v>100</v>
      </c>
      <c r="G9" s="415"/>
      <c r="H9" s="133">
        <f>SUMIF(63:63,G9,64:64)-SUMIF(63:63,C9,64:64)+100</f>
        <v>100</v>
      </c>
      <c r="I9" s="415"/>
      <c r="J9" s="133">
        <f>SUMIF(63:63,I9,64:64)-SUMIF(63:63,C9,64:64)+100</f>
        <v>100</v>
      </c>
      <c r="K9" s="608"/>
      <c r="L9" s="1121"/>
      <c r="M9" s="1122"/>
      <c r="N9" s="1122"/>
      <c r="O9" s="1122"/>
      <c r="P9" s="3246" t="s">
        <v>2538</v>
      </c>
      <c r="Q9" s="1782" t="str">
        <f t="shared" ref="Q9:Q15" si="6">B9</f>
        <v>用途</v>
      </c>
      <c r="R9" s="767" t="s">
        <v>17</v>
      </c>
      <c r="S9" s="768">
        <f t="shared" si="0"/>
        <v>100</v>
      </c>
      <c r="T9" s="767" t="s">
        <v>17</v>
      </c>
      <c r="U9" s="768">
        <f t="shared" si="1"/>
        <v>100</v>
      </c>
      <c r="V9" s="767" t="s">
        <v>17</v>
      </c>
      <c r="W9" s="768">
        <f t="shared" si="2"/>
        <v>100</v>
      </c>
      <c r="X9" s="769"/>
      <c r="Y9" s="3098" t="s">
        <v>2539</v>
      </c>
      <c r="Z9" s="54" t="str">
        <f t="shared" ref="Z9:Z15" si="7">Q9</f>
        <v>用途</v>
      </c>
      <c r="AA9" s="770">
        <f t="shared" si="3"/>
        <v>1</v>
      </c>
      <c r="AB9" s="770">
        <f t="shared" si="4"/>
        <v>1</v>
      </c>
      <c r="AC9" s="770">
        <f t="shared" si="5"/>
        <v>1</v>
      </c>
    </row>
    <row r="10" spans="1:29" s="424" customFormat="1" ht="27">
      <c r="A10" s="418"/>
      <c r="B10" s="419" t="s">
        <v>2540</v>
      </c>
      <c r="C10" s="420"/>
      <c r="D10" s="134">
        <v>100</v>
      </c>
      <c r="E10" s="421"/>
      <c r="F10" s="422">
        <f>SUMIF(65:65,E10,66:66)-SUMIF(65:65,C10,66:66)+100</f>
        <v>100</v>
      </c>
      <c r="G10" s="420"/>
      <c r="H10" s="134">
        <f>SUMIF(65:65,G10,66:66)-SUMIF(65:65,C10,66:66)+100</f>
        <v>100</v>
      </c>
      <c r="I10" s="420"/>
      <c r="J10" s="134">
        <f>SUMIF(65:65,I10,66:66)-SUMIF(65:65,C10,66:66)+100</f>
        <v>100</v>
      </c>
      <c r="K10" s="609"/>
      <c r="L10" s="1124"/>
      <c r="M10" s="1125"/>
      <c r="N10" s="1125"/>
      <c r="O10" s="1125"/>
      <c r="P10" s="3246"/>
      <c r="Q10" s="1782" t="str">
        <f t="shared" si="6"/>
        <v>土地使用年限（年）</v>
      </c>
      <c r="R10" s="767" t="s">
        <v>17</v>
      </c>
      <c r="S10" s="768">
        <f t="shared" si="0"/>
        <v>100</v>
      </c>
      <c r="T10" s="767" t="s">
        <v>17</v>
      </c>
      <c r="U10" s="768">
        <f t="shared" si="1"/>
        <v>100</v>
      </c>
      <c r="V10" s="767" t="s">
        <v>17</v>
      </c>
      <c r="W10" s="768">
        <f t="shared" si="2"/>
        <v>100</v>
      </c>
      <c r="X10" s="769"/>
      <c r="Y10" s="3098"/>
      <c r="Z10" s="54" t="str">
        <f t="shared" si="7"/>
        <v>土地使用年限（年）</v>
      </c>
      <c r="AA10" s="770">
        <f t="shared" si="3"/>
        <v>1</v>
      </c>
      <c r="AB10" s="770">
        <f t="shared" si="4"/>
        <v>1</v>
      </c>
      <c r="AC10" s="770">
        <f t="shared" si="5"/>
        <v>1</v>
      </c>
    </row>
    <row r="11" spans="1:29" ht="15">
      <c r="A11" s="425"/>
      <c r="B11" s="419" t="s">
        <v>2541</v>
      </c>
      <c r="C11" s="426"/>
      <c r="D11" s="134">
        <v>100</v>
      </c>
      <c r="E11" s="427"/>
      <c r="F11" s="422" t="e">
        <f>LOOKUP(E11,68:68,69:69)-LOOKUP(C11,68:68,69:69)+100</f>
        <v>#N/A</v>
      </c>
      <c r="G11" s="426"/>
      <c r="H11" s="134" t="e">
        <f>LOOKUP(G11,68:68,69:69)-LOOKUP(C11,68:68,69:69)+100</f>
        <v>#N/A</v>
      </c>
      <c r="I11" s="426"/>
      <c r="J11" s="134" t="e">
        <f>LOOKUP(I11,68:68,69:69)-LOOKUP(C11,68:68,69:69)+100</f>
        <v>#N/A</v>
      </c>
      <c r="K11" s="609"/>
      <c r="L11" s="1127"/>
      <c r="M11" s="1120"/>
      <c r="N11" s="1120"/>
      <c r="O11" s="1120"/>
      <c r="P11" s="3246"/>
      <c r="Q11" s="1782" t="str">
        <f t="shared" si="6"/>
        <v>容积率</v>
      </c>
      <c r="R11" s="767" t="s">
        <v>17</v>
      </c>
      <c r="S11" s="768" t="e">
        <f t="shared" si="0"/>
        <v>#N/A</v>
      </c>
      <c r="T11" s="767" t="s">
        <v>17</v>
      </c>
      <c r="U11" s="768" t="e">
        <f t="shared" si="1"/>
        <v>#N/A</v>
      </c>
      <c r="V11" s="767" t="s">
        <v>17</v>
      </c>
      <c r="W11" s="768" t="e">
        <f t="shared" si="2"/>
        <v>#N/A</v>
      </c>
      <c r="X11" s="769"/>
      <c r="Y11" s="3098"/>
      <c r="Z11" s="54" t="str">
        <f t="shared" si="7"/>
        <v>容积率</v>
      </c>
      <c r="AA11" s="770" t="e">
        <f t="shared" si="3"/>
        <v>#N/A</v>
      </c>
      <c r="AB11" s="770" t="e">
        <f t="shared" si="4"/>
        <v>#N/A</v>
      </c>
      <c r="AC11" s="770" t="e">
        <f t="shared" si="5"/>
        <v>#N/A</v>
      </c>
    </row>
    <row r="12" spans="1:29" s="115" customFormat="1" ht="15">
      <c r="A12" s="428"/>
      <c r="B12" s="2580">
        <v>111</v>
      </c>
      <c r="C12" s="429"/>
      <c r="D12" s="430">
        <v>100</v>
      </c>
      <c r="E12" s="431"/>
      <c r="F12" s="422">
        <f>SUMIF(70:70,E12,71:71)-SUMIF(70:70,C12,71:71)+100</f>
        <v>100</v>
      </c>
      <c r="G12" s="431"/>
      <c r="H12" s="134">
        <f>SUMIF(70:70,G12,71:71)-SUMIF(70:70,C12,71:71)+100</f>
        <v>100</v>
      </c>
      <c r="I12" s="431"/>
      <c r="J12" s="134">
        <f>SUMIF(70:70,I12,71:71)-SUMIF(70:70,C12,71:71)+100</f>
        <v>100</v>
      </c>
      <c r="K12" s="610"/>
      <c r="L12" s="1121"/>
      <c r="M12" s="1122"/>
      <c r="N12" s="1122"/>
      <c r="O12" s="1122"/>
      <c r="P12" s="3246"/>
      <c r="Q12" s="1782">
        <f t="shared" si="6"/>
        <v>111</v>
      </c>
      <c r="R12" s="767" t="s">
        <v>17</v>
      </c>
      <c r="S12" s="768">
        <f t="shared" si="0"/>
        <v>100</v>
      </c>
      <c r="T12" s="767" t="s">
        <v>17</v>
      </c>
      <c r="U12" s="768">
        <f t="shared" si="1"/>
        <v>100</v>
      </c>
      <c r="V12" s="767" t="s">
        <v>17</v>
      </c>
      <c r="W12" s="768">
        <f t="shared" si="2"/>
        <v>100</v>
      </c>
      <c r="X12" s="769"/>
      <c r="Y12" s="3098"/>
      <c r="Z12" s="54">
        <f t="shared" si="7"/>
        <v>111</v>
      </c>
      <c r="AA12" s="770">
        <f>D12/F12</f>
        <v>1</v>
      </c>
      <c r="AB12" s="770">
        <f>D12/H12</f>
        <v>1</v>
      </c>
      <c r="AC12" s="770">
        <f>D12/J12</f>
        <v>1</v>
      </c>
    </row>
    <row r="13" spans="1:29" ht="15">
      <c r="A13" s="425"/>
      <c r="B13" s="2580">
        <v>111</v>
      </c>
      <c r="C13" s="431"/>
      <c r="D13" s="432">
        <v>100</v>
      </c>
      <c r="E13" s="431"/>
      <c r="F13" s="422">
        <f>SUMIF(72:72,E13,73:73)-SUMIF(72:72,C13,73:73)+100</f>
        <v>100</v>
      </c>
      <c r="G13" s="431"/>
      <c r="H13" s="432">
        <f>SUMIF(72:72,G13,73:73)-SUMIF(72:72,C13,73:73)+100</f>
        <v>100</v>
      </c>
      <c r="I13" s="431"/>
      <c r="J13" s="432">
        <f>SUMIF(72:72,I13,73:73)-SUMIF(72:72,C13,73:73)+100</f>
        <v>100</v>
      </c>
      <c r="K13" s="610"/>
      <c r="L13" s="1129"/>
      <c r="M13" s="1120"/>
      <c r="N13" s="1120"/>
      <c r="O13" s="1120"/>
      <c r="P13" s="3246"/>
      <c r="Q13" s="1782">
        <f t="shared" si="6"/>
        <v>111</v>
      </c>
      <c r="R13" s="767" t="s">
        <v>17</v>
      </c>
      <c r="S13" s="768">
        <f t="shared" si="0"/>
        <v>100</v>
      </c>
      <c r="T13" s="767" t="s">
        <v>17</v>
      </c>
      <c r="U13" s="768">
        <f t="shared" si="1"/>
        <v>100</v>
      </c>
      <c r="V13" s="767" t="s">
        <v>17</v>
      </c>
      <c r="W13" s="768">
        <f t="shared" si="2"/>
        <v>100</v>
      </c>
      <c r="X13" s="769"/>
      <c r="Y13" s="3098"/>
      <c r="Z13" s="54">
        <f t="shared" si="7"/>
        <v>111</v>
      </c>
      <c r="AA13" s="770">
        <f t="shared" si="3"/>
        <v>1</v>
      </c>
      <c r="AB13" s="770">
        <f t="shared" si="4"/>
        <v>1</v>
      </c>
      <c r="AC13" s="770">
        <f t="shared" si="5"/>
        <v>1</v>
      </c>
    </row>
    <row r="14" spans="1:29" ht="15.75" thickBot="1">
      <c r="A14" s="433"/>
      <c r="B14" s="2582">
        <v>111</v>
      </c>
      <c r="C14" s="434"/>
      <c r="D14" s="435">
        <v>100</v>
      </c>
      <c r="E14" s="431"/>
      <c r="F14" s="436">
        <f>SUMIF(74:74,E14,75:75)-SUMIF(74:74,C14,75:75)+100</f>
        <v>100</v>
      </c>
      <c r="G14" s="431"/>
      <c r="H14" s="435">
        <f>SUMIF(74:74,G14,75:75)-SUMIF(74:74,C14,75:75)+100</f>
        <v>100</v>
      </c>
      <c r="I14" s="431"/>
      <c r="J14" s="435">
        <f>SUMIF(74:74,I14,75:75)-SUMIF(74:74,C14,75:75)+100</f>
        <v>100</v>
      </c>
      <c r="K14" s="610"/>
      <c r="L14" s="1129"/>
      <c r="M14" s="1120"/>
      <c r="N14" s="1120"/>
      <c r="O14" s="1120"/>
      <c r="P14" s="3246"/>
      <c r="Q14" s="1782">
        <f t="shared" si="6"/>
        <v>111</v>
      </c>
      <c r="R14" s="767" t="s">
        <v>17</v>
      </c>
      <c r="S14" s="768">
        <f t="shared" si="0"/>
        <v>100</v>
      </c>
      <c r="T14" s="767" t="s">
        <v>17</v>
      </c>
      <c r="U14" s="768">
        <f t="shared" si="1"/>
        <v>100</v>
      </c>
      <c r="V14" s="767" t="s">
        <v>17</v>
      </c>
      <c r="W14" s="768">
        <f t="shared" si="2"/>
        <v>100</v>
      </c>
      <c r="X14" s="769"/>
      <c r="Y14" s="3098"/>
      <c r="Z14" s="54">
        <f t="shared" si="7"/>
        <v>111</v>
      </c>
      <c r="AA14" s="770">
        <f t="shared" si="3"/>
        <v>1</v>
      </c>
      <c r="AB14" s="770">
        <f t="shared" si="4"/>
        <v>1</v>
      </c>
      <c r="AC14" s="770">
        <f t="shared" si="5"/>
        <v>1</v>
      </c>
    </row>
    <row r="15" spans="1:29" ht="15">
      <c r="A15" s="437" t="s">
        <v>2542</v>
      </c>
      <c r="B15" s="68" t="s">
        <v>2636</v>
      </c>
      <c r="C15" s="2583" t="str">
        <f>估价对象房地状况!C4</f>
        <v>差</v>
      </c>
      <c r="D15" s="438">
        <v>100</v>
      </c>
      <c r="E15" s="439"/>
      <c r="F15" s="440">
        <f>SUMIF(76:76,E16,77:77)-SUMIF(76:76,C16,77:77)+100</f>
        <v>100</v>
      </c>
      <c r="G15" s="441"/>
      <c r="H15" s="438">
        <f>SUMIF(76:76,G16,77:77)-SUMIF(76:76,C16,77:77)+100</f>
        <v>100</v>
      </c>
      <c r="I15" s="439"/>
      <c r="J15" s="438">
        <f>SUMIF(76:76,I16,77:77)-SUMIF(76:76,C16,77:77)+100</f>
        <v>100</v>
      </c>
      <c r="K15" s="611"/>
      <c r="L15" s="1129"/>
      <c r="M15" s="1120"/>
      <c r="N15" s="1120"/>
      <c r="O15" s="1120"/>
      <c r="P15" s="3292" t="s">
        <v>2543</v>
      </c>
      <c r="Q15" s="1797" t="str">
        <f t="shared" si="6"/>
        <v>商业繁华度</v>
      </c>
      <c r="R15" s="771" t="s">
        <v>17</v>
      </c>
      <c r="S15" s="772">
        <f t="shared" si="0"/>
        <v>100</v>
      </c>
      <c r="T15" s="771" t="s">
        <v>17</v>
      </c>
      <c r="U15" s="772">
        <f t="shared" si="1"/>
        <v>100</v>
      </c>
      <c r="V15" s="771" t="s">
        <v>17</v>
      </c>
      <c r="W15" s="772">
        <f t="shared" si="2"/>
        <v>100</v>
      </c>
      <c r="X15" s="1800"/>
      <c r="Y15" s="3249" t="s">
        <v>2543</v>
      </c>
      <c r="Z15" s="1801" t="str">
        <f t="shared" si="7"/>
        <v>商业繁华度</v>
      </c>
      <c r="AA15" s="1798">
        <f t="shared" si="3"/>
        <v>1</v>
      </c>
      <c r="AB15" s="1798">
        <f t="shared" si="4"/>
        <v>1</v>
      </c>
      <c r="AC15" s="1798">
        <f t="shared" si="5"/>
        <v>1</v>
      </c>
    </row>
    <row r="16" spans="1:29" ht="15">
      <c r="A16" s="425"/>
      <c r="B16" s="443"/>
      <c r="C16" s="444"/>
      <c r="D16" s="445"/>
      <c r="E16" s="444"/>
      <c r="F16" s="446"/>
      <c r="G16" s="444"/>
      <c r="H16" s="447"/>
      <c r="I16" s="444"/>
      <c r="J16" s="445"/>
      <c r="K16" s="612"/>
      <c r="L16" s="1129"/>
      <c r="M16" s="1120"/>
      <c r="N16" s="1120"/>
      <c r="O16" s="1120"/>
      <c r="P16" s="3293"/>
      <c r="Q16" s="1797"/>
      <c r="R16" s="771"/>
      <c r="S16" s="772"/>
      <c r="T16" s="771"/>
      <c r="U16" s="772"/>
      <c r="V16" s="771"/>
      <c r="W16" s="772"/>
      <c r="X16" s="1800"/>
      <c r="Y16" s="3250"/>
      <c r="Z16" s="1801"/>
      <c r="AA16" s="1798">
        <v>1</v>
      </c>
      <c r="AB16" s="1798">
        <v>1</v>
      </c>
      <c r="AC16" s="1798">
        <v>1</v>
      </c>
    </row>
    <row r="17" spans="1:29" ht="15">
      <c r="A17" s="425"/>
      <c r="B17" s="448" t="s">
        <v>2086</v>
      </c>
      <c r="C17" s="2587" t="str">
        <f>估价对象房地状况!C6</f>
        <v>一般</v>
      </c>
      <c r="D17" s="447">
        <v>100</v>
      </c>
      <c r="E17" s="449"/>
      <c r="F17" s="450">
        <f>SUMIF(78:78,E18,79:79)-SUMIF(78:78,C18,79:79)+100</f>
        <v>100</v>
      </c>
      <c r="G17" s="451"/>
      <c r="H17" s="452">
        <f>SUMIF(78:78,G18,79:79)-SUMIF(78:78,C18,79:79)+100</f>
        <v>100</v>
      </c>
      <c r="I17" s="449"/>
      <c r="J17" s="452">
        <f>SUMIF(78:78,I18,79:79)-SUMIF(78:78,C18,79:79)+100</f>
        <v>100</v>
      </c>
      <c r="K17" s="611"/>
      <c r="L17" s="1129"/>
      <c r="M17" s="1120"/>
      <c r="N17" s="1120"/>
      <c r="O17" s="1120"/>
      <c r="P17" s="3293"/>
      <c r="Q17" s="1797" t="str">
        <f>B17</f>
        <v>交通便捷度</v>
      </c>
      <c r="R17" s="771" t="s">
        <v>17</v>
      </c>
      <c r="S17" s="772">
        <f>F17</f>
        <v>100</v>
      </c>
      <c r="T17" s="771" t="s">
        <v>17</v>
      </c>
      <c r="U17" s="772">
        <f>H17</f>
        <v>100</v>
      </c>
      <c r="V17" s="771" t="s">
        <v>17</v>
      </c>
      <c r="W17" s="772">
        <f>J17</f>
        <v>100</v>
      </c>
      <c r="X17" s="1800"/>
      <c r="Y17" s="3250"/>
      <c r="Z17" s="1801" t="str">
        <f>Q17</f>
        <v>交通便捷度</v>
      </c>
      <c r="AA17" s="1798">
        <f t="shared" si="3"/>
        <v>1</v>
      </c>
      <c r="AB17" s="1798">
        <f t="shared" si="4"/>
        <v>1</v>
      </c>
      <c r="AC17" s="1798">
        <f t="shared" si="5"/>
        <v>1</v>
      </c>
    </row>
    <row r="18" spans="1:29" ht="15">
      <c r="A18" s="425"/>
      <c r="B18" s="453"/>
      <c r="C18" s="2588"/>
      <c r="D18" s="447"/>
      <c r="E18" s="2590"/>
      <c r="F18" s="450"/>
      <c r="G18" s="2589"/>
      <c r="H18" s="445"/>
      <c r="I18" s="2590"/>
      <c r="J18" s="445"/>
      <c r="K18" s="612"/>
      <c r="L18" s="1129"/>
      <c r="M18" s="1120"/>
      <c r="N18" s="1120"/>
      <c r="O18" s="1120"/>
      <c r="P18" s="3293"/>
      <c r="Q18" s="1797"/>
      <c r="R18" s="771"/>
      <c r="S18" s="772"/>
      <c r="T18" s="771"/>
      <c r="U18" s="772"/>
      <c r="V18" s="771"/>
      <c r="W18" s="772"/>
      <c r="X18" s="1800"/>
      <c r="Y18" s="3250"/>
      <c r="Z18" s="1801"/>
      <c r="AA18" s="1798">
        <v>1</v>
      </c>
      <c r="AB18" s="1798">
        <v>1</v>
      </c>
      <c r="AC18" s="1798">
        <v>1</v>
      </c>
    </row>
    <row r="19" spans="1:29" ht="15">
      <c r="A19" s="425"/>
      <c r="B19" s="448" t="s">
        <v>2637</v>
      </c>
      <c r="C19" s="2587" t="str">
        <f>估价对象房地状况!C7</f>
        <v>较差</v>
      </c>
      <c r="D19" s="452">
        <v>100</v>
      </c>
      <c r="E19" s="454"/>
      <c r="F19" s="455">
        <f>SUMIF(80:80,E20,81:81)-SUMIF(80:80,C20,81:81)+100</f>
        <v>100</v>
      </c>
      <c r="G19" s="456"/>
      <c r="H19" s="447">
        <f>SUMIF(80:80,G20,81:81)-SUMIF(80:80,C20,81:81)+100</f>
        <v>100</v>
      </c>
      <c r="I19" s="454"/>
      <c r="J19" s="447">
        <f>SUMIF(80:80,I20,81:81)-SUMIF(80:80,C20,81:81)+100</f>
        <v>100</v>
      </c>
      <c r="K19" s="611"/>
      <c r="L19" s="1129"/>
      <c r="M19" s="1120"/>
      <c r="N19" s="1120"/>
      <c r="O19" s="1120"/>
      <c r="P19" s="3293"/>
      <c r="Q19" s="1797" t="str">
        <f>B19</f>
        <v>公共配套设施</v>
      </c>
      <c r="R19" s="771" t="s">
        <v>17</v>
      </c>
      <c r="S19" s="772">
        <f>F19</f>
        <v>100</v>
      </c>
      <c r="T19" s="771" t="s">
        <v>17</v>
      </c>
      <c r="U19" s="772">
        <f>H19</f>
        <v>100</v>
      </c>
      <c r="V19" s="771" t="s">
        <v>17</v>
      </c>
      <c r="W19" s="772">
        <f>J19</f>
        <v>100</v>
      </c>
      <c r="X19" s="1800"/>
      <c r="Y19" s="3250"/>
      <c r="Z19" s="1801" t="str">
        <f>Q19</f>
        <v>公共配套设施</v>
      </c>
      <c r="AA19" s="1798">
        <f t="shared" si="3"/>
        <v>1</v>
      </c>
      <c r="AB19" s="1798">
        <f t="shared" si="4"/>
        <v>1</v>
      </c>
      <c r="AC19" s="1798">
        <f t="shared" si="5"/>
        <v>1</v>
      </c>
    </row>
    <row r="20" spans="1:29" ht="15">
      <c r="A20" s="425"/>
      <c r="B20" s="453"/>
      <c r="C20" s="444"/>
      <c r="D20" s="445"/>
      <c r="E20" s="2585"/>
      <c r="F20" s="446"/>
      <c r="G20" s="2584"/>
      <c r="H20" s="445"/>
      <c r="I20" s="2585"/>
      <c r="J20" s="445"/>
      <c r="K20" s="612"/>
      <c r="L20" s="1129"/>
      <c r="M20" s="1120"/>
      <c r="N20" s="1120"/>
      <c r="O20" s="1120"/>
      <c r="P20" s="3293"/>
      <c r="Q20" s="1797"/>
      <c r="R20" s="771"/>
      <c r="S20" s="772"/>
      <c r="T20" s="771"/>
      <c r="U20" s="772"/>
      <c r="V20" s="771"/>
      <c r="W20" s="772"/>
      <c r="X20" s="1800"/>
      <c r="Y20" s="3250"/>
      <c r="Z20" s="1801"/>
      <c r="AA20" s="1798">
        <v>1</v>
      </c>
      <c r="AB20" s="1798">
        <v>1</v>
      </c>
      <c r="AC20" s="1798">
        <v>1</v>
      </c>
    </row>
    <row r="21" spans="1:29" ht="15">
      <c r="A21" s="425"/>
      <c r="B21" s="1373" t="s">
        <v>2638</v>
      </c>
      <c r="C21" s="2587" t="str">
        <f>估价对象房地状况!C8</f>
        <v>六通</v>
      </c>
      <c r="D21" s="452">
        <v>100</v>
      </c>
      <c r="E21" s="454"/>
      <c r="F21" s="455">
        <f>SUMIF(82:82,E22,83:83)-SUMIF(82:82,C22,83:83)+100</f>
        <v>100</v>
      </c>
      <c r="G21" s="456"/>
      <c r="H21" s="447">
        <f>SUMIF(82:82,G22,83:83)-SUMIF(82:82,C22,83:83)+100</f>
        <v>100</v>
      </c>
      <c r="I21" s="454"/>
      <c r="J21" s="447">
        <f>SUMIF(82:82,I22,83:83)-SUMIF(82:82,C22,83:83)+100</f>
        <v>100</v>
      </c>
      <c r="K21" s="611"/>
      <c r="L21" s="1129"/>
      <c r="M21" s="1120"/>
      <c r="N21" s="1120"/>
      <c r="O21" s="1120"/>
      <c r="P21" s="3293"/>
      <c r="Q21" s="1797" t="str">
        <f>B21</f>
        <v>基础设施水平</v>
      </c>
      <c r="R21" s="771" t="s">
        <v>17</v>
      </c>
      <c r="S21" s="772">
        <f>F21</f>
        <v>100</v>
      </c>
      <c r="T21" s="771" t="s">
        <v>17</v>
      </c>
      <c r="U21" s="772">
        <f>H21</f>
        <v>100</v>
      </c>
      <c r="V21" s="771" t="s">
        <v>17</v>
      </c>
      <c r="W21" s="772">
        <f>J21</f>
        <v>100</v>
      </c>
      <c r="X21" s="1800"/>
      <c r="Y21" s="3250"/>
      <c r="Z21" s="1801" t="str">
        <f>Q21</f>
        <v>基础设施水平</v>
      </c>
      <c r="AA21" s="1798">
        <f t="shared" ref="AA21" si="8">D21/F21</f>
        <v>1</v>
      </c>
      <c r="AB21" s="1798">
        <f t="shared" ref="AB21" si="9">D21/H21</f>
        <v>1</v>
      </c>
      <c r="AC21" s="1798">
        <f t="shared" ref="AC21" si="10">D21/J21</f>
        <v>1</v>
      </c>
    </row>
    <row r="22" spans="1:29" ht="15">
      <c r="A22" s="425"/>
      <c r="B22" s="1373"/>
      <c r="C22" s="2588"/>
      <c r="D22" s="445"/>
      <c r="E22" s="444"/>
      <c r="F22" s="446"/>
      <c r="G22" s="444"/>
      <c r="H22" s="445"/>
      <c r="I22" s="444"/>
      <c r="J22" s="445"/>
      <c r="K22" s="1372"/>
      <c r="L22" s="1129"/>
      <c r="M22" s="1120"/>
      <c r="N22" s="1120"/>
      <c r="O22" s="1120"/>
      <c r="P22" s="3293"/>
      <c r="Q22" s="1797"/>
      <c r="R22" s="771"/>
      <c r="S22" s="772"/>
      <c r="T22" s="771"/>
      <c r="U22" s="772"/>
      <c r="V22" s="771"/>
      <c r="W22" s="772"/>
      <c r="X22" s="1800"/>
      <c r="Y22" s="3250"/>
      <c r="Z22" s="1801"/>
      <c r="AA22" s="1798">
        <v>1</v>
      </c>
      <c r="AB22" s="1798">
        <v>1</v>
      </c>
      <c r="AC22" s="1798">
        <v>1</v>
      </c>
    </row>
    <row r="23" spans="1:29" ht="15">
      <c r="A23" s="425"/>
      <c r="B23" s="448" t="s">
        <v>2091</v>
      </c>
      <c r="C23" s="2642" t="str">
        <f>估价对象房地状况!C9</f>
        <v>较好</v>
      </c>
      <c r="D23" s="447">
        <v>100</v>
      </c>
      <c r="E23" s="449"/>
      <c r="F23" s="450">
        <f>SUMIF(84:84,E24,85:85)-SUMIF(84:84,C24,85:85)+100</f>
        <v>100</v>
      </c>
      <c r="G23" s="451"/>
      <c r="H23" s="447">
        <f>SUMIF(84:84,G24,85:85)-SUMIF(84:84,C24,85:85)+100</f>
        <v>100</v>
      </c>
      <c r="I23" s="449"/>
      <c r="J23" s="447">
        <f>SUMIF(84:84,I24,85:85)-SUMIF(84:84,C24,85:85)+100</f>
        <v>100</v>
      </c>
      <c r="K23" s="611"/>
      <c r="L23" s="1129"/>
      <c r="M23" s="1120"/>
      <c r="N23" s="1120"/>
      <c r="O23" s="1120"/>
      <c r="P23" s="3293"/>
      <c r="Q23" s="1797" t="str">
        <f>B23</f>
        <v>自然及人文环境</v>
      </c>
      <c r="R23" s="771" t="s">
        <v>17</v>
      </c>
      <c r="S23" s="772">
        <f>F23</f>
        <v>100</v>
      </c>
      <c r="T23" s="771" t="s">
        <v>17</v>
      </c>
      <c r="U23" s="772">
        <f>H23</f>
        <v>100</v>
      </c>
      <c r="V23" s="771" t="s">
        <v>17</v>
      </c>
      <c r="W23" s="772">
        <f>J23</f>
        <v>100</v>
      </c>
      <c r="X23" s="1800"/>
      <c r="Y23" s="3250"/>
      <c r="Z23" s="1801" t="str">
        <f>Q23</f>
        <v>自然及人文环境</v>
      </c>
      <c r="AA23" s="1798">
        <f t="shared" si="3"/>
        <v>1</v>
      </c>
      <c r="AB23" s="1798">
        <f t="shared" si="4"/>
        <v>1</v>
      </c>
      <c r="AC23" s="1798">
        <f t="shared" si="5"/>
        <v>1</v>
      </c>
    </row>
    <row r="24" spans="1:29" ht="15">
      <c r="A24" s="425"/>
      <c r="B24" s="453"/>
      <c r="C24" s="444"/>
      <c r="D24" s="445"/>
      <c r="E24" s="2585"/>
      <c r="F24" s="446"/>
      <c r="G24" s="2584"/>
      <c r="H24" s="445"/>
      <c r="I24" s="2585"/>
      <c r="J24" s="445"/>
      <c r="K24" s="612"/>
      <c r="L24" s="1129"/>
      <c r="M24" s="1120"/>
      <c r="N24" s="1120"/>
      <c r="O24" s="1120"/>
      <c r="P24" s="3293"/>
      <c r="Q24" s="1797"/>
      <c r="R24" s="771"/>
      <c r="S24" s="772"/>
      <c r="T24" s="771"/>
      <c r="U24" s="772"/>
      <c r="V24" s="771"/>
      <c r="W24" s="772"/>
      <c r="X24" s="1800"/>
      <c r="Y24" s="3250"/>
      <c r="Z24" s="1801"/>
      <c r="AA24" s="1798">
        <v>1</v>
      </c>
      <c r="AB24" s="1798">
        <v>1</v>
      </c>
      <c r="AC24" s="1798">
        <v>1</v>
      </c>
    </row>
    <row r="25" spans="1:29" ht="15">
      <c r="A25" s="425"/>
      <c r="B25" s="419" t="s">
        <v>2639</v>
      </c>
      <c r="C25" s="613"/>
      <c r="D25" s="432">
        <v>100</v>
      </c>
      <c r="E25" s="613"/>
      <c r="F25" s="458">
        <f>SUMIF(86:86,E25,87:87)-SUMIF(86:86,C25,87:87)+100</f>
        <v>100</v>
      </c>
      <c r="G25" s="613"/>
      <c r="H25" s="432">
        <f>SUMIF(86:86,G25,87:87)-SUMIF(86:86,C25,87:87)+100</f>
        <v>100</v>
      </c>
      <c r="I25" s="613"/>
      <c r="J25" s="432">
        <f>SUMIF(86:86,I25,87:87)-SUMIF(86:86,C25,87:87)+100</f>
        <v>100</v>
      </c>
      <c r="K25" s="609"/>
      <c r="L25" s="1129"/>
      <c r="M25" s="1120"/>
      <c r="N25" s="1120"/>
      <c r="O25" s="1120"/>
      <c r="P25" s="3293"/>
      <c r="Q25" s="1797" t="str">
        <f t="shared" ref="Q25:Q46" si="11">B25</f>
        <v>临街状况</v>
      </c>
      <c r="R25" s="771" t="s">
        <v>17</v>
      </c>
      <c r="S25" s="772">
        <f>F25</f>
        <v>100</v>
      </c>
      <c r="T25" s="771" t="s">
        <v>17</v>
      </c>
      <c r="U25" s="772">
        <f>H25</f>
        <v>100</v>
      </c>
      <c r="V25" s="771" t="s">
        <v>17</v>
      </c>
      <c r="W25" s="772">
        <f>J25</f>
        <v>100</v>
      </c>
      <c r="X25" s="1800"/>
      <c r="Y25" s="3250"/>
      <c r="Z25" s="1801" t="str">
        <f>Q25</f>
        <v>临街状况</v>
      </c>
      <c r="AA25" s="1798">
        <f t="shared" si="3"/>
        <v>1</v>
      </c>
      <c r="AB25" s="1798">
        <f t="shared" si="4"/>
        <v>1</v>
      </c>
      <c r="AC25" s="1798">
        <f t="shared" si="5"/>
        <v>1</v>
      </c>
    </row>
    <row r="26" spans="1:29" ht="15">
      <c r="A26" s="425"/>
      <c r="B26" s="1375" t="s">
        <v>2640</v>
      </c>
      <c r="C26" s="431"/>
      <c r="D26" s="432">
        <v>100</v>
      </c>
      <c r="E26" s="431"/>
      <c r="F26" s="458">
        <f>SUMIF(88:88,E26,89:89)-SUMIF(88:88,C26,89:89)+100</f>
        <v>100</v>
      </c>
      <c r="G26" s="431"/>
      <c r="H26" s="432">
        <f>SUMIF(88:88,G26,89:89)-SUMIF(88:88,C26,89:89)+100</f>
        <v>100</v>
      </c>
      <c r="I26" s="431"/>
      <c r="J26" s="432">
        <f>SUMIF(88:88,I26,89:89)-SUMIF(88:88,C26,89:89)+100</f>
        <v>100</v>
      </c>
      <c r="K26" s="610"/>
      <c r="L26" s="1129"/>
      <c r="M26" s="1120"/>
      <c r="N26" s="1120"/>
      <c r="O26" s="1120"/>
      <c r="P26" s="3293"/>
      <c r="Q26" s="1797" t="str">
        <f t="shared" si="11"/>
        <v>平面位置/可视性</v>
      </c>
      <c r="R26" s="771" t="s">
        <v>17</v>
      </c>
      <c r="S26" s="772">
        <f>F26</f>
        <v>100</v>
      </c>
      <c r="T26" s="771" t="s">
        <v>17</v>
      </c>
      <c r="U26" s="772">
        <f>H26</f>
        <v>100</v>
      </c>
      <c r="V26" s="771" t="s">
        <v>17</v>
      </c>
      <c r="W26" s="772">
        <f>J26</f>
        <v>100</v>
      </c>
      <c r="X26" s="1800"/>
      <c r="Y26" s="3250"/>
      <c r="Z26" s="1801" t="str">
        <f>Q26</f>
        <v>平面位置/可视性</v>
      </c>
      <c r="AA26" s="1798">
        <f t="shared" si="3"/>
        <v>1</v>
      </c>
      <c r="AB26" s="1798">
        <f t="shared" si="4"/>
        <v>1</v>
      </c>
      <c r="AC26" s="1798">
        <f t="shared" si="5"/>
        <v>1</v>
      </c>
    </row>
    <row r="27" spans="1:29" s="115" customFormat="1" ht="15">
      <c r="A27" s="428"/>
      <c r="B27" s="448" t="s">
        <v>2641</v>
      </c>
      <c r="C27" s="2643"/>
      <c r="D27" s="459">
        <v>100</v>
      </c>
      <c r="E27" s="2643"/>
      <c r="F27" s="461">
        <f>SUMIF(90:90,E27,91:91)-SUMIF(90:90,C27,91:91)+100</f>
        <v>100</v>
      </c>
      <c r="G27" s="2643"/>
      <c r="H27" s="459">
        <f>SUMIF(90:90,G27,91:91)-SUMIF(90:90,C27,91:91)+100</f>
        <v>100</v>
      </c>
      <c r="I27" s="2643"/>
      <c r="J27" s="459">
        <f>SUMIF(90:90,I27,91:91)-SUMIF(90:90,C27,91:91)+100</f>
        <v>100</v>
      </c>
      <c r="K27" s="609"/>
      <c r="L27" s="1121"/>
      <c r="M27" s="1122"/>
      <c r="N27" s="1122"/>
      <c r="O27" s="1122"/>
      <c r="P27" s="3293"/>
      <c r="Q27" s="1782" t="str">
        <f t="shared" si="11"/>
        <v>人流量</v>
      </c>
      <c r="R27" s="767" t="s">
        <v>17</v>
      </c>
      <c r="S27" s="768">
        <f>F27</f>
        <v>100</v>
      </c>
      <c r="T27" s="767" t="s">
        <v>17</v>
      </c>
      <c r="U27" s="768">
        <f>H27</f>
        <v>100</v>
      </c>
      <c r="V27" s="767" t="s">
        <v>17</v>
      </c>
      <c r="W27" s="768">
        <f>J27</f>
        <v>100</v>
      </c>
      <c r="X27" s="769"/>
      <c r="Y27" s="3250"/>
      <c r="Z27" s="54" t="str">
        <f>Q27</f>
        <v>人流量</v>
      </c>
      <c r="AA27" s="1798">
        <f>D27/F27</f>
        <v>1</v>
      </c>
      <c r="AB27" s="1798">
        <f>D27/H27</f>
        <v>1</v>
      </c>
      <c r="AC27" s="1798">
        <f>D27/J27</f>
        <v>1</v>
      </c>
    </row>
    <row r="28" spans="1:29" ht="15">
      <c r="A28" s="425"/>
      <c r="B28" s="419" t="s">
        <v>2642</v>
      </c>
      <c r="C28" s="613"/>
      <c r="D28" s="432">
        <v>100</v>
      </c>
      <c r="E28" s="613"/>
      <c r="F28" s="458">
        <f>SUMIF(92:92,E28,93:93)-SUMIF(92:92,C28,93:93)+100</f>
        <v>100</v>
      </c>
      <c r="G28" s="613"/>
      <c r="H28" s="432">
        <f>SUMIF(92:92,G28,93:93)-SUMIF(92:92,C28,93:93)+100</f>
        <v>100</v>
      </c>
      <c r="I28" s="613"/>
      <c r="J28" s="432">
        <f>SUMIF(92:92,I28,93:93)-SUMIF(92:92,C28,93:93)+100</f>
        <v>100</v>
      </c>
      <c r="K28" s="610"/>
      <c r="L28" s="1129"/>
      <c r="M28" s="1120"/>
      <c r="N28" s="1120"/>
      <c r="O28" s="1120"/>
      <c r="P28" s="3293"/>
      <c r="Q28" s="1797" t="str">
        <f t="shared" si="11"/>
        <v>楼层</v>
      </c>
      <c r="R28" s="771" t="s">
        <v>17</v>
      </c>
      <c r="S28" s="772">
        <f t="shared" ref="S28:S46" si="12">F28</f>
        <v>100</v>
      </c>
      <c r="T28" s="771" t="s">
        <v>17</v>
      </c>
      <c r="U28" s="772">
        <f t="shared" ref="U28:U46" si="13">H28</f>
        <v>100</v>
      </c>
      <c r="V28" s="771" t="s">
        <v>17</v>
      </c>
      <c r="W28" s="772">
        <f t="shared" ref="W28:W46" si="14">J28</f>
        <v>100</v>
      </c>
      <c r="X28" s="1800"/>
      <c r="Y28" s="3250"/>
      <c r="Z28" s="1801" t="str">
        <f t="shared" ref="Z28:Z46" si="15">Q28</f>
        <v>楼层</v>
      </c>
      <c r="AA28" s="1798">
        <f t="shared" si="3"/>
        <v>1</v>
      </c>
      <c r="AB28" s="1798">
        <f t="shared" si="4"/>
        <v>1</v>
      </c>
      <c r="AC28" s="1798">
        <f t="shared" si="5"/>
        <v>1</v>
      </c>
    </row>
    <row r="29" spans="1:29" ht="15">
      <c r="A29" s="425"/>
      <c r="B29" s="1375">
        <v>111</v>
      </c>
      <c r="C29" s="431"/>
      <c r="D29" s="432">
        <v>100</v>
      </c>
      <c r="E29" s="431"/>
      <c r="F29" s="458">
        <f>SUMIF(94:94,E29,95:95)-SUMIF(94:94,C29,95:95)+100</f>
        <v>100</v>
      </c>
      <c r="G29" s="431"/>
      <c r="H29" s="432">
        <f>SUMIF(94:94,G29,95:95)-SUMIF(94:94,C29,95:95)+100</f>
        <v>100</v>
      </c>
      <c r="I29" s="431"/>
      <c r="J29" s="432">
        <f>SUMIF(94:94,I29,95:95)-SUMIF(94:94,C29,95:95)+100</f>
        <v>100</v>
      </c>
      <c r="K29" s="610"/>
      <c r="L29" s="1129"/>
      <c r="M29" s="1120"/>
      <c r="N29" s="1120"/>
      <c r="O29" s="1120"/>
      <c r="P29" s="3293"/>
      <c r="Q29" s="1797">
        <f t="shared" si="11"/>
        <v>111</v>
      </c>
      <c r="R29" s="771" t="s">
        <v>17</v>
      </c>
      <c r="S29" s="772">
        <f t="shared" si="12"/>
        <v>100</v>
      </c>
      <c r="T29" s="771" t="s">
        <v>17</v>
      </c>
      <c r="U29" s="772">
        <f t="shared" si="13"/>
        <v>100</v>
      </c>
      <c r="V29" s="771" t="s">
        <v>17</v>
      </c>
      <c r="W29" s="772">
        <f t="shared" si="14"/>
        <v>100</v>
      </c>
      <c r="X29" s="1800"/>
      <c r="Y29" s="3250"/>
      <c r="Z29" s="1801">
        <f t="shared" si="15"/>
        <v>111</v>
      </c>
      <c r="AA29" s="1798">
        <f t="shared" si="3"/>
        <v>1</v>
      </c>
      <c r="AB29" s="1798">
        <f t="shared" si="4"/>
        <v>1</v>
      </c>
      <c r="AC29" s="1798">
        <f t="shared" si="5"/>
        <v>1</v>
      </c>
    </row>
    <row r="30" spans="1:29" ht="15">
      <c r="A30" s="425"/>
      <c r="B30" s="1375">
        <v>111</v>
      </c>
      <c r="C30" s="431"/>
      <c r="D30" s="432">
        <v>100</v>
      </c>
      <c r="E30" s="431"/>
      <c r="F30" s="458">
        <f>SUMIF(96:96,E30,97:97)-SUMIF(96:96,C30,97:97)+100</f>
        <v>100</v>
      </c>
      <c r="G30" s="431"/>
      <c r="H30" s="432">
        <f>SUMIF(96:96,G30,97:97)-SUMIF(96:96,C30,97:97)+100</f>
        <v>100</v>
      </c>
      <c r="I30" s="431"/>
      <c r="J30" s="432">
        <f>SUMIF(96:96,I30,97:97)-SUMIF(96:96,C30,97:97)+100</f>
        <v>100</v>
      </c>
      <c r="K30" s="610"/>
      <c r="L30" s="1129"/>
      <c r="M30" s="1120"/>
      <c r="N30" s="1120"/>
      <c r="O30" s="1120"/>
      <c r="P30" s="3293"/>
      <c r="Q30" s="1797">
        <f t="shared" si="11"/>
        <v>111</v>
      </c>
      <c r="R30" s="771" t="s">
        <v>17</v>
      </c>
      <c r="S30" s="772">
        <f t="shared" si="12"/>
        <v>100</v>
      </c>
      <c r="T30" s="771" t="s">
        <v>17</v>
      </c>
      <c r="U30" s="772">
        <f t="shared" si="13"/>
        <v>100</v>
      </c>
      <c r="V30" s="771" t="s">
        <v>17</v>
      </c>
      <c r="W30" s="772">
        <f t="shared" si="14"/>
        <v>100</v>
      </c>
      <c r="X30" s="1800"/>
      <c r="Y30" s="3250"/>
      <c r="Z30" s="1801">
        <f t="shared" si="15"/>
        <v>111</v>
      </c>
      <c r="AA30" s="1798">
        <f t="shared" si="3"/>
        <v>1</v>
      </c>
      <c r="AB30" s="1798">
        <f t="shared" si="4"/>
        <v>1</v>
      </c>
      <c r="AC30" s="1798">
        <f t="shared" si="5"/>
        <v>1</v>
      </c>
    </row>
    <row r="31" spans="1:29" ht="15.75" thickBot="1">
      <c r="A31" s="433"/>
      <c r="B31" s="1375">
        <v>111</v>
      </c>
      <c r="C31" s="434"/>
      <c r="D31" s="435">
        <v>100</v>
      </c>
      <c r="E31" s="431"/>
      <c r="F31" s="436">
        <f>SUMIF(98:98,E31,99:99)-SUMIF(98:98,C31,99:99)+100</f>
        <v>100</v>
      </c>
      <c r="G31" s="431"/>
      <c r="H31" s="435">
        <f>SUMIF(98:98,G31,99:99)-SUMIF(98:98,C31,99:99)+100</f>
        <v>100</v>
      </c>
      <c r="I31" s="431"/>
      <c r="J31" s="435">
        <f>SUMIF(98:98,I31,99:99)-SUMIF(98:98,C31,99:99)+100</f>
        <v>100</v>
      </c>
      <c r="K31" s="610"/>
      <c r="L31" s="1129"/>
      <c r="M31" s="1120"/>
      <c r="N31" s="1120"/>
      <c r="O31" s="1120"/>
      <c r="P31" s="3293"/>
      <c r="Q31" s="1797">
        <f t="shared" si="11"/>
        <v>111</v>
      </c>
      <c r="R31" s="771" t="s">
        <v>17</v>
      </c>
      <c r="S31" s="772">
        <f t="shared" si="12"/>
        <v>100</v>
      </c>
      <c r="T31" s="771" t="s">
        <v>17</v>
      </c>
      <c r="U31" s="772">
        <f t="shared" si="13"/>
        <v>100</v>
      </c>
      <c r="V31" s="771" t="s">
        <v>17</v>
      </c>
      <c r="W31" s="772">
        <f t="shared" si="14"/>
        <v>100</v>
      </c>
      <c r="X31" s="1800"/>
      <c r="Y31" s="3250"/>
      <c r="Z31" s="1801">
        <f t="shared" si="15"/>
        <v>111</v>
      </c>
      <c r="AA31" s="1798">
        <f t="shared" si="3"/>
        <v>1</v>
      </c>
      <c r="AB31" s="1798">
        <f t="shared" si="4"/>
        <v>1</v>
      </c>
      <c r="AC31" s="1798">
        <f t="shared" si="5"/>
        <v>1</v>
      </c>
    </row>
    <row r="32" spans="1:29" ht="15">
      <c r="A32" s="437" t="s">
        <v>2546</v>
      </c>
      <c r="B32" s="70" t="s">
        <v>2643</v>
      </c>
      <c r="C32" s="2597"/>
      <c r="D32" s="464">
        <v>100</v>
      </c>
      <c r="E32" s="2597"/>
      <c r="F32" s="458">
        <f>SUMIF(100:100,E32,101:101)-SUMIF(100:100,C32,101:101)+100</f>
        <v>100</v>
      </c>
      <c r="G32" s="2597"/>
      <c r="H32" s="432">
        <f>SUMIF(100:100,G32,101:101)-SUMIF(100:100,C32,101:101)+100</f>
        <v>100</v>
      </c>
      <c r="I32" s="2597"/>
      <c r="J32" s="464">
        <f>SUMIF(100:100,I32,101:101)-SUMIF(100:100,C32,101:101)+100</f>
        <v>100</v>
      </c>
      <c r="K32" s="609"/>
      <c r="L32" s="1129"/>
      <c r="M32" s="1120"/>
      <c r="N32" s="1120"/>
      <c r="O32" s="1120"/>
      <c r="P32" s="3288" t="s">
        <v>2548</v>
      </c>
      <c r="Q32" s="1797" t="str">
        <f t="shared" si="11"/>
        <v>商业类型</v>
      </c>
      <c r="R32" s="771" t="s">
        <v>17</v>
      </c>
      <c r="S32" s="772">
        <f t="shared" si="12"/>
        <v>100</v>
      </c>
      <c r="T32" s="771" t="s">
        <v>17</v>
      </c>
      <c r="U32" s="772">
        <f t="shared" si="13"/>
        <v>100</v>
      </c>
      <c r="V32" s="771" t="s">
        <v>17</v>
      </c>
      <c r="W32" s="772">
        <f t="shared" si="14"/>
        <v>100</v>
      </c>
      <c r="X32" s="1800"/>
      <c r="Y32" s="3252" t="s">
        <v>2548</v>
      </c>
      <c r="Z32" s="1801" t="str">
        <f t="shared" si="15"/>
        <v>商业类型</v>
      </c>
      <c r="AA32" s="1798">
        <f t="shared" si="3"/>
        <v>1</v>
      </c>
      <c r="AB32" s="1798">
        <f t="shared" si="4"/>
        <v>1</v>
      </c>
      <c r="AC32" s="1798">
        <f t="shared" si="5"/>
        <v>1</v>
      </c>
    </row>
    <row r="33" spans="1:29" s="468" customFormat="1" ht="15">
      <c r="A33" s="465"/>
      <c r="B33" s="419" t="s">
        <v>2549</v>
      </c>
      <c r="C33" s="466"/>
      <c r="D33" s="134">
        <v>100</v>
      </c>
      <c r="E33" s="427"/>
      <c r="F33" s="422" t="e">
        <f>LOOKUP(E33,103:103,104:104)-LOOKUP(C33,103:103,104:104)+100</f>
        <v>#N/A</v>
      </c>
      <c r="G33" s="426"/>
      <c r="H33" s="134" t="e">
        <f>LOOKUP(G33,103:103,104:104)-LOOKUP(C33,103:103,104:104)+100</f>
        <v>#N/A</v>
      </c>
      <c r="I33" s="426"/>
      <c r="J33" s="134" t="e">
        <f>LOOKUP(I33,103:103,104:104)-LOOKUP(C33,103:103,104:104)+100</f>
        <v>#N/A</v>
      </c>
      <c r="K33" s="610"/>
      <c r="L33" s="1127"/>
      <c r="M33" s="1130"/>
      <c r="N33" s="1130"/>
      <c r="O33" s="1130"/>
      <c r="P33" s="3289"/>
      <c r="Q33" s="773" t="str">
        <f t="shared" si="11"/>
        <v>项目建筑规模</v>
      </c>
      <c r="R33" s="774" t="s">
        <v>17</v>
      </c>
      <c r="S33" s="775" t="e">
        <f t="shared" si="12"/>
        <v>#N/A</v>
      </c>
      <c r="T33" s="774" t="s">
        <v>17</v>
      </c>
      <c r="U33" s="775" t="e">
        <f t="shared" si="13"/>
        <v>#N/A</v>
      </c>
      <c r="V33" s="774" t="s">
        <v>17</v>
      </c>
      <c r="W33" s="775" t="e">
        <f t="shared" si="14"/>
        <v>#N/A</v>
      </c>
      <c r="X33" s="776"/>
      <c r="Y33" s="3252"/>
      <c r="Z33" s="777" t="str">
        <f t="shared" si="15"/>
        <v>项目建筑规模</v>
      </c>
      <c r="AA33" s="1798" t="e">
        <f t="shared" si="3"/>
        <v>#N/A</v>
      </c>
      <c r="AB33" s="1798" t="e">
        <f t="shared" si="4"/>
        <v>#N/A</v>
      </c>
      <c r="AC33" s="1798" t="e">
        <f t="shared" si="5"/>
        <v>#N/A</v>
      </c>
    </row>
    <row r="34" spans="1:29" ht="15">
      <c r="A34" s="469"/>
      <c r="B34" s="419" t="s">
        <v>2550</v>
      </c>
      <c r="C34" s="2598"/>
      <c r="D34" s="432">
        <v>100</v>
      </c>
      <c r="E34" s="2598"/>
      <c r="F34" s="458">
        <f>SUMIF(105:105,E34,106:106)-SUMIF(105:105,C34,106:106)+100</f>
        <v>100</v>
      </c>
      <c r="G34" s="2598"/>
      <c r="H34" s="432">
        <f>SUMIF(105:105,G34,106:106)-SUMIF(105:105,C34,106:106)+100</f>
        <v>100</v>
      </c>
      <c r="I34" s="2598"/>
      <c r="J34" s="432">
        <f>SUMIF(105:105,I34,106:106)-SUMIF(105:105,C34,106:106)+100</f>
        <v>100</v>
      </c>
      <c r="K34" s="609"/>
      <c r="L34" s="1129"/>
      <c r="M34" s="1120"/>
      <c r="N34" s="1120"/>
      <c r="O34" s="1120"/>
      <c r="P34" s="3289"/>
      <c r="Q34" s="1797" t="str">
        <f t="shared" si="11"/>
        <v>建筑结构</v>
      </c>
      <c r="R34" s="771" t="s">
        <v>17</v>
      </c>
      <c r="S34" s="772">
        <f t="shared" si="12"/>
        <v>100</v>
      </c>
      <c r="T34" s="771" t="s">
        <v>17</v>
      </c>
      <c r="U34" s="772">
        <f t="shared" si="13"/>
        <v>100</v>
      </c>
      <c r="V34" s="771" t="s">
        <v>17</v>
      </c>
      <c r="W34" s="772">
        <f t="shared" si="14"/>
        <v>100</v>
      </c>
      <c r="X34" s="1800"/>
      <c r="Y34" s="3252"/>
      <c r="Z34" s="1801" t="str">
        <f t="shared" si="15"/>
        <v>建筑结构</v>
      </c>
      <c r="AA34" s="1798">
        <f t="shared" si="3"/>
        <v>1</v>
      </c>
      <c r="AB34" s="1798">
        <f t="shared" si="4"/>
        <v>1</v>
      </c>
      <c r="AC34" s="1798">
        <f t="shared" si="5"/>
        <v>1</v>
      </c>
    </row>
    <row r="35" spans="1:29" ht="15">
      <c r="A35" s="469"/>
      <c r="B35" s="419" t="s">
        <v>2644</v>
      </c>
      <c r="C35" s="2593"/>
      <c r="D35" s="432">
        <v>100</v>
      </c>
      <c r="E35" s="2593"/>
      <c r="F35" s="458">
        <f>SUMIF(107:107,E35,108:108)-SUMIF(107:107,C35,108:108)+100</f>
        <v>100</v>
      </c>
      <c r="G35" s="2593"/>
      <c r="H35" s="432">
        <f>SUMIF(107:107,G35,108:108)-SUMIF(107:107,C35,108:108)+100</f>
        <v>100</v>
      </c>
      <c r="I35" s="2593"/>
      <c r="J35" s="432">
        <f>SUMIF(107:107,I35,108:108)-SUMIF(107:107,C35,108:108)+100</f>
        <v>100</v>
      </c>
      <c r="K35" s="609"/>
      <c r="L35" s="1129"/>
      <c r="M35" s="1120"/>
      <c r="N35" s="1120"/>
      <c r="O35" s="1120"/>
      <c r="P35" s="3289"/>
      <c r="Q35" s="1797" t="str">
        <f t="shared" si="11"/>
        <v>公共部分装修</v>
      </c>
      <c r="R35" s="771" t="s">
        <v>17</v>
      </c>
      <c r="S35" s="772">
        <f t="shared" si="12"/>
        <v>100</v>
      </c>
      <c r="T35" s="771" t="s">
        <v>17</v>
      </c>
      <c r="U35" s="772">
        <f t="shared" si="13"/>
        <v>100</v>
      </c>
      <c r="V35" s="771" t="s">
        <v>17</v>
      </c>
      <c r="W35" s="772">
        <f t="shared" si="14"/>
        <v>100</v>
      </c>
      <c r="X35" s="1800"/>
      <c r="Y35" s="3252"/>
      <c r="Z35" s="1801" t="str">
        <f t="shared" si="15"/>
        <v>公共部分装修</v>
      </c>
      <c r="AA35" s="1798">
        <f t="shared" si="3"/>
        <v>1</v>
      </c>
      <c r="AB35" s="1798">
        <f t="shared" si="4"/>
        <v>1</v>
      </c>
      <c r="AC35" s="1798">
        <f t="shared" si="5"/>
        <v>1</v>
      </c>
    </row>
    <row r="36" spans="1:29" ht="15">
      <c r="A36" s="469"/>
      <c r="B36" s="419" t="s">
        <v>2645</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29"/>
      <c r="M36" s="1120"/>
      <c r="N36" s="1120"/>
      <c r="O36" s="1120"/>
      <c r="P36" s="3289"/>
      <c r="Q36" s="1797" t="str">
        <f t="shared" si="11"/>
        <v>成新度</v>
      </c>
      <c r="R36" s="771" t="s">
        <v>17</v>
      </c>
      <c r="S36" s="772" t="e">
        <f t="shared" si="12"/>
        <v>#N/A</v>
      </c>
      <c r="T36" s="771" t="s">
        <v>17</v>
      </c>
      <c r="U36" s="772" t="e">
        <f t="shared" si="13"/>
        <v>#N/A</v>
      </c>
      <c r="V36" s="771" t="s">
        <v>17</v>
      </c>
      <c r="W36" s="772" t="e">
        <f t="shared" si="14"/>
        <v>#N/A</v>
      </c>
      <c r="X36" s="1800"/>
      <c r="Y36" s="3252"/>
      <c r="Z36" s="1801" t="str">
        <f t="shared" si="15"/>
        <v>成新度</v>
      </c>
      <c r="AA36" s="1798" t="e">
        <f t="shared" si="3"/>
        <v>#N/A</v>
      </c>
      <c r="AB36" s="1798" t="e">
        <f t="shared" si="4"/>
        <v>#N/A</v>
      </c>
      <c r="AC36" s="1798" t="e">
        <f t="shared" si="5"/>
        <v>#N/A</v>
      </c>
    </row>
    <row r="37" spans="1:29" s="115" customFormat="1" ht="15">
      <c r="A37" s="470"/>
      <c r="B37" s="419" t="s">
        <v>2646</v>
      </c>
      <c r="C37" s="2593"/>
      <c r="D37" s="134">
        <v>100</v>
      </c>
      <c r="E37" s="2593"/>
      <c r="F37" s="458">
        <f>SUMIF(112:112,E37,113:113)-SUMIF(112:112,C37,113:113)+100</f>
        <v>100</v>
      </c>
      <c r="G37" s="2593"/>
      <c r="H37" s="432">
        <f>SUMIF(112:112,G37,113:113)-SUMIF(112:112,C37,113:113)+100</f>
        <v>100</v>
      </c>
      <c r="I37" s="2593"/>
      <c r="J37" s="432">
        <f>SUMIF(112:112,I37,113:113)-SUMIF(112:112,C37,113:113)+100</f>
        <v>100</v>
      </c>
      <c r="K37" s="609"/>
      <c r="L37" s="1121"/>
      <c r="M37" s="1122"/>
      <c r="N37" s="1122"/>
      <c r="O37" s="1122"/>
      <c r="P37" s="3289"/>
      <c r="Q37" s="1782" t="str">
        <f t="shared" si="11"/>
        <v>市政基础设施</v>
      </c>
      <c r="R37" s="767" t="s">
        <v>17</v>
      </c>
      <c r="S37" s="768">
        <f t="shared" si="12"/>
        <v>100</v>
      </c>
      <c r="T37" s="767" t="s">
        <v>17</v>
      </c>
      <c r="U37" s="768">
        <f t="shared" si="13"/>
        <v>100</v>
      </c>
      <c r="V37" s="767" t="s">
        <v>17</v>
      </c>
      <c r="W37" s="768">
        <f t="shared" si="14"/>
        <v>100</v>
      </c>
      <c r="X37" s="769"/>
      <c r="Y37" s="3252"/>
      <c r="Z37" s="54" t="str">
        <f t="shared" si="15"/>
        <v>市政基础设施</v>
      </c>
      <c r="AA37" s="770">
        <f t="shared" si="3"/>
        <v>1</v>
      </c>
      <c r="AB37" s="770">
        <f t="shared" si="4"/>
        <v>1</v>
      </c>
      <c r="AC37" s="770">
        <f t="shared" si="5"/>
        <v>1</v>
      </c>
    </row>
    <row r="38" spans="1:29" ht="15">
      <c r="A38" s="469"/>
      <c r="B38" s="419" t="s">
        <v>2647</v>
      </c>
      <c r="C38" s="2593"/>
      <c r="D38" s="432">
        <v>100</v>
      </c>
      <c r="E38" s="2593"/>
      <c r="F38" s="458">
        <f>SUMIF(114:114,E38,115:115)-SUMIF(114:114,C38,115:115)+100</f>
        <v>100</v>
      </c>
      <c r="G38" s="2593"/>
      <c r="H38" s="432">
        <f>SUMIF(114:114,G38,115:115)-SUMIF(114:114,C38,115:115)+100</f>
        <v>100</v>
      </c>
      <c r="I38" s="2593"/>
      <c r="J38" s="432">
        <f>SUMIF(114:114,I38,115:115)-SUMIF(114:114,C38,115:115)+100</f>
        <v>100</v>
      </c>
      <c r="K38" s="609"/>
      <c r="L38" s="1129"/>
      <c r="M38" s="1120"/>
      <c r="N38" s="1120"/>
      <c r="O38" s="1120"/>
      <c r="P38" s="3289" t="s">
        <v>2548</v>
      </c>
      <c r="Q38" s="1797" t="str">
        <f t="shared" si="11"/>
        <v>业态</v>
      </c>
      <c r="R38" s="771" t="s">
        <v>17</v>
      </c>
      <c r="S38" s="772">
        <f t="shared" si="12"/>
        <v>100</v>
      </c>
      <c r="T38" s="771" t="s">
        <v>17</v>
      </c>
      <c r="U38" s="772">
        <f t="shared" si="13"/>
        <v>100</v>
      </c>
      <c r="V38" s="771" t="s">
        <v>17</v>
      </c>
      <c r="W38" s="772">
        <f t="shared" si="14"/>
        <v>100</v>
      </c>
      <c r="X38" s="1800"/>
      <c r="Y38" s="3252" t="s">
        <v>2548</v>
      </c>
      <c r="Z38" s="1801" t="str">
        <f t="shared" si="15"/>
        <v>业态</v>
      </c>
      <c r="AA38" s="1798">
        <f t="shared" si="3"/>
        <v>1</v>
      </c>
      <c r="AB38" s="1798">
        <f t="shared" si="4"/>
        <v>1</v>
      </c>
      <c r="AC38" s="1798">
        <f t="shared" si="5"/>
        <v>1</v>
      </c>
    </row>
    <row r="39" spans="1:29" ht="15">
      <c r="A39" s="469"/>
      <c r="B39" s="419" t="s">
        <v>2648</v>
      </c>
      <c r="C39" s="2593"/>
      <c r="D39" s="432">
        <v>100</v>
      </c>
      <c r="E39" s="2593"/>
      <c r="F39" s="458">
        <f>SUMIF(116:116,E39,117:117)-SUMIF(116:116,C39,117:117)+100</f>
        <v>100</v>
      </c>
      <c r="G39" s="2593"/>
      <c r="H39" s="432">
        <f>SUMIF(116:116,G39,117:117)-SUMIF(116:116,C39,117:117)+100</f>
        <v>100</v>
      </c>
      <c r="I39" s="2593"/>
      <c r="J39" s="432">
        <f>SUMIF(116:116,I39,117:117)-SUMIF(116:116,C39,117:117)+100</f>
        <v>100</v>
      </c>
      <c r="K39" s="609"/>
      <c r="L39" s="1129"/>
      <c r="M39" s="1120"/>
      <c r="N39" s="1120"/>
      <c r="O39" s="1120"/>
      <c r="P39" s="3289"/>
      <c r="Q39" s="1797" t="str">
        <f t="shared" si="11"/>
        <v>层高</v>
      </c>
      <c r="R39" s="771" t="s">
        <v>17</v>
      </c>
      <c r="S39" s="772">
        <f t="shared" si="12"/>
        <v>100</v>
      </c>
      <c r="T39" s="771" t="s">
        <v>17</v>
      </c>
      <c r="U39" s="772">
        <f t="shared" si="13"/>
        <v>100</v>
      </c>
      <c r="V39" s="771" t="s">
        <v>17</v>
      </c>
      <c r="W39" s="772">
        <f t="shared" si="14"/>
        <v>100</v>
      </c>
      <c r="X39" s="1800"/>
      <c r="Y39" s="3252"/>
      <c r="Z39" s="1801" t="str">
        <f t="shared" si="15"/>
        <v>层高</v>
      </c>
      <c r="AA39" s="1798">
        <f t="shared" si="3"/>
        <v>1</v>
      </c>
      <c r="AB39" s="1798">
        <f t="shared" si="4"/>
        <v>1</v>
      </c>
      <c r="AC39" s="1798">
        <f t="shared" si="5"/>
        <v>1</v>
      </c>
    </row>
    <row r="40" spans="1:29" ht="15">
      <c r="A40" s="469"/>
      <c r="B40" s="419" t="s">
        <v>2649</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29"/>
      <c r="M40" s="1120"/>
      <c r="N40" s="1120"/>
      <c r="O40" s="1120"/>
      <c r="P40" s="3289"/>
      <c r="Q40" s="1797" t="str">
        <f t="shared" si="11"/>
        <v>单套建筑面积</v>
      </c>
      <c r="R40" s="771" t="s">
        <v>17</v>
      </c>
      <c r="S40" s="772">
        <f t="shared" si="12"/>
        <v>100</v>
      </c>
      <c r="T40" s="771" t="s">
        <v>17</v>
      </c>
      <c r="U40" s="772">
        <f t="shared" si="13"/>
        <v>100</v>
      </c>
      <c r="V40" s="771" t="s">
        <v>17</v>
      </c>
      <c r="W40" s="772">
        <f t="shared" si="14"/>
        <v>100</v>
      </c>
      <c r="X40" s="1800"/>
      <c r="Y40" s="3252"/>
      <c r="Z40" s="1801" t="str">
        <f t="shared" si="15"/>
        <v>单套建筑面积</v>
      </c>
      <c r="AA40" s="1798">
        <f t="shared" si="3"/>
        <v>1</v>
      </c>
      <c r="AB40" s="1798">
        <f t="shared" si="4"/>
        <v>1</v>
      </c>
      <c r="AC40" s="1798">
        <f t="shared" si="5"/>
        <v>1</v>
      </c>
    </row>
    <row r="41" spans="1:29" s="468" customFormat="1" ht="15">
      <c r="A41" s="465"/>
      <c r="B41" s="1799" t="s">
        <v>2650</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7"/>
      <c r="M41" s="1130"/>
      <c r="N41" s="1130"/>
      <c r="O41" s="1130"/>
      <c r="P41" s="3289"/>
      <c r="Q41" s="773" t="str">
        <f t="shared" si="11"/>
        <v>进深比</v>
      </c>
      <c r="R41" s="774" t="s">
        <v>17</v>
      </c>
      <c r="S41" s="775">
        <f t="shared" si="12"/>
        <v>100</v>
      </c>
      <c r="T41" s="774" t="s">
        <v>17</v>
      </c>
      <c r="U41" s="775">
        <f t="shared" si="13"/>
        <v>100</v>
      </c>
      <c r="V41" s="774" t="s">
        <v>17</v>
      </c>
      <c r="W41" s="775">
        <f t="shared" si="14"/>
        <v>100</v>
      </c>
      <c r="X41" s="776"/>
      <c r="Y41" s="3252"/>
      <c r="Z41" s="777" t="str">
        <f t="shared" si="15"/>
        <v>进深比</v>
      </c>
      <c r="AA41" s="1798">
        <f t="shared" si="3"/>
        <v>1</v>
      </c>
      <c r="AB41" s="1798">
        <f t="shared" si="4"/>
        <v>1</v>
      </c>
      <c r="AC41" s="1798">
        <f t="shared" si="5"/>
        <v>1</v>
      </c>
    </row>
    <row r="42" spans="1:29" ht="15">
      <c r="A42" s="469"/>
      <c r="B42" s="419" t="s">
        <v>2651</v>
      </c>
      <c r="C42" s="2593"/>
      <c r="D42" s="432">
        <v>100</v>
      </c>
      <c r="E42" s="2593"/>
      <c r="F42" s="458">
        <f>SUMIF(122:122,E42,123:123)-SUMIF(122:122,C42,123:123)+100</f>
        <v>100</v>
      </c>
      <c r="G42" s="2593"/>
      <c r="H42" s="432">
        <f>SUMIF(122:122,G42,123:123)-SUMIF(122:122,C42,123:123)+100</f>
        <v>100</v>
      </c>
      <c r="I42" s="2593"/>
      <c r="J42" s="432">
        <f>SUMIF(122:122,I42,123:123)-SUMIF(122:122,C42,123:123)+100</f>
        <v>100</v>
      </c>
      <c r="K42" s="609"/>
      <c r="L42" s="1129"/>
      <c r="M42" s="1120"/>
      <c r="N42" s="1120"/>
      <c r="O42" s="1120"/>
      <c r="P42" s="3289"/>
      <c r="Q42" s="1797" t="str">
        <f t="shared" si="11"/>
        <v>内部装修</v>
      </c>
      <c r="R42" s="771" t="s">
        <v>17</v>
      </c>
      <c r="S42" s="772">
        <f t="shared" si="12"/>
        <v>100</v>
      </c>
      <c r="T42" s="771" t="s">
        <v>17</v>
      </c>
      <c r="U42" s="772">
        <f t="shared" si="13"/>
        <v>100</v>
      </c>
      <c r="V42" s="771" t="s">
        <v>17</v>
      </c>
      <c r="W42" s="772">
        <f t="shared" si="14"/>
        <v>100</v>
      </c>
      <c r="X42" s="1800"/>
      <c r="Y42" s="3252"/>
      <c r="Z42" s="1801" t="str">
        <f t="shared" si="15"/>
        <v>内部装修</v>
      </c>
      <c r="AA42" s="1798">
        <f t="shared" si="3"/>
        <v>1</v>
      </c>
      <c r="AB42" s="1798">
        <f t="shared" si="4"/>
        <v>1</v>
      </c>
      <c r="AC42" s="1798">
        <f t="shared" si="5"/>
        <v>1</v>
      </c>
    </row>
    <row r="43" spans="1:29" ht="15">
      <c r="A43" s="469"/>
      <c r="B43" s="419" t="s">
        <v>2559</v>
      </c>
      <c r="C43" s="2593"/>
      <c r="D43" s="432">
        <v>100</v>
      </c>
      <c r="E43" s="2593"/>
      <c r="F43" s="458">
        <f>SUMIF(124:124,E43,125:125)-SUMIF(124:124,C43,125:125)+100</f>
        <v>100</v>
      </c>
      <c r="G43" s="2593"/>
      <c r="H43" s="432">
        <f>SUMIF(124:124,G43,125:125)-SUMIF(124:124,C43,125:125)+100</f>
        <v>100</v>
      </c>
      <c r="I43" s="2593"/>
      <c r="J43" s="432">
        <f>SUMIF(124:124,I43,125:125)-SUMIF(124:124,C43,125:125)+100</f>
        <v>100</v>
      </c>
      <c r="K43" s="609"/>
      <c r="L43" s="1129"/>
      <c r="M43" s="1120"/>
      <c r="N43" s="1120"/>
      <c r="O43" s="1120"/>
      <c r="P43" s="3289"/>
      <c r="Q43" s="1797" t="str">
        <f t="shared" si="11"/>
        <v>内部装修维护情况</v>
      </c>
      <c r="R43" s="771" t="s">
        <v>17</v>
      </c>
      <c r="S43" s="772">
        <f t="shared" si="12"/>
        <v>100</v>
      </c>
      <c r="T43" s="771" t="s">
        <v>17</v>
      </c>
      <c r="U43" s="772">
        <f t="shared" si="13"/>
        <v>100</v>
      </c>
      <c r="V43" s="771" t="s">
        <v>17</v>
      </c>
      <c r="W43" s="772">
        <f t="shared" si="14"/>
        <v>100</v>
      </c>
      <c r="X43" s="1800"/>
      <c r="Y43" s="3252"/>
      <c r="Z43" s="1801" t="str">
        <f t="shared" si="15"/>
        <v>内部装修维护情况</v>
      </c>
      <c r="AA43" s="1798">
        <f t="shared" si="3"/>
        <v>1</v>
      </c>
      <c r="AB43" s="1798">
        <f t="shared" si="4"/>
        <v>1</v>
      </c>
      <c r="AC43" s="1798">
        <f t="shared" si="5"/>
        <v>1</v>
      </c>
    </row>
    <row r="44" spans="1:29" s="115" customFormat="1" ht="15">
      <c r="A44" s="470"/>
      <c r="B44" s="1375">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1"/>
      <c r="M44" s="1122"/>
      <c r="N44" s="1122"/>
      <c r="O44" s="1122"/>
      <c r="P44" s="3289"/>
      <c r="Q44" s="1782">
        <f t="shared" si="11"/>
        <v>111</v>
      </c>
      <c r="R44" s="767" t="s">
        <v>17</v>
      </c>
      <c r="S44" s="768">
        <f t="shared" si="12"/>
        <v>100</v>
      </c>
      <c r="T44" s="767" t="s">
        <v>17</v>
      </c>
      <c r="U44" s="768">
        <f t="shared" si="13"/>
        <v>100</v>
      </c>
      <c r="V44" s="767" t="s">
        <v>17</v>
      </c>
      <c r="W44" s="768">
        <f t="shared" si="14"/>
        <v>100</v>
      </c>
      <c r="X44" s="769"/>
      <c r="Y44" s="3252"/>
      <c r="Z44" s="54">
        <f t="shared" si="15"/>
        <v>111</v>
      </c>
      <c r="AA44" s="770">
        <f t="shared" si="3"/>
        <v>1</v>
      </c>
      <c r="AB44" s="770">
        <f t="shared" si="4"/>
        <v>1</v>
      </c>
      <c r="AC44" s="770">
        <f t="shared" si="5"/>
        <v>1</v>
      </c>
    </row>
    <row r="45" spans="1:29" ht="15">
      <c r="A45" s="469"/>
      <c r="B45" s="1375">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29"/>
      <c r="M45" s="1120"/>
      <c r="N45" s="1120"/>
      <c r="O45" s="1120"/>
      <c r="P45" s="3289"/>
      <c r="Q45" s="1797">
        <f t="shared" si="11"/>
        <v>111</v>
      </c>
      <c r="R45" s="771" t="s">
        <v>17</v>
      </c>
      <c r="S45" s="772">
        <f t="shared" si="12"/>
        <v>100</v>
      </c>
      <c r="T45" s="771" t="s">
        <v>17</v>
      </c>
      <c r="U45" s="772">
        <f t="shared" si="13"/>
        <v>100</v>
      </c>
      <c r="V45" s="771" t="s">
        <v>17</v>
      </c>
      <c r="W45" s="772">
        <f t="shared" si="14"/>
        <v>100</v>
      </c>
      <c r="X45" s="1800"/>
      <c r="Y45" s="3252"/>
      <c r="Z45" s="1801">
        <f t="shared" si="15"/>
        <v>111</v>
      </c>
      <c r="AA45" s="1798">
        <f t="shared" si="3"/>
        <v>1</v>
      </c>
      <c r="AB45" s="1798">
        <f t="shared" si="4"/>
        <v>1</v>
      </c>
      <c r="AC45" s="1798">
        <f t="shared" si="5"/>
        <v>1</v>
      </c>
    </row>
    <row r="46" spans="1:29" ht="15.75" thickBot="1">
      <c r="A46" s="475"/>
      <c r="B46" s="258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29"/>
      <c r="M46" s="1120"/>
      <c r="N46" s="1120"/>
      <c r="O46" s="1120"/>
      <c r="P46" s="3290"/>
      <c r="Q46" s="1797">
        <f t="shared" si="11"/>
        <v>111</v>
      </c>
      <c r="R46" s="771" t="s">
        <v>17</v>
      </c>
      <c r="S46" s="772">
        <f t="shared" si="12"/>
        <v>100</v>
      </c>
      <c r="T46" s="771" t="s">
        <v>17</v>
      </c>
      <c r="U46" s="772">
        <f t="shared" si="13"/>
        <v>100</v>
      </c>
      <c r="V46" s="771" t="s">
        <v>17</v>
      </c>
      <c r="W46" s="772">
        <f t="shared" si="14"/>
        <v>100</v>
      </c>
      <c r="X46" s="1800"/>
      <c r="Y46" s="3291"/>
      <c r="Z46" s="1801">
        <f t="shared" si="15"/>
        <v>111</v>
      </c>
      <c r="AA46" s="1798">
        <f t="shared" si="3"/>
        <v>1</v>
      </c>
      <c r="AB46" s="1798">
        <f t="shared" si="4"/>
        <v>1</v>
      </c>
      <c r="AC46" s="1798">
        <f t="shared" si="5"/>
        <v>1</v>
      </c>
    </row>
    <row r="47" spans="1:29" ht="15">
      <c r="A47" s="476" t="s">
        <v>2560</v>
      </c>
      <c r="B47" s="477"/>
      <c r="C47" s="1396" t="s">
        <v>1</v>
      </c>
      <c r="D47" s="1397"/>
      <c r="E47" s="1398"/>
      <c r="F47" s="1399"/>
      <c r="G47" s="1400"/>
      <c r="H47" s="1401"/>
      <c r="I47" s="1398"/>
      <c r="J47" s="1401"/>
      <c r="K47" s="780"/>
      <c r="L47" s="1132"/>
      <c r="M47" s="1133"/>
      <c r="N47" s="1120"/>
      <c r="O47" s="1133"/>
      <c r="P47" s="3247" t="str">
        <f>A47</f>
        <v>成交单价（元/平方米）</v>
      </c>
      <c r="Q47" s="3247"/>
      <c r="R47" s="3253">
        <f>E47</f>
        <v>0</v>
      </c>
      <c r="S47" s="3253"/>
      <c r="T47" s="3253">
        <f>G47</f>
        <v>0</v>
      </c>
      <c r="U47" s="3253"/>
      <c r="V47" s="3253">
        <f>I47</f>
        <v>0</v>
      </c>
      <c r="W47" s="3253"/>
      <c r="X47" s="756"/>
      <c r="Y47" s="778"/>
      <c r="Z47" s="756"/>
      <c r="AA47" s="756"/>
      <c r="AB47" s="756"/>
      <c r="AC47" s="756"/>
    </row>
    <row r="48" spans="1:29" ht="15.75" thickBot="1">
      <c r="A48" s="483" t="s">
        <v>2652</v>
      </c>
      <c r="B48" s="484"/>
      <c r="C48" s="1402" t="e">
        <f>R49</f>
        <v>#DIV/0!</v>
      </c>
      <c r="D48" s="1403"/>
      <c r="E48" s="1404" t="e">
        <f>R48</f>
        <v>#DIV/0!</v>
      </c>
      <c r="F48" s="1404"/>
      <c r="G48" s="1402" t="e">
        <f>T48</f>
        <v>#DIV/0!</v>
      </c>
      <c r="H48" s="1403"/>
      <c r="I48" s="1404" t="e">
        <f>V48</f>
        <v>#DIV/0!</v>
      </c>
      <c r="J48" s="1403"/>
      <c r="K48" s="781"/>
      <c r="L48" s="1132"/>
      <c r="M48" s="1133"/>
      <c r="N48" s="1120"/>
      <c r="O48" s="1133"/>
      <c r="P48" s="3247" t="str">
        <f>A48</f>
        <v>比较价值（元/平方米）</v>
      </c>
      <c r="Q48" s="3247"/>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756"/>
      <c r="Y48" s="756"/>
      <c r="Z48" s="756"/>
      <c r="AA48" s="756"/>
      <c r="AB48" s="756"/>
      <c r="AC48" s="756"/>
    </row>
    <row r="49" spans="1:29" ht="15.75" thickBot="1">
      <c r="A49" s="489" t="s">
        <v>2653</v>
      </c>
      <c r="B49" s="490"/>
      <c r="C49" s="1406" t="e">
        <f>R49</f>
        <v>#DIV/0!</v>
      </c>
      <c r="D49" s="1406"/>
      <c r="E49" s="1406"/>
      <c r="F49" s="1406"/>
      <c r="G49" s="1406"/>
      <c r="H49" s="1406"/>
      <c r="I49" s="1406"/>
      <c r="J49" s="1406"/>
      <c r="K49" s="782"/>
      <c r="L49" s="1132"/>
      <c r="M49" s="1133"/>
      <c r="N49" s="1120"/>
      <c r="O49" s="1133"/>
      <c r="P49" s="3241" t="str">
        <f>A49</f>
        <v>估价对象XX用房的比较价值（楼面单价，元/平方米）</v>
      </c>
      <c r="Q49" s="3242"/>
      <c r="R49" s="3286" t="e">
        <f>IF(F1="售价",ROUND(AVERAGE(R48:V48),0),ROUND(AVERAGE(R48:V48),1))</f>
        <v>#DIV/0!</v>
      </c>
      <c r="S49" s="3286"/>
      <c r="T49" s="3286"/>
      <c r="U49" s="3286"/>
      <c r="V49" s="3286"/>
      <c r="W49" s="3286"/>
      <c r="X49" s="756"/>
      <c r="Y49" s="756"/>
      <c r="Z49" s="756"/>
      <c r="AA49" s="756"/>
      <c r="AB49" s="756"/>
      <c r="AC49" s="756"/>
    </row>
    <row r="50" spans="1:29">
      <c r="A50" s="1133"/>
      <c r="B50" s="1133"/>
      <c r="C50" s="1133"/>
      <c r="D50" s="1133"/>
      <c r="E50" s="1133"/>
      <c r="F50" s="1133"/>
      <c r="G50" s="1136"/>
      <c r="H50" s="1133"/>
      <c r="I50" s="1133"/>
      <c r="J50" s="1133"/>
      <c r="K50" s="1094"/>
      <c r="L50" s="1095"/>
      <c r="M50" s="1133"/>
      <c r="N50" s="1133"/>
      <c r="O50" s="1133"/>
      <c r="P50" s="672"/>
      <c r="Q50" s="756"/>
      <c r="R50" s="756"/>
      <c r="S50" s="756"/>
      <c r="T50" s="756"/>
      <c r="U50" s="756"/>
      <c r="V50" s="756"/>
      <c r="W50" s="756"/>
      <c r="X50" s="756"/>
      <c r="Y50" s="756"/>
      <c r="Z50" s="756"/>
      <c r="AA50" s="756"/>
      <c r="AB50" s="756"/>
      <c r="AC50" s="756"/>
    </row>
    <row r="51" spans="1:29">
      <c r="A51" s="1133"/>
      <c r="B51" s="1133"/>
      <c r="C51" s="1133"/>
      <c r="D51" s="1133"/>
      <c r="E51" s="1133"/>
      <c r="F51" s="1133"/>
      <c r="G51" s="1133"/>
      <c r="H51" s="1133"/>
      <c r="I51" s="1133"/>
      <c r="J51" s="1133"/>
      <c r="K51" s="1094"/>
      <c r="L51" s="1095"/>
      <c r="M51" s="1133"/>
      <c r="N51" s="1133"/>
      <c r="O51" s="1133"/>
      <c r="P51" s="672"/>
      <c r="Q51" s="756"/>
      <c r="R51" s="756"/>
      <c r="S51" s="756"/>
      <c r="T51" s="756"/>
      <c r="U51" s="756"/>
      <c r="V51" s="756"/>
      <c r="W51" s="756"/>
      <c r="X51" s="756"/>
      <c r="Y51" s="756"/>
      <c r="Z51" s="756"/>
      <c r="AA51" s="756"/>
      <c r="AB51" s="756"/>
      <c r="AC51" s="756"/>
    </row>
    <row r="52" spans="1:29" ht="13.5" customHeight="1">
      <c r="A52" s="1133"/>
      <c r="B52" s="1133"/>
      <c r="C52" s="494" t="s">
        <v>2654</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4"/>
      <c r="L52" s="1095"/>
      <c r="M52" s="1133"/>
      <c r="N52" s="1133"/>
      <c r="O52" s="1133"/>
      <c r="P52" s="672"/>
      <c r="Q52" s="756"/>
      <c r="R52" s="756"/>
      <c r="S52" s="756"/>
      <c r="T52" s="756"/>
      <c r="U52" s="756"/>
      <c r="V52" s="756"/>
      <c r="W52" s="756"/>
      <c r="X52" s="756"/>
      <c r="Y52" s="756"/>
      <c r="Z52" s="756"/>
      <c r="AA52" s="756"/>
      <c r="AB52" s="756"/>
      <c r="AC52" s="756"/>
    </row>
    <row r="53" spans="1:29" ht="13.5" customHeight="1">
      <c r="A53" s="1133"/>
      <c r="B53" s="1133"/>
      <c r="C53" s="494" t="s">
        <v>2655</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4"/>
      <c r="L53" s="1095"/>
      <c r="M53" s="1133"/>
      <c r="N53" s="1133"/>
      <c r="O53" s="1133"/>
      <c r="P53" s="672"/>
      <c r="Q53" s="756"/>
      <c r="R53" s="756"/>
      <c r="S53" s="756"/>
      <c r="T53" s="756"/>
      <c r="U53" s="756"/>
      <c r="V53" s="756"/>
      <c r="W53" s="756"/>
      <c r="X53" s="756"/>
      <c r="Y53" s="756"/>
      <c r="Z53" s="756"/>
      <c r="AA53" s="756"/>
      <c r="AB53" s="756"/>
      <c r="AC53" s="756"/>
    </row>
    <row r="54" spans="1:29" s="499" customFormat="1" ht="13.5" customHeight="1">
      <c r="A54" s="1134"/>
      <c r="B54" s="1134"/>
      <c r="C54" s="494" t="s">
        <v>2656</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7"/>
      <c r="L54" s="1138"/>
      <c r="M54" s="1134"/>
      <c r="N54" s="1134"/>
      <c r="O54" s="1134"/>
      <c r="P54" s="2644"/>
      <c r="Q54" s="757"/>
      <c r="R54" s="757"/>
      <c r="S54" s="757"/>
      <c r="T54" s="757"/>
      <c r="U54" s="757"/>
      <c r="V54" s="757"/>
      <c r="W54" s="757"/>
      <c r="X54" s="757"/>
      <c r="Y54" s="757"/>
      <c r="Z54" s="757"/>
      <c r="AA54" s="757"/>
      <c r="AB54" s="757"/>
      <c r="AC54" s="757"/>
    </row>
    <row r="55" spans="1:29" s="499" customFormat="1">
      <c r="A55" s="1134"/>
      <c r="B55" s="1135"/>
      <c r="C55" s="1139"/>
      <c r="D55" s="1134"/>
      <c r="E55" s="1134"/>
      <c r="F55" s="1134"/>
      <c r="G55" s="1134"/>
      <c r="H55" s="1134"/>
      <c r="I55" s="1134"/>
      <c r="J55" s="1134"/>
      <c r="K55" s="1137"/>
      <c r="L55" s="1138"/>
      <c r="M55" s="1134"/>
      <c r="N55" s="1134"/>
      <c r="O55" s="1134"/>
      <c r="P55" s="2644"/>
      <c r="Q55" s="757"/>
      <c r="R55" s="757"/>
      <c r="S55" s="757"/>
      <c r="T55" s="757"/>
      <c r="U55" s="757"/>
      <c r="V55" s="757"/>
      <c r="W55" s="757"/>
      <c r="X55" s="757"/>
      <c r="Y55" s="757"/>
      <c r="Z55" s="757"/>
      <c r="AA55" s="757"/>
      <c r="AB55" s="757"/>
      <c r="AC55" s="757"/>
    </row>
    <row r="56" spans="1:29">
      <c r="A56" s="1133"/>
      <c r="B56" s="1135"/>
      <c r="C56" s="1139"/>
      <c r="D56" s="1133"/>
      <c r="E56" s="1133"/>
      <c r="F56" s="1133"/>
      <c r="G56" s="1133"/>
      <c r="H56" s="1133"/>
      <c r="I56" s="1133"/>
      <c r="J56" s="1133"/>
      <c r="K56" s="1094"/>
      <c r="L56" s="1095"/>
      <c r="M56" s="1133"/>
      <c r="N56" s="1133"/>
      <c r="O56" s="1133"/>
      <c r="P56" s="672"/>
      <c r="Q56" s="756"/>
      <c r="R56" s="756"/>
      <c r="S56" s="756"/>
      <c r="T56" s="756"/>
      <c r="U56" s="756"/>
      <c r="V56" s="756"/>
      <c r="W56" s="756"/>
      <c r="X56" s="756"/>
      <c r="Y56" s="756"/>
      <c r="Z56" s="756"/>
      <c r="AA56" s="756"/>
      <c r="AB56" s="756"/>
      <c r="AC56" s="756"/>
    </row>
    <row r="57" spans="1:29" ht="21.75" thickBot="1">
      <c r="A57" s="760" t="s">
        <v>2657</v>
      </c>
      <c r="B57" s="756"/>
      <c r="C57" s="761"/>
      <c r="D57" s="761"/>
      <c r="E57" s="761"/>
      <c r="F57" s="762"/>
      <c r="G57" s="762"/>
      <c r="H57" s="761"/>
      <c r="I57" s="761"/>
      <c r="J57" s="761"/>
      <c r="K57" s="763"/>
      <c r="L57" s="1150"/>
      <c r="M57" s="1148"/>
      <c r="N57" s="1148"/>
      <c r="O57" s="1148"/>
      <c r="P57" s="2645"/>
      <c r="Q57" s="2646"/>
      <c r="R57" s="756"/>
      <c r="S57" s="756"/>
      <c r="T57" s="756"/>
      <c r="U57" s="756"/>
      <c r="V57" s="756"/>
      <c r="W57" s="756"/>
      <c r="X57" s="756"/>
      <c r="Y57" s="756"/>
      <c r="Z57" s="756"/>
      <c r="AA57" s="756"/>
      <c r="AB57" s="756"/>
      <c r="AC57" s="756"/>
    </row>
    <row r="58" spans="1:29" s="505" customFormat="1" ht="15">
      <c r="A58" s="502" t="s">
        <v>2531</v>
      </c>
      <c r="B58" s="503"/>
      <c r="C58" s="1562" t="str">
        <f>YEAR(C7)&amp;"-"&amp;MONTH(C7)</f>
        <v>2020-5</v>
      </c>
      <c r="D58" s="1563">
        <f>EDATE(C58,-1)</f>
        <v>43922</v>
      </c>
      <c r="E58" s="1563">
        <f t="shared" ref="E58:N58" si="16">EDATE(D58,-1)</f>
        <v>43891</v>
      </c>
      <c r="F58" s="1563">
        <f t="shared" si="16"/>
        <v>43862</v>
      </c>
      <c r="G58" s="1563">
        <f t="shared" si="16"/>
        <v>43831</v>
      </c>
      <c r="H58" s="1563">
        <f t="shared" si="16"/>
        <v>43800</v>
      </c>
      <c r="I58" s="1563">
        <f t="shared" si="16"/>
        <v>43770</v>
      </c>
      <c r="J58" s="1563">
        <f t="shared" si="16"/>
        <v>43739</v>
      </c>
      <c r="K58" s="1563">
        <f t="shared" si="16"/>
        <v>43709</v>
      </c>
      <c r="L58" s="1563">
        <f t="shared" si="16"/>
        <v>43678</v>
      </c>
      <c r="M58" s="1563">
        <f t="shared" si="16"/>
        <v>43647</v>
      </c>
      <c r="N58" s="1563">
        <f t="shared" si="16"/>
        <v>43617</v>
      </c>
      <c r="O58" s="1563">
        <f>EDATE(N58,-1)</f>
        <v>43586</v>
      </c>
      <c r="P58" s="1558"/>
    </row>
    <row r="59" spans="1:29" s="115" customFormat="1" ht="15">
      <c r="A59" s="506"/>
      <c r="B59" s="507"/>
      <c r="C59" s="1561">
        <v>100</v>
      </c>
      <c r="D59" s="509"/>
      <c r="E59" s="509"/>
      <c r="F59" s="509"/>
      <c r="G59" s="509"/>
      <c r="H59" s="509"/>
      <c r="I59" s="509"/>
      <c r="J59" s="509"/>
      <c r="K59" s="509"/>
      <c r="L59" s="509"/>
      <c r="M59" s="510"/>
      <c r="N59" s="509"/>
      <c r="O59" s="510"/>
      <c r="P59" s="2606"/>
    </row>
    <row r="60" spans="1:29" s="115" customFormat="1" ht="15.75" thickBot="1">
      <c r="A60" s="512" t="s">
        <v>2568</v>
      </c>
      <c r="B60" s="513"/>
      <c r="C60" s="514"/>
      <c r="D60" s="515"/>
      <c r="E60" s="515"/>
      <c r="F60" s="515"/>
      <c r="G60" s="515"/>
      <c r="H60" s="515"/>
      <c r="I60" s="515"/>
      <c r="J60" s="515"/>
      <c r="K60" s="515"/>
      <c r="L60" s="515"/>
      <c r="M60" s="516"/>
      <c r="N60" s="515"/>
      <c r="O60" s="516"/>
      <c r="P60" s="2606"/>
      <c r="Q60" s="501"/>
    </row>
    <row r="61" spans="1:29" s="115" customFormat="1" ht="15">
      <c r="A61" s="518" t="s">
        <v>2533</v>
      </c>
      <c r="B61" s="507"/>
      <c r="C61" s="519" t="s">
        <v>2635</v>
      </c>
      <c r="D61" s="520"/>
      <c r="E61" s="520"/>
      <c r="F61" s="520"/>
      <c r="G61" s="520"/>
      <c r="H61" s="520"/>
      <c r="I61" s="520"/>
      <c r="J61" s="520"/>
      <c r="K61" s="520"/>
      <c r="L61" s="521"/>
      <c r="M61" s="522"/>
      <c r="N61" s="1140"/>
      <c r="O61" s="1140"/>
      <c r="P61" s="2607"/>
      <c r="Q61" s="501"/>
    </row>
    <row r="62" spans="1:29" s="115" customFormat="1" ht="15.75" thickBot="1">
      <c r="A62" s="518"/>
      <c r="B62" s="507"/>
      <c r="C62" s="508">
        <v>100</v>
      </c>
      <c r="D62" s="509"/>
      <c r="E62" s="509"/>
      <c r="F62" s="509"/>
      <c r="G62" s="509"/>
      <c r="H62" s="509"/>
      <c r="I62" s="509"/>
      <c r="J62" s="509"/>
      <c r="K62" s="509"/>
      <c r="L62" s="509"/>
      <c r="M62" s="511"/>
      <c r="N62" s="1140"/>
      <c r="O62" s="1140"/>
      <c r="P62" s="2606"/>
      <c r="Q62" s="501"/>
    </row>
    <row r="63" spans="1:29">
      <c r="A63" s="524" t="s">
        <v>2571</v>
      </c>
      <c r="B63" s="525" t="s">
        <v>2537</v>
      </c>
      <c r="C63" s="526">
        <f>C9</f>
        <v>0</v>
      </c>
      <c r="D63" s="527"/>
      <c r="E63" s="527"/>
      <c r="F63" s="527"/>
      <c r="G63" s="527"/>
      <c r="H63" s="527"/>
      <c r="I63" s="527"/>
      <c r="J63" s="527"/>
      <c r="K63" s="528"/>
      <c r="L63" s="529"/>
      <c r="M63" s="530"/>
      <c r="N63" s="1141"/>
      <c r="O63" s="1141"/>
      <c r="P63" s="2608"/>
      <c r="Q63" s="501"/>
    </row>
    <row r="64" spans="1:29" ht="15.75" thickBot="1">
      <c r="A64" s="531"/>
      <c r="B64" s="532"/>
      <c r="C64" s="533">
        <v>100</v>
      </c>
      <c r="D64" s="533"/>
      <c r="E64" s="533"/>
      <c r="F64" s="533"/>
      <c r="G64" s="533"/>
      <c r="H64" s="533"/>
      <c r="I64" s="533"/>
      <c r="J64" s="533"/>
      <c r="K64" s="533"/>
      <c r="L64" s="533"/>
      <c r="M64" s="534"/>
      <c r="N64" s="1142"/>
      <c r="O64" s="1142"/>
      <c r="P64" s="2608"/>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1"/>
      <c r="O65" s="1141"/>
      <c r="P65" s="2608"/>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2"/>
      <c r="O66" s="1142"/>
      <c r="P66" s="2608"/>
      <c r="Q66" s="501"/>
    </row>
    <row r="67" spans="1:17" ht="15.75" thickTop="1">
      <c r="A67" s="531"/>
      <c r="B67" s="543" t="s">
        <v>2541</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2"/>
      <c r="O67" s="1142"/>
      <c r="P67" s="2608"/>
      <c r="Q67" s="501"/>
    </row>
    <row r="68" spans="1:17" ht="15">
      <c r="A68" s="531"/>
      <c r="B68" s="545"/>
      <c r="C68" s="546"/>
      <c r="D68" s="546"/>
      <c r="E68" s="546"/>
      <c r="F68" s="546"/>
      <c r="G68" s="546"/>
      <c r="H68" s="546"/>
      <c r="I68" s="546"/>
      <c r="J68" s="546"/>
      <c r="K68" s="547"/>
      <c r="L68" s="548"/>
      <c r="M68" s="549"/>
      <c r="N68" s="1141"/>
      <c r="O68" s="1141"/>
      <c r="P68" s="2608"/>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2"/>
      <c r="O69" s="1142"/>
      <c r="P69" s="2608"/>
      <c r="Q69" s="501"/>
    </row>
    <row r="70" spans="1:17" s="468" customFormat="1" ht="15.75" thickTop="1">
      <c r="A70" s="550"/>
      <c r="B70" s="535">
        <f>B12</f>
        <v>111</v>
      </c>
      <c r="C70" s="551"/>
      <c r="D70" s="551"/>
      <c r="E70" s="551"/>
      <c r="F70" s="551"/>
      <c r="G70" s="551"/>
      <c r="H70" s="552"/>
      <c r="I70" s="552"/>
      <c r="J70" s="552"/>
      <c r="K70" s="552"/>
      <c r="L70" s="553"/>
      <c r="M70" s="554"/>
      <c r="N70" s="1143"/>
      <c r="O70" s="1143"/>
      <c r="P70" s="2609"/>
      <c r="Q70" s="556"/>
    </row>
    <row r="71" spans="1:17" s="468" customFormat="1" ht="15.75" thickBot="1">
      <c r="A71" s="550"/>
      <c r="B71" s="540"/>
      <c r="C71" s="557"/>
      <c r="D71" s="533"/>
      <c r="E71" s="533"/>
      <c r="F71" s="533"/>
      <c r="G71" s="533"/>
      <c r="H71" s="533"/>
      <c r="I71" s="533"/>
      <c r="J71" s="533"/>
      <c r="K71" s="533"/>
      <c r="L71" s="533"/>
      <c r="M71" s="534"/>
      <c r="N71" s="1142"/>
      <c r="O71" s="1142"/>
      <c r="P71" s="2609"/>
      <c r="Q71" s="556"/>
    </row>
    <row r="72" spans="1:17" s="468" customFormat="1" ht="15.75" thickTop="1">
      <c r="A72" s="550"/>
      <c r="B72" s="535">
        <f>B13</f>
        <v>111</v>
      </c>
      <c r="C72" s="551"/>
      <c r="D72" s="551"/>
      <c r="E72" s="551"/>
      <c r="F72" s="551"/>
      <c r="G72" s="551"/>
      <c r="H72" s="552"/>
      <c r="I72" s="552"/>
      <c r="J72" s="552"/>
      <c r="K72" s="552"/>
      <c r="L72" s="553"/>
      <c r="M72" s="554"/>
      <c r="N72" s="1143"/>
      <c r="O72" s="1143"/>
      <c r="P72" s="2610"/>
      <c r="Q72" s="558"/>
    </row>
    <row r="73" spans="1:17" s="468" customFormat="1" ht="15.75" thickBot="1">
      <c r="A73" s="550"/>
      <c r="B73" s="540"/>
      <c r="C73" s="557"/>
      <c r="D73" s="533"/>
      <c r="E73" s="533"/>
      <c r="F73" s="533"/>
      <c r="G73" s="557"/>
      <c r="H73" s="559"/>
      <c r="I73" s="559"/>
      <c r="J73" s="559"/>
      <c r="K73" s="559"/>
      <c r="L73" s="559"/>
      <c r="M73" s="560"/>
      <c r="N73" s="1143"/>
      <c r="O73" s="1143"/>
      <c r="P73" s="2609"/>
      <c r="Q73" s="556"/>
    </row>
    <row r="74" spans="1:17" s="468" customFormat="1" ht="15.75" thickTop="1">
      <c r="A74" s="550"/>
      <c r="B74" s="543">
        <f>B14</f>
        <v>111</v>
      </c>
      <c r="C74" s="551"/>
      <c r="D74" s="551"/>
      <c r="E74" s="551"/>
      <c r="F74" s="551"/>
      <c r="G74" s="520"/>
      <c r="H74" s="561"/>
      <c r="I74" s="561"/>
      <c r="J74" s="561"/>
      <c r="K74" s="561"/>
      <c r="L74" s="562"/>
      <c r="M74" s="563"/>
      <c r="N74" s="1143"/>
      <c r="O74" s="1143"/>
      <c r="P74" s="2611"/>
      <c r="Q74" s="556"/>
    </row>
    <row r="75" spans="1:17" s="468" customFormat="1" ht="15.75" thickBot="1">
      <c r="A75" s="565"/>
      <c r="B75" s="566"/>
      <c r="C75" s="567"/>
      <c r="D75" s="567"/>
      <c r="E75" s="567"/>
      <c r="F75" s="567"/>
      <c r="G75" s="567"/>
      <c r="H75" s="568"/>
      <c r="I75" s="568"/>
      <c r="J75" s="568"/>
      <c r="K75" s="568"/>
      <c r="L75" s="568"/>
      <c r="M75" s="569"/>
      <c r="N75" s="1143"/>
      <c r="O75" s="1143"/>
      <c r="P75" s="2609"/>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1"/>
      <c r="O76" s="1141"/>
      <c r="P76" s="2612"/>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2"/>
      <c r="O77" s="1142"/>
      <c r="P77" s="2608"/>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1"/>
      <c r="O78" s="1141"/>
      <c r="P78" s="2608"/>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2"/>
      <c r="O79" s="1142"/>
      <c r="P79" s="2608"/>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1"/>
      <c r="O80" s="1141"/>
      <c r="P80" s="2608"/>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2"/>
      <c r="O81" s="1142"/>
      <c r="P81" s="2608"/>
      <c r="Q81" s="501"/>
    </row>
    <row r="82" spans="1:17" ht="15.75" thickTop="1">
      <c r="A82" s="531"/>
      <c r="B82" s="543" t="s">
        <v>2638</v>
      </c>
      <c r="C82" s="657" t="s">
        <v>2658</v>
      </c>
      <c r="D82" s="657" t="s">
        <v>2659</v>
      </c>
      <c r="E82" s="657" t="s">
        <v>2660</v>
      </c>
      <c r="F82" s="657" t="s">
        <v>2661</v>
      </c>
      <c r="G82" s="657" t="s">
        <v>2662</v>
      </c>
      <c r="H82" s="536"/>
      <c r="I82" s="536"/>
      <c r="J82" s="536"/>
      <c r="K82" s="536"/>
      <c r="L82" s="536"/>
      <c r="M82" s="1371"/>
      <c r="N82" s="1142"/>
      <c r="O82" s="1142"/>
      <c r="P82" s="2608"/>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2"/>
      <c r="O83" s="1142"/>
      <c r="P83" s="2608"/>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1"/>
      <c r="O84" s="1141"/>
      <c r="P84" s="2608"/>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2"/>
      <c r="O85" s="1142"/>
      <c r="P85" s="2608"/>
      <c r="Q85" s="501"/>
    </row>
    <row r="86" spans="1:17" s="115" customFormat="1" ht="15.75" thickTop="1">
      <c r="A86" s="576"/>
      <c r="B86" s="535" t="s">
        <v>2663</v>
      </c>
      <c r="C86" s="551"/>
      <c r="D86" s="551"/>
      <c r="E86" s="551"/>
      <c r="F86" s="551"/>
      <c r="G86" s="551"/>
      <c r="H86" s="551"/>
      <c r="I86" s="551"/>
      <c r="J86" s="551"/>
      <c r="K86" s="551"/>
      <c r="L86" s="577"/>
      <c r="M86" s="578"/>
      <c r="N86" s="1140"/>
      <c r="O86" s="1140"/>
      <c r="P86" s="2608"/>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2"/>
      <c r="O87" s="1142"/>
      <c r="P87" s="2608"/>
      <c r="Q87" s="501"/>
    </row>
    <row r="88" spans="1:17" s="115" customFormat="1" ht="15.75" thickTop="1">
      <c r="A88" s="576"/>
      <c r="B88" s="535" t="str">
        <f>B26</f>
        <v>平面位置/可视性</v>
      </c>
      <c r="C88" s="551"/>
      <c r="D88" s="551"/>
      <c r="E88" s="551"/>
      <c r="F88" s="2613"/>
      <c r="G88" s="551"/>
      <c r="H88" s="551"/>
      <c r="I88" s="551"/>
      <c r="J88" s="551"/>
      <c r="K88" s="551"/>
      <c r="L88" s="551"/>
      <c r="M88" s="578"/>
      <c r="N88" s="1140"/>
      <c r="O88" s="1140"/>
      <c r="P88" s="2608"/>
      <c r="Q88" s="501"/>
    </row>
    <row r="89" spans="1:17" s="115" customFormat="1" ht="15.75" thickBot="1">
      <c r="A89" s="576"/>
      <c r="B89" s="540"/>
      <c r="C89" s="557"/>
      <c r="D89" s="533"/>
      <c r="E89" s="533"/>
      <c r="F89" s="533"/>
      <c r="G89" s="533"/>
      <c r="H89" s="533"/>
      <c r="I89" s="533"/>
      <c r="J89" s="533"/>
      <c r="K89" s="533"/>
      <c r="L89" s="533"/>
      <c r="M89" s="533"/>
      <c r="N89" s="1142"/>
      <c r="O89" s="1142"/>
      <c r="P89" s="2608"/>
      <c r="Q89" s="501"/>
    </row>
    <row r="90" spans="1:17" s="468" customFormat="1" ht="15.75" thickTop="1">
      <c r="A90" s="550"/>
      <c r="B90" s="535" t="str">
        <f>B27</f>
        <v>人流量</v>
      </c>
      <c r="C90" s="551"/>
      <c r="D90" s="551"/>
      <c r="E90" s="551"/>
      <c r="F90" s="551"/>
      <c r="G90" s="551"/>
      <c r="H90" s="552"/>
      <c r="I90" s="552"/>
      <c r="J90" s="552"/>
      <c r="K90" s="552"/>
      <c r="L90" s="553"/>
      <c r="M90" s="554"/>
      <c r="N90" s="1143"/>
      <c r="O90" s="1143"/>
      <c r="P90" s="2609"/>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3"/>
      <c r="O91" s="1143"/>
      <c r="P91" s="2609"/>
      <c r="Q91" s="556"/>
    </row>
    <row r="92" spans="1:17" ht="15.75" thickTop="1">
      <c r="A92" s="531"/>
      <c r="B92" s="535" t="str">
        <f>B28</f>
        <v>楼层</v>
      </c>
      <c r="C92" s="551"/>
      <c r="D92" s="551"/>
      <c r="E92" s="551"/>
      <c r="F92" s="551"/>
      <c r="G92" s="551"/>
      <c r="H92" s="551"/>
      <c r="I92" s="551"/>
      <c r="J92" s="551"/>
      <c r="K92" s="551"/>
      <c r="L92" s="577"/>
      <c r="M92" s="578"/>
      <c r="N92" s="1141"/>
      <c r="O92" s="1141"/>
      <c r="P92" s="2608"/>
      <c r="Q92" s="501"/>
    </row>
    <row r="93" spans="1:17" ht="15.75" thickBot="1">
      <c r="A93" s="531"/>
      <c r="B93" s="540"/>
      <c r="C93" s="533"/>
      <c r="D93" s="533"/>
      <c r="E93" s="533"/>
      <c r="F93" s="533"/>
      <c r="G93" s="533"/>
      <c r="H93" s="533"/>
      <c r="I93" s="533"/>
      <c r="J93" s="533"/>
      <c r="K93" s="533"/>
      <c r="L93" s="533"/>
      <c r="M93" s="534"/>
      <c r="N93" s="1142"/>
      <c r="O93" s="1142"/>
      <c r="P93" s="2608"/>
      <c r="Q93" s="501"/>
    </row>
    <row r="94" spans="1:17" ht="15.75" thickTop="1">
      <c r="A94" s="531"/>
      <c r="B94" s="535">
        <f>B29</f>
        <v>111</v>
      </c>
      <c r="C94" s="551"/>
      <c r="D94" s="551"/>
      <c r="E94" s="551"/>
      <c r="F94" s="551"/>
      <c r="G94" s="580"/>
      <c r="H94" s="580"/>
      <c r="I94" s="580"/>
      <c r="J94" s="580"/>
      <c r="K94" s="581"/>
      <c r="L94" s="582"/>
      <c r="M94" s="583"/>
      <c r="N94" s="1141"/>
      <c r="O94" s="1141"/>
      <c r="P94" s="2608"/>
      <c r="Q94" s="501"/>
    </row>
    <row r="95" spans="1:17" ht="15.75" thickBot="1">
      <c r="A95" s="531"/>
      <c r="B95" s="540"/>
      <c r="C95" s="557"/>
      <c r="D95" s="533"/>
      <c r="E95" s="533"/>
      <c r="F95" s="533"/>
      <c r="G95" s="533"/>
      <c r="H95" s="533"/>
      <c r="I95" s="533"/>
      <c r="J95" s="533"/>
      <c r="K95" s="533"/>
      <c r="L95" s="533"/>
      <c r="M95" s="534"/>
      <c r="N95" s="1142"/>
      <c r="O95" s="1142"/>
      <c r="P95" s="2608"/>
      <c r="Q95" s="501"/>
    </row>
    <row r="96" spans="1:17" ht="15.75" thickTop="1">
      <c r="A96" s="531"/>
      <c r="B96" s="535">
        <f>B30</f>
        <v>111</v>
      </c>
      <c r="C96" s="551"/>
      <c r="D96" s="551"/>
      <c r="E96" s="551"/>
      <c r="F96" s="551"/>
      <c r="G96" s="580"/>
      <c r="H96" s="580"/>
      <c r="I96" s="580"/>
      <c r="J96" s="580"/>
      <c r="K96" s="581"/>
      <c r="L96" s="582"/>
      <c r="M96" s="583"/>
      <c r="N96" s="1141"/>
      <c r="O96" s="1141"/>
      <c r="P96" s="2608"/>
      <c r="Q96" s="501"/>
    </row>
    <row r="97" spans="1:17" ht="15.75" thickBot="1">
      <c r="A97" s="531"/>
      <c r="B97" s="540"/>
      <c r="C97" s="557"/>
      <c r="D97" s="533"/>
      <c r="E97" s="533"/>
      <c r="F97" s="533"/>
      <c r="G97" s="533"/>
      <c r="H97" s="533"/>
      <c r="I97" s="533"/>
      <c r="J97" s="533"/>
      <c r="K97" s="533"/>
      <c r="L97" s="533"/>
      <c r="M97" s="534"/>
      <c r="N97" s="1142"/>
      <c r="O97" s="1142"/>
      <c r="P97" s="2608"/>
      <c r="Q97" s="501"/>
    </row>
    <row r="98" spans="1:17" ht="15.75" thickTop="1">
      <c r="A98" s="531"/>
      <c r="B98" s="543">
        <f>B31</f>
        <v>111</v>
      </c>
      <c r="C98" s="551"/>
      <c r="D98" s="551"/>
      <c r="E98" s="551"/>
      <c r="F98" s="551"/>
      <c r="G98" s="584"/>
      <c r="H98" s="584"/>
      <c r="I98" s="584"/>
      <c r="J98" s="584"/>
      <c r="K98" s="585"/>
      <c r="L98" s="586"/>
      <c r="M98" s="587"/>
      <c r="N98" s="1141"/>
      <c r="O98" s="1141"/>
      <c r="P98" s="2608"/>
      <c r="Q98" s="501"/>
    </row>
    <row r="99" spans="1:17" ht="15.75" thickBot="1">
      <c r="A99" s="2614"/>
      <c r="B99" s="566"/>
      <c r="C99" s="567"/>
      <c r="D99" s="567"/>
      <c r="E99" s="567"/>
      <c r="F99" s="567"/>
      <c r="G99" s="588"/>
      <c r="H99" s="588"/>
      <c r="I99" s="588"/>
      <c r="J99" s="588"/>
      <c r="K99" s="588"/>
      <c r="L99" s="588"/>
      <c r="M99" s="589"/>
      <c r="N99" s="1142"/>
      <c r="O99" s="1142"/>
      <c r="P99" s="2608"/>
      <c r="Q99" s="501"/>
    </row>
    <row r="100" spans="1:17">
      <c r="A100" s="524" t="s">
        <v>2546</v>
      </c>
      <c r="B100" s="525" t="s">
        <v>2664</v>
      </c>
      <c r="C100" s="527"/>
      <c r="D100" s="527"/>
      <c r="E100" s="527"/>
      <c r="F100" s="527"/>
      <c r="G100" s="527"/>
      <c r="H100" s="527"/>
      <c r="I100" s="527"/>
      <c r="J100" s="527"/>
      <c r="K100" s="528"/>
      <c r="L100" s="529"/>
      <c r="M100" s="530"/>
      <c r="N100" s="1141"/>
      <c r="O100" s="1141"/>
      <c r="P100" s="2608"/>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2"/>
      <c r="O101" s="1142"/>
      <c r="P101" s="2608"/>
      <c r="Q101" s="501"/>
    </row>
    <row r="102" spans="1:17" ht="15.75" thickTop="1">
      <c r="A102" s="531"/>
      <c r="B102" s="535" t="s">
        <v>2596</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0"/>
      <c r="O102" s="1140"/>
      <c r="P102" s="2608"/>
      <c r="Q102" s="501"/>
    </row>
    <row r="103" spans="1:17" s="468" customFormat="1">
      <c r="A103" s="590"/>
      <c r="B103" s="591"/>
      <c r="C103" s="592"/>
      <c r="D103" s="592"/>
      <c r="E103" s="592"/>
      <c r="F103" s="592"/>
      <c r="G103" s="592"/>
      <c r="H103" s="592"/>
      <c r="I103" s="592"/>
      <c r="J103" s="593"/>
      <c r="K103" s="593"/>
      <c r="L103" s="594"/>
      <c r="M103" s="595"/>
      <c r="N103" s="1143"/>
      <c r="O103" s="1143"/>
      <c r="P103" s="2609"/>
      <c r="Q103" s="556"/>
    </row>
    <row r="104" spans="1:17" s="468" customFormat="1" ht="15.75" thickBot="1">
      <c r="A104" s="550"/>
      <c r="B104" s="540"/>
      <c r="C104" s="557"/>
      <c r="D104" s="533"/>
      <c r="E104" s="533"/>
      <c r="F104" s="533"/>
      <c r="G104" s="533"/>
      <c r="H104" s="533"/>
      <c r="I104" s="533"/>
      <c r="J104" s="533"/>
      <c r="K104" s="533"/>
      <c r="L104" s="533"/>
      <c r="M104" s="534"/>
      <c r="N104" s="1142"/>
      <c r="O104" s="1142"/>
      <c r="P104" s="2609"/>
      <c r="Q104" s="556"/>
    </row>
    <row r="105" spans="1:17" ht="15" thickTop="1">
      <c r="A105" s="596"/>
      <c r="B105" s="535" t="s">
        <v>2597</v>
      </c>
      <c r="C105" s="551"/>
      <c r="D105" s="551"/>
      <c r="E105" s="580"/>
      <c r="F105" s="580"/>
      <c r="G105" s="580"/>
      <c r="H105" s="580"/>
      <c r="I105" s="580"/>
      <c r="J105" s="580"/>
      <c r="K105" s="581"/>
      <c r="L105" s="582"/>
      <c r="M105" s="583"/>
      <c r="N105" s="1141"/>
      <c r="O105" s="1141"/>
      <c r="P105" s="2608"/>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2"/>
      <c r="O106" s="1142"/>
      <c r="P106" s="2608"/>
      <c r="Q106" s="501"/>
    </row>
    <row r="107" spans="1:17" ht="15" thickTop="1">
      <c r="A107" s="596"/>
      <c r="B107" s="535" t="s">
        <v>2599</v>
      </c>
      <c r="C107" s="551"/>
      <c r="D107" s="551"/>
      <c r="E107" s="551"/>
      <c r="F107" s="580"/>
      <c r="G107" s="580"/>
      <c r="H107" s="580"/>
      <c r="I107" s="580"/>
      <c r="J107" s="580"/>
      <c r="K107" s="581"/>
      <c r="L107" s="582"/>
      <c r="M107" s="583"/>
      <c r="N107" s="1141"/>
      <c r="O107" s="1141"/>
      <c r="P107" s="2608"/>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2"/>
      <c r="O108" s="1142"/>
      <c r="P108" s="2608"/>
      <c r="Q108" s="501"/>
    </row>
    <row r="109" spans="1:17" ht="15" thickTop="1">
      <c r="A109" s="596"/>
      <c r="B109" s="535" t="s">
        <v>1987</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1"/>
      <c r="O109" s="1141"/>
      <c r="P109" s="2608"/>
      <c r="Q109" s="501"/>
    </row>
    <row r="110" spans="1:17">
      <c r="A110" s="596"/>
      <c r="B110" s="543"/>
      <c r="C110" s="600">
        <v>0.5</v>
      </c>
      <c r="D110" s="600">
        <v>0.6</v>
      </c>
      <c r="E110" s="600">
        <v>0.7</v>
      </c>
      <c r="F110" s="600">
        <v>0.8</v>
      </c>
      <c r="G110" s="600">
        <v>0.9</v>
      </c>
      <c r="H110" s="600">
        <v>1.0001</v>
      </c>
      <c r="I110" s="620"/>
      <c r="J110" s="620"/>
      <c r="K110" s="621"/>
      <c r="L110" s="622"/>
      <c r="M110" s="623"/>
      <c r="N110" s="1141"/>
      <c r="O110" s="1141"/>
      <c r="P110" s="2608"/>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2"/>
      <c r="O111" s="1142"/>
      <c r="P111" s="2608"/>
      <c r="Q111" s="501"/>
    </row>
    <row r="112" spans="1:17" s="468" customFormat="1" ht="15" thickTop="1">
      <c r="A112" s="590"/>
      <c r="B112" s="535" t="s">
        <v>2601</v>
      </c>
      <c r="C112" s="551"/>
      <c r="D112" s="551"/>
      <c r="E112" s="551"/>
      <c r="F112" s="551"/>
      <c r="G112" s="551"/>
      <c r="H112" s="580"/>
      <c r="I112" s="580"/>
      <c r="J112" s="580"/>
      <c r="K112" s="581"/>
      <c r="L112" s="582"/>
      <c r="M112" s="583"/>
      <c r="N112" s="1143"/>
      <c r="O112" s="1143"/>
      <c r="P112" s="2609"/>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3"/>
      <c r="O113" s="1143"/>
      <c r="P113" s="2609"/>
      <c r="Q113" s="556"/>
    </row>
    <row r="114" spans="1:17" ht="15" thickTop="1">
      <c r="A114" s="596"/>
      <c r="B114" s="535" t="s">
        <v>2665</v>
      </c>
      <c r="C114" s="551"/>
      <c r="D114" s="551"/>
      <c r="E114" s="580"/>
      <c r="F114" s="580"/>
      <c r="G114" s="580"/>
      <c r="H114" s="580"/>
      <c r="I114" s="580"/>
      <c r="J114" s="580"/>
      <c r="K114" s="581"/>
      <c r="L114" s="582"/>
      <c r="M114" s="583"/>
      <c r="N114" s="1141"/>
      <c r="O114" s="1141"/>
      <c r="P114" s="2608"/>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2"/>
      <c r="O115" s="1142"/>
      <c r="P115" s="2608"/>
      <c r="Q115" s="501"/>
    </row>
    <row r="116" spans="1:17" ht="15" thickTop="1">
      <c r="A116" s="596"/>
      <c r="B116" s="535" t="s">
        <v>2666</v>
      </c>
      <c r="C116" s="551"/>
      <c r="D116" s="551"/>
      <c r="E116" s="551"/>
      <c r="F116" s="551"/>
      <c r="G116" s="551"/>
      <c r="H116" s="580"/>
      <c r="I116" s="580"/>
      <c r="J116" s="580"/>
      <c r="K116" s="581"/>
      <c r="L116" s="582"/>
      <c r="M116" s="583"/>
      <c r="N116" s="1141"/>
      <c r="O116" s="1141"/>
      <c r="P116" s="2608"/>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2"/>
      <c r="O117" s="1142"/>
      <c r="P117" s="2608"/>
      <c r="Q117" s="501"/>
    </row>
    <row r="118" spans="1:17" ht="15" thickTop="1">
      <c r="A118" s="596"/>
      <c r="B118" s="535" t="s">
        <v>2667</v>
      </c>
      <c r="C118" s="624"/>
      <c r="D118" s="624"/>
      <c r="E118" s="624"/>
      <c r="F118" s="624"/>
      <c r="G118" s="624"/>
      <c r="H118" s="552"/>
      <c r="I118" s="552"/>
      <c r="J118" s="552"/>
      <c r="K118" s="552"/>
      <c r="L118" s="553"/>
      <c r="M118" s="554"/>
      <c r="N118" s="1141"/>
      <c r="O118" s="1141"/>
      <c r="P118" s="2608"/>
      <c r="Q118" s="501"/>
    </row>
    <row r="119" spans="1:17" ht="15.75" thickBot="1">
      <c r="A119" s="531"/>
      <c r="B119" s="540"/>
      <c r="C119" s="557"/>
      <c r="D119" s="533"/>
      <c r="E119" s="533"/>
      <c r="F119" s="533"/>
      <c r="G119" s="533"/>
      <c r="H119" s="533"/>
      <c r="I119" s="533"/>
      <c r="J119" s="533"/>
      <c r="K119" s="533"/>
      <c r="L119" s="533"/>
      <c r="M119" s="534"/>
      <c r="N119" s="1142"/>
      <c r="O119" s="1142"/>
      <c r="P119" s="2608"/>
      <c r="Q119" s="501"/>
    </row>
    <row r="120" spans="1:17" s="468" customFormat="1" ht="15" thickTop="1">
      <c r="A120" s="590"/>
      <c r="B120" s="535" t="s">
        <v>2668</v>
      </c>
      <c r="C120" s="580"/>
      <c r="D120" s="580"/>
      <c r="E120" s="580"/>
      <c r="F120" s="580"/>
      <c r="G120" s="552"/>
      <c r="H120" s="552"/>
      <c r="I120" s="552"/>
      <c r="J120" s="552"/>
      <c r="K120" s="552"/>
      <c r="L120" s="553"/>
      <c r="M120" s="554"/>
      <c r="N120" s="1143"/>
      <c r="O120" s="1143"/>
      <c r="P120" s="2609"/>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3"/>
      <c r="O121" s="1143"/>
      <c r="P121" s="2609"/>
      <c r="Q121" s="556"/>
    </row>
    <row r="122" spans="1:17" ht="15" thickTop="1">
      <c r="A122" s="596"/>
      <c r="B122" s="535" t="s">
        <v>2603</v>
      </c>
      <c r="C122" s="551"/>
      <c r="D122" s="551"/>
      <c r="E122" s="551"/>
      <c r="F122" s="580"/>
      <c r="G122" s="580"/>
      <c r="H122" s="580"/>
      <c r="I122" s="580"/>
      <c r="J122" s="580"/>
      <c r="K122" s="581"/>
      <c r="L122" s="582"/>
      <c r="M122" s="583"/>
      <c r="N122" s="1141"/>
      <c r="O122" s="1141"/>
      <c r="P122" s="2608"/>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2"/>
      <c r="O123" s="1142"/>
      <c r="P123" s="2608"/>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1"/>
      <c r="O124" s="1141"/>
      <c r="P124" s="2609"/>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2"/>
      <c r="O125" s="1142"/>
      <c r="P125" s="2608"/>
      <c r="Q125" s="501"/>
    </row>
    <row r="126" spans="1:17" s="468" customFormat="1" ht="15" thickTop="1">
      <c r="A126" s="590"/>
      <c r="B126" s="535">
        <f>B44</f>
        <v>111</v>
      </c>
      <c r="C126" s="551"/>
      <c r="D126" s="551"/>
      <c r="E126" s="551"/>
      <c r="F126" s="551"/>
      <c r="G126" s="551"/>
      <c r="H126" s="552"/>
      <c r="I126" s="552"/>
      <c r="J126" s="552"/>
      <c r="K126" s="552"/>
      <c r="L126" s="553"/>
      <c r="M126" s="554"/>
      <c r="N126" s="1143"/>
      <c r="O126" s="1143"/>
      <c r="P126" s="2609"/>
      <c r="Q126" s="556"/>
    </row>
    <row r="127" spans="1:17" s="468" customFormat="1" ht="15.75" thickBot="1">
      <c r="A127" s="550"/>
      <c r="B127" s="540"/>
      <c r="C127" s="557"/>
      <c r="D127" s="533"/>
      <c r="E127" s="533"/>
      <c r="F127" s="533"/>
      <c r="G127" s="557"/>
      <c r="H127" s="559"/>
      <c r="I127" s="559"/>
      <c r="J127" s="559"/>
      <c r="K127" s="559"/>
      <c r="L127" s="559"/>
      <c r="M127" s="560"/>
      <c r="N127" s="1143"/>
      <c r="O127" s="1143"/>
      <c r="P127" s="2609"/>
      <c r="Q127" s="556"/>
    </row>
    <row r="128" spans="1:17" ht="15" thickTop="1">
      <c r="A128" s="596"/>
      <c r="B128" s="535">
        <f>B45</f>
        <v>111</v>
      </c>
      <c r="C128" s="551"/>
      <c r="D128" s="551"/>
      <c r="E128" s="551"/>
      <c r="F128" s="551"/>
      <c r="G128" s="580"/>
      <c r="H128" s="580"/>
      <c r="I128" s="580"/>
      <c r="J128" s="580"/>
      <c r="K128" s="581"/>
      <c r="L128" s="582"/>
      <c r="M128" s="583"/>
      <c r="N128" s="1141"/>
      <c r="O128" s="1141"/>
      <c r="P128" s="2608"/>
      <c r="Q128" s="501"/>
    </row>
    <row r="129" spans="1:17" ht="15.75" thickBot="1">
      <c r="A129" s="531"/>
      <c r="B129" s="540"/>
      <c r="C129" s="557"/>
      <c r="D129" s="533"/>
      <c r="E129" s="533"/>
      <c r="F129" s="533"/>
      <c r="G129" s="533"/>
      <c r="H129" s="533"/>
      <c r="I129" s="533"/>
      <c r="J129" s="533"/>
      <c r="K129" s="533"/>
      <c r="L129" s="533"/>
      <c r="M129" s="534"/>
      <c r="N129" s="1142"/>
      <c r="O129" s="1142"/>
      <c r="P129" s="2608"/>
      <c r="Q129" s="501"/>
    </row>
    <row r="130" spans="1:17" ht="15" thickTop="1">
      <c r="A130" s="596"/>
      <c r="B130" s="543">
        <f>B46</f>
        <v>111</v>
      </c>
      <c r="C130" s="551"/>
      <c r="D130" s="551"/>
      <c r="E130" s="551"/>
      <c r="F130" s="551"/>
      <c r="G130" s="584"/>
      <c r="H130" s="584"/>
      <c r="I130" s="584"/>
      <c r="J130" s="584"/>
      <c r="K130" s="520"/>
      <c r="L130" s="521"/>
      <c r="M130" s="587"/>
      <c r="N130" s="1141"/>
      <c r="O130" s="1141"/>
      <c r="P130" s="2608"/>
      <c r="Q130" s="501"/>
    </row>
    <row r="131" spans="1:17" ht="15.75" thickBot="1">
      <c r="A131" s="2614"/>
      <c r="B131" s="566"/>
      <c r="C131" s="567"/>
      <c r="D131" s="567"/>
      <c r="E131" s="567"/>
      <c r="F131" s="567"/>
      <c r="G131" s="588"/>
      <c r="H131" s="588"/>
      <c r="I131" s="588"/>
      <c r="J131" s="588"/>
      <c r="K131" s="588"/>
      <c r="L131" s="588"/>
      <c r="M131" s="589"/>
      <c r="N131" s="1142"/>
      <c r="O131" s="1142"/>
      <c r="P131" s="2608"/>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1" customWidth="1"/>
    <col min="2" max="16384" width="9" style="1931"/>
  </cols>
  <sheetData>
    <row r="1" spans="1:1" ht="23.25">
      <c r="A1" s="1930" t="s">
        <v>1606</v>
      </c>
    </row>
    <row r="2" spans="1:1">
      <c r="A2" s="1932"/>
    </row>
    <row r="3" spans="1:1" ht="18">
      <c r="A3" s="1933" t="str">
        <f>项目基本情况!B5&amp;"："</f>
        <v>贵阳恒大童梦天地旅游发展有限公司：</v>
      </c>
    </row>
    <row r="4" spans="1:1" ht="36">
      <c r="A4" s="1934" t="str">
        <f>"受贵公司委托，我公司对"&amp;项目基本情况!S1&amp;"进行了预评估。"</f>
        <v>受贵公司委托，我公司对贵州省贵阳市花溪区贵筑社区尖山村、马洞村出让国有建设用地使用权抵押价值进行了预评估。</v>
      </c>
    </row>
    <row r="5" spans="1:1" ht="18.75">
      <c r="A5" s="1935" t="s">
        <v>1607</v>
      </c>
    </row>
    <row r="6" spans="1:1" ht="18.75">
      <c r="A6" s="1936" t="s">
        <v>1608</v>
      </c>
    </row>
    <row r="7" spans="1:1" ht="72">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花溪区贵筑社区尖山村、马洞村出让国有建设用地使用权，为贵阳恒大童梦天地旅游发展有限公司所有。根据《不动产权证书》，估价对象（分摊）出让国有建设用地使用权面积为19053.5平方米。根据《合同》，估价对象建筑面积为66687.25平方米。</v>
      </c>
    </row>
    <row r="8" spans="1:1" ht="57.75">
      <c r="A8" s="1937" t="s">
        <v>1609</v>
      </c>
    </row>
    <row r="9" spans="1:1" ht="18.75">
      <c r="A9" s="1936" t="s">
        <v>1610</v>
      </c>
    </row>
    <row r="10" spans="1:1" ht="90">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花溪区贵筑社区尖山村、马洞村出让国有建设用地使用权,属贵阳恒大童梦天地旅游发展有限公司开发建设的商业项目，该项目尚在开发建设中。根据《不动产权证书》，估价对象（分摊）出让国有建设用地使用权面积为19053.5平方米。根据《合同》，估价对象规划建筑面积为66687.25平方米。</v>
      </c>
    </row>
    <row r="11" spans="1:1" ht="76.5">
      <c r="A11" s="1937" t="s">
        <v>1611</v>
      </c>
    </row>
    <row r="12" spans="1:1" ht="18.75">
      <c r="A12" s="1935" t="s">
        <v>1612</v>
      </c>
    </row>
    <row r="13" spans="1:1" ht="38.25" customHeight="1">
      <c r="A13" s="1938"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39" t="s">
        <v>1613</v>
      </c>
    </row>
    <row r="15" spans="1:1" ht="18">
      <c r="A15" s="1940" t="str">
        <f>TEXT(项目基本情况!D3,"yyyy年m月d日;;")&amp;IF(项目基本情况!D3=项目基本情况!B3,"（评估专业人员实地查勘之日）","")</f>
        <v>2020年5月19日（评估专业人员实地查勘之日）</v>
      </c>
    </row>
    <row r="16" spans="1:1" ht="18.75">
      <c r="A16" s="1939" t="s">
        <v>1614</v>
      </c>
    </row>
    <row r="17" spans="1:1" ht="75">
      <c r="A17" s="1934" t="s">
        <v>1615</v>
      </c>
    </row>
    <row r="18" spans="1:1" ht="54">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19日，估价对象规划用途为住宅、商业，土地取得方式为出让，出让国有建设用地使用权剩余土地使用年限为，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4" t="str">
        <f>IF(项目基本情况!B9="房地产市场价值","——",IF(项目基本情况!E9="——","",定义!C57))</f>
        <v/>
      </c>
    </row>
    <row r="23" spans="1:1" ht="18.75">
      <c r="A23" s="1939" t="s">
        <v>1604</v>
      </c>
    </row>
    <row r="24" spans="1:1" ht="18">
      <c r="A24" s="1941" t="str">
        <f>"本次评估采用的主估价方法为"&amp;结果表!K4&amp;"和"&amp;结果表!L4&amp;"。"</f>
        <v>本次评估采用的主估价方法为比较法和假设开发法。</v>
      </c>
    </row>
    <row r="25" spans="1:1" ht="18">
      <c r="A25" s="1941"/>
    </row>
    <row r="26" spans="1:1" ht="18.75">
      <c r="A26" s="1942" t="s">
        <v>1605</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7" customFormat="1" ht="28.5" customHeight="1" thickBot="1">
      <c r="A1" s="1606" t="s">
        <v>2511</v>
      </c>
      <c r="B1" s="2647" t="s">
        <v>2669</v>
      </c>
      <c r="C1" s="1608" t="s">
        <v>2513</v>
      </c>
      <c r="D1" s="1609"/>
      <c r="E1" s="1618"/>
      <c r="F1" s="2565"/>
      <c r="G1" s="1619" t="s">
        <v>2626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6" customFormat="1" ht="28.5" customHeight="1" thickTop="1">
      <c r="A2" s="1605" t="s">
        <v>2313</v>
      </c>
      <c r="B2" s="1407" t="e">
        <f ca="1">IF(C2="——",ROUND(C50*D3/10000,0),ROUND(C50*D3/10000,0)-D2)</f>
        <v>#DIV/0!</v>
      </c>
      <c r="C2" s="2567"/>
      <c r="D2" s="1354" t="e">
        <f ca="1">SUMIF(INDIRECT("'"&amp;F2&amp;"'"&amp;"!A:A"),"承租人权益价值",INDIRECT("'"&amp;F2&amp;"'"&amp;"!c:c"))</f>
        <v>#REF!</v>
      </c>
      <c r="E2" s="2568" t="s">
        <v>2314</v>
      </c>
      <c r="F2" s="2569"/>
      <c r="G2" s="1114"/>
      <c r="H2" s="1114"/>
      <c r="I2" s="1114"/>
      <c r="J2" s="1114"/>
      <c r="K2" s="1114"/>
      <c r="L2" s="1117"/>
      <c r="M2" s="1118"/>
      <c r="N2" s="1118"/>
      <c r="O2" s="1118"/>
      <c r="P2" s="765"/>
      <c r="Q2" s="765"/>
      <c r="R2" s="765"/>
      <c r="S2" s="765"/>
      <c r="T2" s="765"/>
      <c r="U2" s="765"/>
      <c r="V2" s="765"/>
      <c r="W2" s="765"/>
      <c r="X2" s="765"/>
      <c r="Y2" s="765"/>
      <c r="Z2" s="765"/>
      <c r="AA2" s="765"/>
      <c r="AB2" s="765"/>
      <c r="AC2" s="766"/>
    </row>
    <row r="3" spans="1:29" s="396" customFormat="1" ht="28.5" customHeight="1" thickBot="1">
      <c r="A3" s="245" t="s">
        <v>2315</v>
      </c>
      <c r="B3" s="606" t="e">
        <f ca="1">IF(C2="——",C50,ROUND(B2*10000/D3,0))</f>
        <v>#DIV/0!</v>
      </c>
      <c r="C3" s="398" t="s">
        <v>2627</v>
      </c>
      <c r="D3" s="397">
        <f>IF(D1="",'数据-汇总表'!E3,SUMIF('数据-汇总表'!$C19:$C33,D1,'数据-汇总表'!$E19:$E33))</f>
        <v>66687.25</v>
      </c>
      <c r="E3" s="2641"/>
      <c r="F3" s="1115"/>
      <c r="G3" s="1114"/>
      <c r="H3" s="1114"/>
      <c r="I3" s="1114"/>
      <c r="J3" s="1114"/>
      <c r="K3" s="1116"/>
      <c r="L3" s="1117"/>
      <c r="M3" s="1118"/>
      <c r="N3" s="1118"/>
      <c r="O3" s="1118"/>
      <c r="P3" s="765"/>
      <c r="Q3" s="765"/>
      <c r="R3" s="765"/>
      <c r="S3" s="765"/>
      <c r="T3" s="765"/>
      <c r="U3" s="765"/>
      <c r="V3" s="765"/>
      <c r="W3" s="765"/>
      <c r="X3" s="765"/>
      <c r="Y3" s="765"/>
      <c r="Z3" s="765"/>
      <c r="AA3" s="765"/>
      <c r="AB3" s="765"/>
      <c r="AC3" s="766"/>
    </row>
    <row r="4" spans="1:29" ht="15">
      <c r="A4" s="399" t="s">
        <v>2628</v>
      </c>
      <c r="B4" s="400"/>
      <c r="C4" s="3244" t="s">
        <v>2629</v>
      </c>
      <c r="D4" s="3257"/>
      <c r="E4" s="3258" t="s">
        <v>2630</v>
      </c>
      <c r="F4" s="3259"/>
      <c r="G4" s="3244" t="s">
        <v>2631</v>
      </c>
      <c r="H4" s="3257"/>
      <c r="I4" s="3244" t="s">
        <v>2632</v>
      </c>
      <c r="J4" s="3257"/>
      <c r="K4" s="607" t="s">
        <v>2633</v>
      </c>
      <c r="L4" s="1119"/>
      <c r="M4" s="1120"/>
      <c r="N4" s="1120"/>
      <c r="O4" s="1120"/>
      <c r="P4" s="3329" t="s">
        <v>2634</v>
      </c>
      <c r="Q4" s="3330"/>
      <c r="R4" s="3333" t="s">
        <v>2630</v>
      </c>
      <c r="S4" s="3334"/>
      <c r="T4" s="3333" t="s">
        <v>2631</v>
      </c>
      <c r="U4" s="3334"/>
      <c r="V4" s="3335" t="s">
        <v>2632</v>
      </c>
      <c r="W4" s="3335"/>
      <c r="X4" s="2648"/>
      <c r="Y4" s="3333" t="s">
        <v>2634</v>
      </c>
      <c r="Z4" s="3334"/>
      <c r="AA4" s="3337" t="s">
        <v>2630</v>
      </c>
      <c r="AB4" s="3337" t="s">
        <v>2631</v>
      </c>
      <c r="AC4" s="3326" t="s">
        <v>2632</v>
      </c>
    </row>
    <row r="5" spans="1:29" ht="15">
      <c r="A5" s="402"/>
      <c r="B5" s="403"/>
      <c r="C5" s="3274" t="s">
        <v>2525</v>
      </c>
      <c r="D5" s="3275"/>
      <c r="E5" s="3281" t="s">
        <v>2526</v>
      </c>
      <c r="F5" s="3282"/>
      <c r="G5" s="3274" t="s">
        <v>2527</v>
      </c>
      <c r="H5" s="3275"/>
      <c r="I5" s="3274" t="s">
        <v>2528</v>
      </c>
      <c r="J5" s="3275"/>
      <c r="K5" s="607"/>
      <c r="L5" s="1119"/>
      <c r="M5" s="1120"/>
      <c r="N5" s="1120"/>
      <c r="O5" s="1120"/>
      <c r="P5" s="3331"/>
      <c r="Q5" s="3263"/>
      <c r="R5" s="3268"/>
      <c r="S5" s="3269"/>
      <c r="T5" s="3268"/>
      <c r="U5" s="3269"/>
      <c r="V5" s="3253"/>
      <c r="W5" s="3253"/>
      <c r="X5" s="1800"/>
      <c r="Y5" s="3268"/>
      <c r="Z5" s="3269"/>
      <c r="AA5" s="3255"/>
      <c r="AB5" s="3255"/>
      <c r="AC5" s="3327"/>
    </row>
    <row r="6" spans="1:29" ht="15.75" thickBot="1">
      <c r="A6" s="404"/>
      <c r="B6" s="405"/>
      <c r="C6" s="3272" t="s">
        <v>2529</v>
      </c>
      <c r="D6" s="3273"/>
      <c r="E6" s="3279" t="s">
        <v>2529</v>
      </c>
      <c r="F6" s="3280"/>
      <c r="G6" s="3272" t="s">
        <v>2529</v>
      </c>
      <c r="H6" s="3273"/>
      <c r="I6" s="3272" t="s">
        <v>2529</v>
      </c>
      <c r="J6" s="3273"/>
      <c r="K6" s="607" t="s">
        <v>2530</v>
      </c>
      <c r="L6" s="1119"/>
      <c r="M6" s="1120"/>
      <c r="N6" s="1120"/>
      <c r="O6" s="1120"/>
      <c r="P6" s="3332"/>
      <c r="Q6" s="3265"/>
      <c r="R6" s="3268"/>
      <c r="S6" s="3269"/>
      <c r="T6" s="3270"/>
      <c r="U6" s="3271"/>
      <c r="V6" s="3253"/>
      <c r="W6" s="3253"/>
      <c r="X6" s="1800"/>
      <c r="Y6" s="3270"/>
      <c r="Z6" s="3271"/>
      <c r="AA6" s="3256"/>
      <c r="AB6" s="3256"/>
      <c r="AC6" s="3328"/>
    </row>
    <row r="7" spans="1:29" s="115" customFormat="1" ht="15.75" thickBot="1">
      <c r="A7" s="406" t="s">
        <v>2531</v>
      </c>
      <c r="B7" s="407"/>
      <c r="C7" s="408">
        <f>'数据-取费表'!B2</f>
        <v>43970</v>
      </c>
      <c r="D7" s="409">
        <v>100</v>
      </c>
      <c r="E7" s="410"/>
      <c r="F7" s="411">
        <f>SUMIF(59:59,YEAR(E7)&amp;"-"&amp;MONTH(E7),60:60)</f>
        <v>0</v>
      </c>
      <c r="G7" s="410"/>
      <c r="H7" s="409">
        <f>SUMIF(59:59,YEAR(G7)&amp;"-"&amp;MONTH(G7),60:60)</f>
        <v>0</v>
      </c>
      <c r="I7" s="410"/>
      <c r="J7" s="409">
        <f>SUMIF(59:59,YEAR(I7)&amp;"-"&amp;MONTH(I7),60:60)</f>
        <v>0</v>
      </c>
      <c r="K7" s="608"/>
      <c r="L7" s="1121"/>
      <c r="M7" s="1122"/>
      <c r="N7" s="1122"/>
      <c r="O7" s="1122"/>
      <c r="P7" s="3336" t="s">
        <v>2532</v>
      </c>
      <c r="Q7" s="3278"/>
      <c r="R7" s="767" t="s">
        <v>17</v>
      </c>
      <c r="S7" s="768">
        <f t="shared" ref="S7:S15" si="0">F7</f>
        <v>0</v>
      </c>
      <c r="T7" s="767" t="s">
        <v>17</v>
      </c>
      <c r="U7" s="768">
        <f t="shared" ref="U7:U15" si="1">H7</f>
        <v>0</v>
      </c>
      <c r="V7" s="767" t="s">
        <v>17</v>
      </c>
      <c r="W7" s="768">
        <f t="shared" ref="W7:W15" si="2">J7</f>
        <v>0</v>
      </c>
      <c r="X7" s="769"/>
      <c r="Y7" s="3276" t="s">
        <v>2532</v>
      </c>
      <c r="Z7" s="3277"/>
      <c r="AA7" s="770" t="e">
        <f>D7/F7</f>
        <v>#DIV/0!</v>
      </c>
      <c r="AB7" s="770" t="e">
        <f>D7/H7</f>
        <v>#DIV/0!</v>
      </c>
      <c r="AC7" s="2649" t="e">
        <f>D7/J7</f>
        <v>#DIV/0!</v>
      </c>
    </row>
    <row r="8" spans="1:29" s="115" customFormat="1" ht="15.75" thickBot="1">
      <c r="A8" s="406" t="s">
        <v>2533</v>
      </c>
      <c r="B8" s="407"/>
      <c r="C8" s="412" t="s">
        <v>2635</v>
      </c>
      <c r="D8" s="409">
        <v>100</v>
      </c>
      <c r="E8" s="412"/>
      <c r="F8" s="411">
        <f>SUMIF(62:62,E8,63:63)-SUMIF(62:62,C8,63:63)+100</f>
        <v>0</v>
      </c>
      <c r="G8" s="412"/>
      <c r="H8" s="409">
        <f>SUMIF(62:62,G8,63:63)-SUMIF(62:62,C8,63:63)+100</f>
        <v>0</v>
      </c>
      <c r="I8" s="412"/>
      <c r="J8" s="409">
        <f>SUMIF(62:62,I8,63:63)-SUMIF(62:62,C8,63:63)+100</f>
        <v>0</v>
      </c>
      <c r="K8" s="608"/>
      <c r="L8" s="1121"/>
      <c r="M8" s="1122"/>
      <c r="N8" s="1122"/>
      <c r="O8" s="1122"/>
      <c r="P8" s="3336" t="s">
        <v>2535</v>
      </c>
      <c r="Q8" s="3277"/>
      <c r="R8" s="767" t="s">
        <v>17</v>
      </c>
      <c r="S8" s="768">
        <f t="shared" si="0"/>
        <v>0</v>
      </c>
      <c r="T8" s="767" t="s">
        <v>17</v>
      </c>
      <c r="U8" s="768">
        <f t="shared" si="1"/>
        <v>0</v>
      </c>
      <c r="V8" s="767" t="s">
        <v>17</v>
      </c>
      <c r="W8" s="768">
        <f t="shared" si="2"/>
        <v>0</v>
      </c>
      <c r="X8" s="769"/>
      <c r="Y8" s="3276" t="s">
        <v>2535</v>
      </c>
      <c r="Z8" s="3277"/>
      <c r="AA8" s="770" t="e">
        <f t="shared" ref="AA8:AA47" si="3">D8/F8</f>
        <v>#DIV/0!</v>
      </c>
      <c r="AB8" s="770" t="e">
        <f t="shared" ref="AB8:AB47" si="4">D8/H8</f>
        <v>#DIV/0!</v>
      </c>
      <c r="AC8" s="2649" t="e">
        <f t="shared" ref="AC8:AC47" si="5">D8/J8</f>
        <v>#DIV/0!</v>
      </c>
    </row>
    <row r="9" spans="1:29" s="115" customFormat="1">
      <c r="A9" s="413" t="s">
        <v>2536</v>
      </c>
      <c r="B9" s="70" t="s">
        <v>2537</v>
      </c>
      <c r="C9" s="414"/>
      <c r="D9" s="133">
        <v>100</v>
      </c>
      <c r="E9" s="417"/>
      <c r="F9" s="133">
        <f>SUMIF(64:64,E9,65:65)-SUMIF(64:64,C9,65:65)+100</f>
        <v>100</v>
      </c>
      <c r="G9" s="415"/>
      <c r="H9" s="133">
        <f>SUMIF(64:64,G9,65:65)-SUMIF(64:64,C9,65:65)+100</f>
        <v>100</v>
      </c>
      <c r="I9" s="415"/>
      <c r="J9" s="133">
        <f>SUMIF(64:64,I9,65:65)-SUMIF(64:64,C9,65:65)+100</f>
        <v>100</v>
      </c>
      <c r="K9" s="608"/>
      <c r="L9" s="1121"/>
      <c r="M9" s="1122"/>
      <c r="N9" s="1122"/>
      <c r="O9" s="1122"/>
      <c r="P9" s="3246" t="s">
        <v>2538</v>
      </c>
      <c r="Q9" s="1782" t="str">
        <f t="shared" ref="Q9:Q15" si="6">B9</f>
        <v>用途</v>
      </c>
      <c r="R9" s="767" t="s">
        <v>17</v>
      </c>
      <c r="S9" s="768">
        <f t="shared" si="0"/>
        <v>100</v>
      </c>
      <c r="T9" s="767" t="s">
        <v>17</v>
      </c>
      <c r="U9" s="768">
        <f t="shared" si="1"/>
        <v>100</v>
      </c>
      <c r="V9" s="767" t="s">
        <v>17</v>
      </c>
      <c r="W9" s="768">
        <f t="shared" si="2"/>
        <v>100</v>
      </c>
      <c r="X9" s="769"/>
      <c r="Y9" s="3098" t="s">
        <v>2539</v>
      </c>
      <c r="Z9" s="54" t="str">
        <f t="shared" ref="Z9:Z15" si="7">Q9</f>
        <v>用途</v>
      </c>
      <c r="AA9" s="770">
        <f t="shared" si="3"/>
        <v>1</v>
      </c>
      <c r="AB9" s="770">
        <f t="shared" si="4"/>
        <v>1</v>
      </c>
      <c r="AC9" s="2649">
        <f t="shared" si="5"/>
        <v>1</v>
      </c>
    </row>
    <row r="10" spans="1:29" s="424" customFormat="1" ht="27">
      <c r="A10" s="418"/>
      <c r="B10" s="419" t="s">
        <v>2540</v>
      </c>
      <c r="C10" s="420"/>
      <c r="D10" s="134">
        <v>100</v>
      </c>
      <c r="E10" s="420"/>
      <c r="F10" s="134">
        <f>SUMIF(66:66,E10,67:67)-SUMIF(66:66,C10,67:67)+100</f>
        <v>100</v>
      </c>
      <c r="G10" s="421"/>
      <c r="H10" s="134">
        <f>SUMIF(66:66,G10,67:67)-SUMIF(66:66,C10,67:67)+100</f>
        <v>100</v>
      </c>
      <c r="I10" s="420"/>
      <c r="J10" s="134">
        <f>SUMIF(66:66,I10,67:67)-SUMIF(66:66,C10,67:67)+100</f>
        <v>100</v>
      </c>
      <c r="K10" s="609"/>
      <c r="L10" s="1124"/>
      <c r="M10" s="1125"/>
      <c r="N10" s="1125"/>
      <c r="O10" s="1125"/>
      <c r="P10" s="3246"/>
      <c r="Q10" s="1782" t="str">
        <f t="shared" si="6"/>
        <v>土地使用年限（年）</v>
      </c>
      <c r="R10" s="767" t="s">
        <v>17</v>
      </c>
      <c r="S10" s="768">
        <f t="shared" si="0"/>
        <v>100</v>
      </c>
      <c r="T10" s="767" t="s">
        <v>17</v>
      </c>
      <c r="U10" s="768">
        <f t="shared" si="1"/>
        <v>100</v>
      </c>
      <c r="V10" s="767" t="s">
        <v>17</v>
      </c>
      <c r="W10" s="768">
        <f t="shared" si="2"/>
        <v>100</v>
      </c>
      <c r="X10" s="769"/>
      <c r="Y10" s="3098"/>
      <c r="Z10" s="54" t="str">
        <f t="shared" si="7"/>
        <v>土地使用年限（年）</v>
      </c>
      <c r="AA10" s="770">
        <f t="shared" si="3"/>
        <v>1</v>
      </c>
      <c r="AB10" s="770">
        <f t="shared" si="4"/>
        <v>1</v>
      </c>
      <c r="AC10" s="2649">
        <f t="shared" si="5"/>
        <v>1</v>
      </c>
    </row>
    <row r="11" spans="1:29" ht="15">
      <c r="A11" s="425"/>
      <c r="B11" s="419" t="s">
        <v>2541</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27"/>
      <c r="M11" s="1120"/>
      <c r="N11" s="1120"/>
      <c r="O11" s="1120"/>
      <c r="P11" s="3246"/>
      <c r="Q11" s="1782" t="str">
        <f t="shared" si="6"/>
        <v>容积率</v>
      </c>
      <c r="R11" s="767" t="s">
        <v>17</v>
      </c>
      <c r="S11" s="768" t="e">
        <f t="shared" si="0"/>
        <v>#N/A</v>
      </c>
      <c r="T11" s="767" t="s">
        <v>17</v>
      </c>
      <c r="U11" s="768" t="e">
        <f t="shared" si="1"/>
        <v>#N/A</v>
      </c>
      <c r="V11" s="767" t="s">
        <v>17</v>
      </c>
      <c r="W11" s="768" t="e">
        <f t="shared" si="2"/>
        <v>#N/A</v>
      </c>
      <c r="X11" s="769"/>
      <c r="Y11" s="3098"/>
      <c r="Z11" s="54" t="str">
        <f t="shared" si="7"/>
        <v>容积率</v>
      </c>
      <c r="AA11" s="770" t="e">
        <f t="shared" si="3"/>
        <v>#N/A</v>
      </c>
      <c r="AB11" s="770" t="e">
        <f t="shared" si="4"/>
        <v>#N/A</v>
      </c>
      <c r="AC11" s="2649" t="e">
        <f t="shared" si="5"/>
        <v>#N/A</v>
      </c>
    </row>
    <row r="12" spans="1:29" s="115" customFormat="1" ht="15">
      <c r="A12" s="428"/>
      <c r="B12" s="2580">
        <v>111</v>
      </c>
      <c r="C12" s="429"/>
      <c r="D12" s="430">
        <v>100</v>
      </c>
      <c r="E12" s="429"/>
      <c r="F12" s="134">
        <f>SUMIF(71:71,E12,72:72)-SUMIF(71:71,C12,72:72)+100</f>
        <v>100</v>
      </c>
      <c r="G12" s="2650"/>
      <c r="H12" s="134">
        <f>SUMIF(71:71,G12,72:72)-SUMIF(71:71,C12,72:72)+100</f>
        <v>100</v>
      </c>
      <c r="I12" s="429"/>
      <c r="J12" s="134">
        <f>SUMIF(71:71,I12,72:72)-SUMIF(71:71,C12,72:72)+100</f>
        <v>100</v>
      </c>
      <c r="K12" s="610"/>
      <c r="L12" s="1121"/>
      <c r="M12" s="1122"/>
      <c r="N12" s="1122"/>
      <c r="O12" s="1122"/>
      <c r="P12" s="3246"/>
      <c r="Q12" s="1782">
        <f t="shared" si="6"/>
        <v>111</v>
      </c>
      <c r="R12" s="767" t="s">
        <v>17</v>
      </c>
      <c r="S12" s="768">
        <f t="shared" si="0"/>
        <v>100</v>
      </c>
      <c r="T12" s="767" t="s">
        <v>17</v>
      </c>
      <c r="U12" s="768">
        <f t="shared" si="1"/>
        <v>100</v>
      </c>
      <c r="V12" s="767" t="s">
        <v>17</v>
      </c>
      <c r="W12" s="768">
        <f t="shared" si="2"/>
        <v>100</v>
      </c>
      <c r="X12" s="769"/>
      <c r="Y12" s="3098"/>
      <c r="Z12" s="54">
        <f t="shared" si="7"/>
        <v>111</v>
      </c>
      <c r="AA12" s="770">
        <f>D12/F12</f>
        <v>1</v>
      </c>
      <c r="AB12" s="770">
        <f>D12/H12</f>
        <v>1</v>
      </c>
      <c r="AC12" s="2649">
        <f>D12/J12</f>
        <v>1</v>
      </c>
    </row>
    <row r="13" spans="1:29" ht="15">
      <c r="A13" s="425"/>
      <c r="B13" s="2580">
        <v>111</v>
      </c>
      <c r="C13" s="431"/>
      <c r="D13" s="432">
        <v>100</v>
      </c>
      <c r="E13" s="429"/>
      <c r="F13" s="134">
        <f>SUMIF(73:73,E13,74:74)-SUMIF(73:73,C13,74:74)+100</f>
        <v>100</v>
      </c>
      <c r="G13" s="2650"/>
      <c r="H13" s="432">
        <f>SUMIF(73:73,G13,74:74)-SUMIF(73:73,C13,74:74)+100</f>
        <v>100</v>
      </c>
      <c r="I13" s="429"/>
      <c r="J13" s="432">
        <f>SUMIF(73:73,I13,74:74)-SUMIF(73:73,C13,74:74)+100</f>
        <v>100</v>
      </c>
      <c r="K13" s="610"/>
      <c r="L13" s="1129"/>
      <c r="M13" s="1120"/>
      <c r="N13" s="1120"/>
      <c r="O13" s="1120"/>
      <c r="P13" s="3246"/>
      <c r="Q13" s="1782">
        <f t="shared" si="6"/>
        <v>111</v>
      </c>
      <c r="R13" s="767" t="s">
        <v>17</v>
      </c>
      <c r="S13" s="768">
        <f t="shared" si="0"/>
        <v>100</v>
      </c>
      <c r="T13" s="767" t="s">
        <v>17</v>
      </c>
      <c r="U13" s="768">
        <f t="shared" si="1"/>
        <v>100</v>
      </c>
      <c r="V13" s="767" t="s">
        <v>17</v>
      </c>
      <c r="W13" s="768">
        <f t="shared" si="2"/>
        <v>100</v>
      </c>
      <c r="X13" s="769"/>
      <c r="Y13" s="3098"/>
      <c r="Z13" s="54">
        <f t="shared" si="7"/>
        <v>111</v>
      </c>
      <c r="AA13" s="770">
        <f t="shared" si="3"/>
        <v>1</v>
      </c>
      <c r="AB13" s="770">
        <f t="shared" si="4"/>
        <v>1</v>
      </c>
      <c r="AC13" s="2649">
        <f t="shared" si="5"/>
        <v>1</v>
      </c>
    </row>
    <row r="14" spans="1:29" ht="15.75" thickBot="1">
      <c r="A14" s="433"/>
      <c r="B14" s="2582">
        <v>111</v>
      </c>
      <c r="C14" s="434"/>
      <c r="D14" s="435">
        <v>100</v>
      </c>
      <c r="E14" s="625"/>
      <c r="F14" s="435">
        <f>SUMIF(75:75,E14,76:76)-SUMIF(75:75,C14,76:76)+100</f>
        <v>100</v>
      </c>
      <c r="G14" s="2650"/>
      <c r="H14" s="435">
        <f>SUMIF(75:75,G14,76:76)-SUMIF(75:75,C14,76:76)+100</f>
        <v>100</v>
      </c>
      <c r="I14" s="429"/>
      <c r="J14" s="435">
        <f>SUMIF(75:75,I14,76:76)-SUMIF(75:75,C14,76:76)+100</f>
        <v>100</v>
      </c>
      <c r="K14" s="610"/>
      <c r="L14" s="1129"/>
      <c r="M14" s="1120"/>
      <c r="N14" s="1120"/>
      <c r="O14" s="1120"/>
      <c r="P14" s="3246"/>
      <c r="Q14" s="1782">
        <f t="shared" si="6"/>
        <v>111</v>
      </c>
      <c r="R14" s="767" t="s">
        <v>17</v>
      </c>
      <c r="S14" s="768">
        <f t="shared" si="0"/>
        <v>100</v>
      </c>
      <c r="T14" s="767" t="s">
        <v>17</v>
      </c>
      <c r="U14" s="768">
        <f t="shared" si="1"/>
        <v>100</v>
      </c>
      <c r="V14" s="767" t="s">
        <v>17</v>
      </c>
      <c r="W14" s="768">
        <f t="shared" si="2"/>
        <v>100</v>
      </c>
      <c r="X14" s="769"/>
      <c r="Y14" s="3098"/>
      <c r="Z14" s="54">
        <f t="shared" si="7"/>
        <v>111</v>
      </c>
      <c r="AA14" s="770">
        <f t="shared" si="3"/>
        <v>1</v>
      </c>
      <c r="AB14" s="770">
        <f t="shared" si="4"/>
        <v>1</v>
      </c>
      <c r="AC14" s="2649">
        <f t="shared" si="5"/>
        <v>1</v>
      </c>
    </row>
    <row r="15" spans="1:29" ht="15">
      <c r="A15" s="437" t="s">
        <v>2542</v>
      </c>
      <c r="B15" s="626" t="s">
        <v>2670</v>
      </c>
      <c r="C15" s="2651" t="str">
        <f>估价对象房地状况!C5</f>
        <v>差</v>
      </c>
      <c r="D15" s="438">
        <v>100</v>
      </c>
      <c r="E15" s="441"/>
      <c r="F15" s="438">
        <f>SUMIF(77:77,E16,78:78)-SUMIF(77:77,C16,78:78)+100</f>
        <v>100</v>
      </c>
      <c r="G15" s="439"/>
      <c r="H15" s="438">
        <f>SUMIF(77:77,G16,78:78)-SUMIF(77:77,C16,78:78)+100</f>
        <v>100</v>
      </c>
      <c r="I15" s="439"/>
      <c r="J15" s="438">
        <f>SUMIF(77:77,I16,78:78)-SUMIF(77:77,C16,78:78)+100</f>
        <v>100</v>
      </c>
      <c r="K15" s="611"/>
      <c r="L15" s="1129"/>
      <c r="M15" s="1120"/>
      <c r="N15" s="1120"/>
      <c r="O15" s="1120"/>
      <c r="P15" s="3292" t="s">
        <v>2543</v>
      </c>
      <c r="Q15" s="1797" t="str">
        <f t="shared" si="6"/>
        <v>办公集聚程度</v>
      </c>
      <c r="R15" s="771" t="s">
        <v>17</v>
      </c>
      <c r="S15" s="772">
        <f t="shared" si="0"/>
        <v>100</v>
      </c>
      <c r="T15" s="771" t="s">
        <v>17</v>
      </c>
      <c r="U15" s="772">
        <f t="shared" si="1"/>
        <v>100</v>
      </c>
      <c r="V15" s="771" t="s">
        <v>17</v>
      </c>
      <c r="W15" s="772">
        <f t="shared" si="2"/>
        <v>100</v>
      </c>
      <c r="X15" s="1800"/>
      <c r="Y15" s="3249" t="s">
        <v>2543</v>
      </c>
      <c r="Z15" s="1801" t="str">
        <f t="shared" si="7"/>
        <v>办公集聚程度</v>
      </c>
      <c r="AA15" s="1798">
        <f t="shared" si="3"/>
        <v>1</v>
      </c>
      <c r="AB15" s="1798">
        <f t="shared" si="4"/>
        <v>1</v>
      </c>
      <c r="AC15" s="2652">
        <f t="shared" si="5"/>
        <v>1</v>
      </c>
    </row>
    <row r="16" spans="1:29" ht="15">
      <c r="A16" s="425"/>
      <c r="B16" s="627"/>
      <c r="C16" s="2591"/>
      <c r="D16" s="445"/>
      <c r="E16" s="444"/>
      <c r="F16" s="445"/>
      <c r="G16" s="2591"/>
      <c r="H16" s="447"/>
      <c r="I16" s="444"/>
      <c r="J16" s="445"/>
      <c r="K16" s="612"/>
      <c r="L16" s="1129"/>
      <c r="M16" s="1120"/>
      <c r="N16" s="1120"/>
      <c r="O16" s="1120"/>
      <c r="P16" s="3293"/>
      <c r="Q16" s="1797"/>
      <c r="R16" s="771"/>
      <c r="S16" s="772"/>
      <c r="T16" s="771"/>
      <c r="U16" s="772"/>
      <c r="V16" s="771"/>
      <c r="W16" s="772"/>
      <c r="X16" s="1800"/>
      <c r="Y16" s="3250"/>
      <c r="Z16" s="1801"/>
      <c r="AA16" s="1798">
        <v>1</v>
      </c>
      <c r="AB16" s="1798">
        <v>1</v>
      </c>
      <c r="AC16" s="2652">
        <v>1</v>
      </c>
    </row>
    <row r="17" spans="1:29" ht="15">
      <c r="A17" s="425"/>
      <c r="B17" s="628" t="s">
        <v>2086</v>
      </c>
      <c r="C17" s="2653" t="str">
        <f>估价对象房地状况!C6</f>
        <v>一般</v>
      </c>
      <c r="D17" s="447">
        <v>100</v>
      </c>
      <c r="E17" s="451"/>
      <c r="F17" s="447">
        <f>SUMIF(79:79,E18,80:80)-SUMIF(79:79,C18,80:80)+100</f>
        <v>100</v>
      </c>
      <c r="G17" s="449"/>
      <c r="H17" s="452">
        <f>SUMIF(79:79,G18,80:80)-SUMIF(79:79,C18,80:80)+100</f>
        <v>100</v>
      </c>
      <c r="I17" s="449"/>
      <c r="J17" s="452">
        <f>SUMIF(79:79,I18,80:80)-SUMIF(79:79,C18,80:80)+100</f>
        <v>100</v>
      </c>
      <c r="K17" s="611"/>
      <c r="L17" s="1129"/>
      <c r="M17" s="1120"/>
      <c r="N17" s="1120"/>
      <c r="O17" s="1120"/>
      <c r="P17" s="3293"/>
      <c r="Q17" s="1797" t="str">
        <f>B17</f>
        <v>交通便捷度</v>
      </c>
      <c r="R17" s="771" t="s">
        <v>17</v>
      </c>
      <c r="S17" s="772">
        <f>F17</f>
        <v>100</v>
      </c>
      <c r="T17" s="771" t="s">
        <v>17</v>
      </c>
      <c r="U17" s="772">
        <f>H17</f>
        <v>100</v>
      </c>
      <c r="V17" s="771" t="s">
        <v>17</v>
      </c>
      <c r="W17" s="772">
        <f>J17</f>
        <v>100</v>
      </c>
      <c r="X17" s="1800"/>
      <c r="Y17" s="3250"/>
      <c r="Z17" s="1801" t="str">
        <f>Q17</f>
        <v>交通便捷度</v>
      </c>
      <c r="AA17" s="1798">
        <f t="shared" si="3"/>
        <v>1</v>
      </c>
      <c r="AB17" s="1798">
        <f t="shared" si="4"/>
        <v>1</v>
      </c>
      <c r="AC17" s="2652">
        <f t="shared" si="5"/>
        <v>1</v>
      </c>
    </row>
    <row r="18" spans="1:29" ht="15">
      <c r="A18" s="425"/>
      <c r="B18" s="629"/>
      <c r="C18" s="2654"/>
      <c r="D18" s="447"/>
      <c r="E18" s="2589"/>
      <c r="F18" s="447"/>
      <c r="G18" s="2590"/>
      <c r="H18" s="445"/>
      <c r="I18" s="2590"/>
      <c r="J18" s="445"/>
      <c r="K18" s="612"/>
      <c r="L18" s="1129"/>
      <c r="M18" s="1120"/>
      <c r="N18" s="1120"/>
      <c r="O18" s="1120"/>
      <c r="P18" s="3293"/>
      <c r="Q18" s="1797"/>
      <c r="R18" s="771"/>
      <c r="S18" s="772"/>
      <c r="T18" s="771"/>
      <c r="U18" s="772"/>
      <c r="V18" s="771"/>
      <c r="W18" s="772"/>
      <c r="X18" s="1800"/>
      <c r="Y18" s="3250"/>
      <c r="Z18" s="1801"/>
      <c r="AA18" s="1798">
        <v>1</v>
      </c>
      <c r="AB18" s="1798">
        <v>1</v>
      </c>
      <c r="AC18" s="2652">
        <v>1</v>
      </c>
    </row>
    <row r="19" spans="1:29" ht="15">
      <c r="A19" s="425"/>
      <c r="B19" s="628" t="s">
        <v>2671</v>
      </c>
      <c r="C19" s="2653" t="str">
        <f>估价对象房地状况!C7</f>
        <v>较差</v>
      </c>
      <c r="D19" s="452">
        <v>100</v>
      </c>
      <c r="E19" s="456"/>
      <c r="F19" s="452">
        <f>SUMIF(81:81,E20,82:82)-SUMIF(81:81,C20,82:82)+100</f>
        <v>100</v>
      </c>
      <c r="G19" s="454"/>
      <c r="H19" s="447">
        <f>SUMIF(81:81,G20,82:82)-SUMIF(81:81,C20,82:82)+100</f>
        <v>100</v>
      </c>
      <c r="I19" s="454"/>
      <c r="J19" s="447">
        <f>SUMIF(81:81,I20,82:82)-SUMIF(81:81,C20,82:82)+100</f>
        <v>100</v>
      </c>
      <c r="K19" s="611"/>
      <c r="L19" s="1129"/>
      <c r="M19" s="1120"/>
      <c r="N19" s="1120"/>
      <c r="O19" s="1120"/>
      <c r="P19" s="3293"/>
      <c r="Q19" s="1797" t="str">
        <f>B19</f>
        <v>公共配套设施</v>
      </c>
      <c r="R19" s="771" t="s">
        <v>17</v>
      </c>
      <c r="S19" s="772">
        <f>F19</f>
        <v>100</v>
      </c>
      <c r="T19" s="771" t="s">
        <v>17</v>
      </c>
      <c r="U19" s="772">
        <f>H19</f>
        <v>100</v>
      </c>
      <c r="V19" s="771" t="s">
        <v>17</v>
      </c>
      <c r="W19" s="772">
        <f>J19</f>
        <v>100</v>
      </c>
      <c r="X19" s="1800"/>
      <c r="Y19" s="3250"/>
      <c r="Z19" s="1801" t="str">
        <f>Q19</f>
        <v>公共配套设施</v>
      </c>
      <c r="AA19" s="1798">
        <f t="shared" si="3"/>
        <v>1</v>
      </c>
      <c r="AB19" s="1798">
        <f t="shared" si="4"/>
        <v>1</v>
      </c>
      <c r="AC19" s="2652">
        <f t="shared" si="5"/>
        <v>1</v>
      </c>
    </row>
    <row r="20" spans="1:29" ht="15">
      <c r="A20" s="425"/>
      <c r="B20" s="629"/>
      <c r="C20" s="2591"/>
      <c r="D20" s="445"/>
      <c r="E20" s="2584"/>
      <c r="F20" s="445"/>
      <c r="G20" s="2585"/>
      <c r="H20" s="445"/>
      <c r="I20" s="2585"/>
      <c r="J20" s="445"/>
      <c r="K20" s="612"/>
      <c r="L20" s="1129"/>
      <c r="M20" s="1120"/>
      <c r="N20" s="1120"/>
      <c r="O20" s="1120"/>
      <c r="P20" s="3293"/>
      <c r="Q20" s="1797"/>
      <c r="R20" s="771"/>
      <c r="S20" s="772"/>
      <c r="T20" s="771"/>
      <c r="U20" s="772"/>
      <c r="V20" s="771"/>
      <c r="W20" s="772"/>
      <c r="X20" s="1800"/>
      <c r="Y20" s="3250"/>
      <c r="Z20" s="1801"/>
      <c r="AA20" s="1798">
        <v>1</v>
      </c>
      <c r="AB20" s="1798">
        <v>1</v>
      </c>
      <c r="AC20" s="2652">
        <v>1</v>
      </c>
    </row>
    <row r="21" spans="1:29" ht="15">
      <c r="A21" s="425"/>
      <c r="B21" s="630" t="s">
        <v>2672</v>
      </c>
      <c r="C21" s="2653" t="str">
        <f>估价对象房地状况!C8</f>
        <v>六通</v>
      </c>
      <c r="D21" s="447">
        <v>100</v>
      </c>
      <c r="E21" s="456"/>
      <c r="F21" s="452">
        <f>SUMIF(83:83,E22,84:84)-SUMIF(83:83,C22,84:84)+100</f>
        <v>100</v>
      </c>
      <c r="G21" s="454"/>
      <c r="H21" s="447">
        <f>SUMIF(83:83,G22,84:84)-SUMIF(83:83,C22,84:84)+100</f>
        <v>100</v>
      </c>
      <c r="I21" s="454"/>
      <c r="J21" s="447">
        <f>SUMIF(83:83,I22,84:84)-SUMIF(83:83,C22,84:84)+100</f>
        <v>100</v>
      </c>
      <c r="K21" s="611"/>
      <c r="L21" s="1129"/>
      <c r="M21" s="1120"/>
      <c r="N21" s="1120"/>
      <c r="O21" s="1120"/>
      <c r="P21" s="3293"/>
      <c r="Q21" s="1797" t="str">
        <f>B21</f>
        <v>基础设施水平</v>
      </c>
      <c r="R21" s="771" t="s">
        <v>17</v>
      </c>
      <c r="S21" s="772">
        <f>F21</f>
        <v>100</v>
      </c>
      <c r="T21" s="771" t="s">
        <v>17</v>
      </c>
      <c r="U21" s="772">
        <f>H21</f>
        <v>100</v>
      </c>
      <c r="V21" s="771" t="s">
        <v>17</v>
      </c>
      <c r="W21" s="772">
        <f>J21</f>
        <v>100</v>
      </c>
      <c r="X21" s="1800"/>
      <c r="Y21" s="3250"/>
      <c r="Z21" s="1801" t="str">
        <f>Q21</f>
        <v>基础设施水平</v>
      </c>
      <c r="AA21" s="1798">
        <f t="shared" ref="AA21" si="8">D21/F21</f>
        <v>1</v>
      </c>
      <c r="AB21" s="1798">
        <f t="shared" ref="AB21" si="9">D21/H21</f>
        <v>1</v>
      </c>
      <c r="AC21" s="2652">
        <f t="shared" ref="AC21" si="10">D21/J21</f>
        <v>1</v>
      </c>
    </row>
    <row r="22" spans="1:29" ht="15">
      <c r="A22" s="425"/>
      <c r="B22" s="630"/>
      <c r="C22" s="2654"/>
      <c r="D22" s="445"/>
      <c r="E22" s="444"/>
      <c r="F22" s="445"/>
      <c r="G22" s="2591"/>
      <c r="H22" s="445"/>
      <c r="I22" s="2591"/>
      <c r="J22" s="445"/>
      <c r="K22" s="1372"/>
      <c r="L22" s="1129"/>
      <c r="M22" s="1120"/>
      <c r="N22" s="1120"/>
      <c r="O22" s="1120"/>
      <c r="P22" s="3293"/>
      <c r="Q22" s="1797"/>
      <c r="R22" s="771"/>
      <c r="S22" s="772"/>
      <c r="T22" s="771"/>
      <c r="U22" s="772"/>
      <c r="V22" s="771"/>
      <c r="W22" s="772"/>
      <c r="X22" s="1800"/>
      <c r="Y22" s="3250"/>
      <c r="Z22" s="1801"/>
      <c r="AA22" s="1798">
        <v>1</v>
      </c>
      <c r="AB22" s="1798">
        <v>1</v>
      </c>
      <c r="AC22" s="2652">
        <v>1</v>
      </c>
    </row>
    <row r="23" spans="1:29" ht="15">
      <c r="A23" s="425"/>
      <c r="B23" s="628" t="s">
        <v>2673</v>
      </c>
      <c r="C23" s="2653" t="str">
        <f>估价对象房地状况!C9</f>
        <v>较好</v>
      </c>
      <c r="D23" s="447">
        <v>100</v>
      </c>
      <c r="E23" s="451"/>
      <c r="F23" s="447">
        <f>SUMIF(85:85,E24,86:86)-SUMIF(85:85,C24,86:86)+100</f>
        <v>100</v>
      </c>
      <c r="G23" s="449"/>
      <c r="H23" s="447">
        <f>SUMIF(85:85,G24,86:86)-SUMIF(85:85,C24,86:86)+100</f>
        <v>100</v>
      </c>
      <c r="I23" s="449"/>
      <c r="J23" s="447">
        <f>SUMIF(85:85,I24,86:86)-SUMIF(85:85,C24,86:86)+100</f>
        <v>100</v>
      </c>
      <c r="K23" s="611"/>
      <c r="L23" s="1129"/>
      <c r="M23" s="1120"/>
      <c r="N23" s="1120"/>
      <c r="O23" s="1120"/>
      <c r="P23" s="3293"/>
      <c r="Q23" s="1797" t="str">
        <f>B23</f>
        <v>环境质量</v>
      </c>
      <c r="R23" s="771" t="s">
        <v>17</v>
      </c>
      <c r="S23" s="772">
        <f>F23</f>
        <v>100</v>
      </c>
      <c r="T23" s="771" t="s">
        <v>17</v>
      </c>
      <c r="U23" s="772">
        <f>H23</f>
        <v>100</v>
      </c>
      <c r="V23" s="771" t="s">
        <v>17</v>
      </c>
      <c r="W23" s="772">
        <f>J23</f>
        <v>100</v>
      </c>
      <c r="X23" s="1800"/>
      <c r="Y23" s="3250"/>
      <c r="Z23" s="1801" t="str">
        <f>Q23</f>
        <v>环境质量</v>
      </c>
      <c r="AA23" s="1798">
        <f t="shared" si="3"/>
        <v>1</v>
      </c>
      <c r="AB23" s="1798">
        <f t="shared" si="4"/>
        <v>1</v>
      </c>
      <c r="AC23" s="2652">
        <f t="shared" si="5"/>
        <v>1</v>
      </c>
    </row>
    <row r="24" spans="1:29" ht="15">
      <c r="A24" s="425"/>
      <c r="B24" s="630"/>
      <c r="C24" s="2591"/>
      <c r="D24" s="445"/>
      <c r="E24" s="2584"/>
      <c r="F24" s="445"/>
      <c r="G24" s="2585"/>
      <c r="H24" s="445"/>
      <c r="I24" s="2585"/>
      <c r="J24" s="445"/>
      <c r="K24" s="612"/>
      <c r="L24" s="1129"/>
      <c r="M24" s="1120"/>
      <c r="N24" s="1120"/>
      <c r="O24" s="1120"/>
      <c r="P24" s="3293"/>
      <c r="Q24" s="1797"/>
      <c r="R24" s="771"/>
      <c r="S24" s="772"/>
      <c r="T24" s="771"/>
      <c r="U24" s="772"/>
      <c r="V24" s="771"/>
      <c r="W24" s="772"/>
      <c r="X24" s="1800"/>
      <c r="Y24" s="3250"/>
      <c r="Z24" s="1801"/>
      <c r="AA24" s="1798">
        <v>1</v>
      </c>
      <c r="AB24" s="1798">
        <v>1</v>
      </c>
      <c r="AC24" s="2652">
        <v>1</v>
      </c>
    </row>
    <row r="25" spans="1:29" ht="27">
      <c r="A25" s="402"/>
      <c r="B25" s="628" t="s">
        <v>2674</v>
      </c>
      <c r="C25" s="2595"/>
      <c r="D25" s="432">
        <v>100</v>
      </c>
      <c r="E25" s="431"/>
      <c r="F25" s="432">
        <f>SUMIF(87:87,E26,88:88)-SUMIF(87:87,C26,88:88)+100</f>
        <v>100</v>
      </c>
      <c r="G25" s="2595"/>
      <c r="H25" s="432">
        <f>SUMIF(87:87,G26,88:88)-SUMIF(87:87,C26,88:88)+100</f>
        <v>100</v>
      </c>
      <c r="I25" s="431"/>
      <c r="J25" s="432">
        <f>SUMIF(87:87,I26,88:88)-SUMIF(87:87,C26,88:88)+100</f>
        <v>100</v>
      </c>
      <c r="K25" s="611"/>
      <c r="L25" s="1129"/>
      <c r="M25" s="1120"/>
      <c r="N25" s="1120"/>
      <c r="O25" s="1120"/>
      <c r="P25" s="3293"/>
      <c r="Q25" s="1797" t="str">
        <f>B25</f>
        <v>毗邻道路的类型与等级</v>
      </c>
      <c r="R25" s="771" t="s">
        <v>17</v>
      </c>
      <c r="S25" s="772">
        <f>F25</f>
        <v>100</v>
      </c>
      <c r="T25" s="771" t="s">
        <v>17</v>
      </c>
      <c r="U25" s="772">
        <f>H25</f>
        <v>100</v>
      </c>
      <c r="V25" s="771" t="s">
        <v>17</v>
      </c>
      <c r="W25" s="772">
        <f>J25</f>
        <v>100</v>
      </c>
      <c r="X25" s="1800"/>
      <c r="Y25" s="3250"/>
      <c r="Z25" s="1801" t="str">
        <f>Q25</f>
        <v>毗邻道路的类型与等级</v>
      </c>
      <c r="AA25" s="1798">
        <f t="shared" si="3"/>
        <v>1</v>
      </c>
      <c r="AB25" s="1798">
        <f t="shared" si="4"/>
        <v>1</v>
      </c>
      <c r="AC25" s="2652">
        <f t="shared" si="5"/>
        <v>1</v>
      </c>
    </row>
    <row r="26" spans="1:29" ht="15">
      <c r="A26" s="402"/>
      <c r="B26" s="629"/>
      <c r="C26" s="631"/>
      <c r="D26" s="432"/>
      <c r="E26" s="613"/>
      <c r="F26" s="432"/>
      <c r="G26" s="631"/>
      <c r="H26" s="432"/>
      <c r="I26" s="613"/>
      <c r="J26" s="432"/>
      <c r="K26" s="612"/>
      <c r="L26" s="1129"/>
      <c r="M26" s="1120"/>
      <c r="N26" s="1120"/>
      <c r="O26" s="1120"/>
      <c r="P26" s="3293"/>
      <c r="Q26" s="1797"/>
      <c r="R26" s="771"/>
      <c r="S26" s="772"/>
      <c r="T26" s="771"/>
      <c r="U26" s="772"/>
      <c r="V26" s="771"/>
      <c r="W26" s="772"/>
      <c r="X26" s="1800"/>
      <c r="Y26" s="3250"/>
      <c r="Z26" s="1801"/>
      <c r="AA26" s="1798">
        <v>1</v>
      </c>
      <c r="AB26" s="1798">
        <v>1</v>
      </c>
      <c r="AC26" s="2652">
        <v>1</v>
      </c>
    </row>
    <row r="27" spans="1:29" ht="15">
      <c r="A27" s="425"/>
      <c r="B27" s="629" t="s">
        <v>2642</v>
      </c>
      <c r="C27" s="631"/>
      <c r="D27" s="432">
        <v>100</v>
      </c>
      <c r="E27" s="613"/>
      <c r="F27" s="432">
        <f>SUMIF(89:89,E27,90:90)-SUMIF(89:89,C27,90:90)+100</f>
        <v>100</v>
      </c>
      <c r="G27" s="631"/>
      <c r="H27" s="432">
        <f>SUMIF(89:89,G27,90:90)-SUMIF(89:89,C27,90:90)+100</f>
        <v>100</v>
      </c>
      <c r="I27" s="613"/>
      <c r="J27" s="432">
        <f>SUMIF(89:89,I27,90:90)-SUMIF(89:89,C27,90:90)+100</f>
        <v>100</v>
      </c>
      <c r="K27" s="609"/>
      <c r="L27" s="1129"/>
      <c r="M27" s="1120"/>
      <c r="N27" s="1120"/>
      <c r="O27" s="1120"/>
      <c r="P27" s="3293"/>
      <c r="Q27" s="1797" t="str">
        <f t="shared" ref="Q27:Q47" si="11">B27</f>
        <v>楼层</v>
      </c>
      <c r="R27" s="771" t="s">
        <v>17</v>
      </c>
      <c r="S27" s="772">
        <f>F27</f>
        <v>100</v>
      </c>
      <c r="T27" s="771" t="s">
        <v>17</v>
      </c>
      <c r="U27" s="772">
        <f>H27</f>
        <v>100</v>
      </c>
      <c r="V27" s="771" t="s">
        <v>17</v>
      </c>
      <c r="W27" s="772">
        <f>J27</f>
        <v>100</v>
      </c>
      <c r="X27" s="1800"/>
      <c r="Y27" s="3250"/>
      <c r="Z27" s="1801" t="str">
        <f>Q27</f>
        <v>楼层</v>
      </c>
      <c r="AA27" s="1798">
        <f t="shared" si="3"/>
        <v>1</v>
      </c>
      <c r="AB27" s="1798">
        <f t="shared" si="4"/>
        <v>1</v>
      </c>
      <c r="AC27" s="2652">
        <f t="shared" si="5"/>
        <v>1</v>
      </c>
    </row>
    <row r="28" spans="1:29" s="115" customFormat="1" ht="15">
      <c r="A28" s="428"/>
      <c r="B28" s="628" t="s">
        <v>2675</v>
      </c>
      <c r="C28" s="2655"/>
      <c r="D28" s="459">
        <v>100</v>
      </c>
      <c r="E28" s="2643"/>
      <c r="F28" s="459">
        <f>SUMIF(91:91,E28,92:92)-SUMIF(91:91,C28,92:92)+100</f>
        <v>100</v>
      </c>
      <c r="G28" s="2655"/>
      <c r="H28" s="459">
        <f>SUMIF(91:91,G28,92:92)-SUMIF(91:91,C28,92:92)+100</f>
        <v>100</v>
      </c>
      <c r="I28" s="2643"/>
      <c r="J28" s="459">
        <f>SUMIF(91:91,I28,92:92)-SUMIF(91:91,C28,92:92)+100</f>
        <v>100</v>
      </c>
      <c r="K28" s="609"/>
      <c r="L28" s="1121"/>
      <c r="M28" s="1122"/>
      <c r="N28" s="1122"/>
      <c r="O28" s="1122"/>
      <c r="P28" s="3293"/>
      <c r="Q28" s="1782" t="str">
        <f t="shared" si="11"/>
        <v>朝向</v>
      </c>
      <c r="R28" s="767" t="s">
        <v>17</v>
      </c>
      <c r="S28" s="768">
        <f>F28</f>
        <v>100</v>
      </c>
      <c r="T28" s="767" t="s">
        <v>17</v>
      </c>
      <c r="U28" s="768">
        <f>H28</f>
        <v>100</v>
      </c>
      <c r="V28" s="767" t="s">
        <v>17</v>
      </c>
      <c r="W28" s="768">
        <f>J28</f>
        <v>100</v>
      </c>
      <c r="X28" s="769"/>
      <c r="Y28" s="3250"/>
      <c r="Z28" s="54" t="str">
        <f>Q28</f>
        <v>朝向</v>
      </c>
      <c r="AA28" s="1798">
        <f>D28/F28</f>
        <v>1</v>
      </c>
      <c r="AB28" s="1798">
        <f>D28/H28</f>
        <v>1</v>
      </c>
      <c r="AC28" s="2652">
        <f>D28/J28</f>
        <v>1</v>
      </c>
    </row>
    <row r="29" spans="1:29" ht="15">
      <c r="A29" s="425"/>
      <c r="B29" s="2656">
        <v>111</v>
      </c>
      <c r="C29" s="2595"/>
      <c r="D29" s="432">
        <v>100</v>
      </c>
      <c r="E29" s="429"/>
      <c r="F29" s="432">
        <f>SUMIF(93:93,E29,94:94)-SUMIF(93:93,C29,94:94)+100</f>
        <v>100</v>
      </c>
      <c r="G29" s="2650"/>
      <c r="H29" s="432">
        <f>SUMIF(93:93,G29,94:94)-SUMIF(93:93,C29,94:94)+100</f>
        <v>100</v>
      </c>
      <c r="I29" s="429"/>
      <c r="J29" s="432">
        <f>SUMIF(93:93,I29,94:94)-SUMIF(93:93,C29,94:94)+100</f>
        <v>100</v>
      </c>
      <c r="K29" s="610"/>
      <c r="L29" s="1129"/>
      <c r="M29" s="1120"/>
      <c r="N29" s="1120"/>
      <c r="O29" s="1120"/>
      <c r="P29" s="3293"/>
      <c r="Q29" s="1797">
        <f t="shared" si="11"/>
        <v>111</v>
      </c>
      <c r="R29" s="771" t="s">
        <v>17</v>
      </c>
      <c r="S29" s="772">
        <f t="shared" ref="S29:S47" si="12">F29</f>
        <v>100</v>
      </c>
      <c r="T29" s="771" t="s">
        <v>17</v>
      </c>
      <c r="U29" s="772">
        <f t="shared" ref="U29:U47" si="13">H29</f>
        <v>100</v>
      </c>
      <c r="V29" s="771" t="s">
        <v>17</v>
      </c>
      <c r="W29" s="772">
        <f t="shared" ref="W29:W47" si="14">J29</f>
        <v>100</v>
      </c>
      <c r="X29" s="1800"/>
      <c r="Y29" s="3250"/>
      <c r="Z29" s="1801">
        <f t="shared" ref="Z29:Z47" si="15">Q29</f>
        <v>111</v>
      </c>
      <c r="AA29" s="1798">
        <f t="shared" si="3"/>
        <v>1</v>
      </c>
      <c r="AB29" s="1798">
        <f t="shared" si="4"/>
        <v>1</v>
      </c>
      <c r="AC29" s="2652">
        <f t="shared" si="5"/>
        <v>1</v>
      </c>
    </row>
    <row r="30" spans="1:29" ht="15">
      <c r="A30" s="425"/>
      <c r="B30" s="2656">
        <v>111</v>
      </c>
      <c r="C30" s="2595"/>
      <c r="D30" s="432">
        <v>100</v>
      </c>
      <c r="E30" s="429"/>
      <c r="F30" s="432">
        <f>SUMIF(95:95,E30,96:96)-SUMIF(95:95,C30,96:96)+100</f>
        <v>100</v>
      </c>
      <c r="G30" s="2650"/>
      <c r="H30" s="432">
        <f>SUMIF(95:95,G30,96:96)-SUMIF(95:95,C30,96:96)+100</f>
        <v>100</v>
      </c>
      <c r="I30" s="429"/>
      <c r="J30" s="432">
        <f>SUMIF(95:95,I30,96:96)-SUMIF(95:95,C30,96:96)+100</f>
        <v>100</v>
      </c>
      <c r="K30" s="610"/>
      <c r="L30" s="1129"/>
      <c r="M30" s="1120"/>
      <c r="N30" s="1120"/>
      <c r="O30" s="1120"/>
      <c r="P30" s="3293"/>
      <c r="Q30" s="1797">
        <f t="shared" si="11"/>
        <v>111</v>
      </c>
      <c r="R30" s="771" t="s">
        <v>17</v>
      </c>
      <c r="S30" s="772">
        <f t="shared" si="12"/>
        <v>100</v>
      </c>
      <c r="T30" s="771" t="s">
        <v>17</v>
      </c>
      <c r="U30" s="772">
        <f t="shared" si="13"/>
        <v>100</v>
      </c>
      <c r="V30" s="771" t="s">
        <v>17</v>
      </c>
      <c r="W30" s="772">
        <f t="shared" si="14"/>
        <v>100</v>
      </c>
      <c r="X30" s="1800"/>
      <c r="Y30" s="3250"/>
      <c r="Z30" s="1801">
        <f t="shared" si="15"/>
        <v>111</v>
      </c>
      <c r="AA30" s="1798">
        <f t="shared" si="3"/>
        <v>1</v>
      </c>
      <c r="AB30" s="1798">
        <f t="shared" si="4"/>
        <v>1</v>
      </c>
      <c r="AC30" s="2652">
        <f t="shared" si="5"/>
        <v>1</v>
      </c>
    </row>
    <row r="31" spans="1:29" ht="15">
      <c r="A31" s="425"/>
      <c r="B31" s="2656">
        <v>111</v>
      </c>
      <c r="C31" s="2595"/>
      <c r="D31" s="432">
        <v>100</v>
      </c>
      <c r="E31" s="429"/>
      <c r="F31" s="432">
        <f>SUMIF(97:97,E31,98:98)-SUMIF(97:97,C31,98:98)+100</f>
        <v>100</v>
      </c>
      <c r="G31" s="2650"/>
      <c r="H31" s="432">
        <f>SUMIF(97:97,G31,98:98)-SUMIF(97:97,C31,98:98)+100</f>
        <v>100</v>
      </c>
      <c r="I31" s="429"/>
      <c r="J31" s="432">
        <f>SUMIF(97:97,I31,98:98)-SUMIF(97:97,C31,98:98)+100</f>
        <v>100</v>
      </c>
      <c r="K31" s="610"/>
      <c r="L31" s="1129"/>
      <c r="M31" s="1120"/>
      <c r="N31" s="1120"/>
      <c r="O31" s="1120"/>
      <c r="P31" s="3293"/>
      <c r="Q31" s="1797">
        <f t="shared" si="11"/>
        <v>111</v>
      </c>
      <c r="R31" s="771" t="s">
        <v>17</v>
      </c>
      <c r="S31" s="772">
        <f t="shared" si="12"/>
        <v>100</v>
      </c>
      <c r="T31" s="771" t="s">
        <v>17</v>
      </c>
      <c r="U31" s="772">
        <f t="shared" si="13"/>
        <v>100</v>
      </c>
      <c r="V31" s="771" t="s">
        <v>17</v>
      </c>
      <c r="W31" s="772">
        <f t="shared" si="14"/>
        <v>100</v>
      </c>
      <c r="X31" s="1800"/>
      <c r="Y31" s="3250"/>
      <c r="Z31" s="1801">
        <f t="shared" si="15"/>
        <v>111</v>
      </c>
      <c r="AA31" s="1798">
        <f t="shared" si="3"/>
        <v>1</v>
      </c>
      <c r="AB31" s="1798">
        <f t="shared" si="4"/>
        <v>1</v>
      </c>
      <c r="AC31" s="2652">
        <f t="shared" si="5"/>
        <v>1</v>
      </c>
    </row>
    <row r="32" spans="1:29" ht="15.75" thickBot="1">
      <c r="A32" s="433"/>
      <c r="B32" s="632">
        <v>111</v>
      </c>
      <c r="C32" s="2596"/>
      <c r="D32" s="435">
        <v>100</v>
      </c>
      <c r="E32" s="625"/>
      <c r="F32" s="435">
        <f>SUMIF(99:99,E32,100:100)-SUMIF(99:99,C32,100:100)+100</f>
        <v>100</v>
      </c>
      <c r="G32" s="2650"/>
      <c r="H32" s="435">
        <f>SUMIF(99:99,G32,100:100)-SUMIF(99:99,C32,100:100)+100</f>
        <v>100</v>
      </c>
      <c r="I32" s="429"/>
      <c r="J32" s="435">
        <f>SUMIF(99:99,I32,100:100)-SUMIF(99:99,C32,100:100)+100</f>
        <v>100</v>
      </c>
      <c r="K32" s="610"/>
      <c r="L32" s="1129"/>
      <c r="M32" s="1120"/>
      <c r="N32" s="1120"/>
      <c r="O32" s="1120"/>
      <c r="P32" s="3293"/>
      <c r="Q32" s="1797">
        <f t="shared" si="11"/>
        <v>111</v>
      </c>
      <c r="R32" s="771" t="s">
        <v>17</v>
      </c>
      <c r="S32" s="772">
        <f t="shared" si="12"/>
        <v>100</v>
      </c>
      <c r="T32" s="771" t="s">
        <v>17</v>
      </c>
      <c r="U32" s="772">
        <f t="shared" si="13"/>
        <v>100</v>
      </c>
      <c r="V32" s="771" t="s">
        <v>17</v>
      </c>
      <c r="W32" s="772">
        <f t="shared" si="14"/>
        <v>100</v>
      </c>
      <c r="X32" s="1800"/>
      <c r="Y32" s="3250"/>
      <c r="Z32" s="1801">
        <f t="shared" si="15"/>
        <v>111</v>
      </c>
      <c r="AA32" s="1798">
        <f t="shared" si="3"/>
        <v>1</v>
      </c>
      <c r="AB32" s="1798">
        <f t="shared" si="4"/>
        <v>1</v>
      </c>
      <c r="AC32" s="2652">
        <f t="shared" si="5"/>
        <v>1</v>
      </c>
    </row>
    <row r="33" spans="1:29" ht="15">
      <c r="A33" s="437" t="s">
        <v>2546</v>
      </c>
      <c r="B33" s="70" t="s">
        <v>2676</v>
      </c>
      <c r="C33" s="2657"/>
      <c r="D33" s="464">
        <v>100</v>
      </c>
      <c r="E33" s="2657"/>
      <c r="F33" s="458">
        <f>SUMIF(101:101,E33,102:102)-SUMIF(101:101,C33,102:102)+100</f>
        <v>100</v>
      </c>
      <c r="G33" s="2657"/>
      <c r="H33" s="432">
        <f>SUMIF(101:101,G33,102:102)-SUMIF(101:101,C33,102:102)+100</f>
        <v>100</v>
      </c>
      <c r="I33" s="2657"/>
      <c r="J33" s="464">
        <f>SUMIF(101:101,I33,102:102)-SUMIF(101:101,C33,102:102)+100</f>
        <v>100</v>
      </c>
      <c r="K33" s="609"/>
      <c r="L33" s="1129"/>
      <c r="M33" s="1120"/>
      <c r="N33" s="1120"/>
      <c r="O33" s="1120"/>
      <c r="P33" s="3288" t="s">
        <v>2548</v>
      </c>
      <c r="Q33" s="1797" t="str">
        <f t="shared" si="11"/>
        <v>建筑类型</v>
      </c>
      <c r="R33" s="771" t="s">
        <v>17</v>
      </c>
      <c r="S33" s="772">
        <f t="shared" si="12"/>
        <v>100</v>
      </c>
      <c r="T33" s="771" t="s">
        <v>17</v>
      </c>
      <c r="U33" s="772">
        <f t="shared" si="13"/>
        <v>100</v>
      </c>
      <c r="V33" s="771" t="s">
        <v>17</v>
      </c>
      <c r="W33" s="772">
        <f t="shared" si="14"/>
        <v>100</v>
      </c>
      <c r="X33" s="1800"/>
      <c r="Y33" s="3252" t="s">
        <v>2548</v>
      </c>
      <c r="Z33" s="1801" t="str">
        <f t="shared" si="15"/>
        <v>建筑类型</v>
      </c>
      <c r="AA33" s="1798">
        <f t="shared" si="3"/>
        <v>1</v>
      </c>
      <c r="AB33" s="1798">
        <f t="shared" si="4"/>
        <v>1</v>
      </c>
      <c r="AC33" s="2652">
        <f t="shared" si="5"/>
        <v>1</v>
      </c>
    </row>
    <row r="34" spans="1:29" s="468" customFormat="1" ht="15">
      <c r="A34" s="465"/>
      <c r="B34" s="419" t="s">
        <v>2549</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27"/>
      <c r="M34" s="1130"/>
      <c r="N34" s="1130"/>
      <c r="O34" s="1130"/>
      <c r="P34" s="3289"/>
      <c r="Q34" s="773" t="str">
        <f t="shared" si="11"/>
        <v>项目建筑规模</v>
      </c>
      <c r="R34" s="774" t="s">
        <v>17</v>
      </c>
      <c r="S34" s="775" t="e">
        <f t="shared" si="12"/>
        <v>#N/A</v>
      </c>
      <c r="T34" s="774" t="s">
        <v>17</v>
      </c>
      <c r="U34" s="775" t="e">
        <f t="shared" si="13"/>
        <v>#N/A</v>
      </c>
      <c r="V34" s="774" t="s">
        <v>17</v>
      </c>
      <c r="W34" s="775" t="e">
        <f t="shared" si="14"/>
        <v>#N/A</v>
      </c>
      <c r="X34" s="776"/>
      <c r="Y34" s="3252"/>
      <c r="Z34" s="777" t="str">
        <f t="shared" si="15"/>
        <v>项目建筑规模</v>
      </c>
      <c r="AA34" s="1798" t="e">
        <f t="shared" si="3"/>
        <v>#N/A</v>
      </c>
      <c r="AB34" s="1798" t="e">
        <f t="shared" si="4"/>
        <v>#N/A</v>
      </c>
      <c r="AC34" s="2652" t="e">
        <f t="shared" si="5"/>
        <v>#N/A</v>
      </c>
    </row>
    <row r="35" spans="1:29" ht="15">
      <c r="A35" s="469"/>
      <c r="B35" s="419" t="s">
        <v>2550</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29"/>
      <c r="M35" s="1120"/>
      <c r="N35" s="1120"/>
      <c r="O35" s="1120"/>
      <c r="P35" s="3289"/>
      <c r="Q35" s="1797" t="str">
        <f t="shared" si="11"/>
        <v>建筑结构</v>
      </c>
      <c r="R35" s="771" t="s">
        <v>17</v>
      </c>
      <c r="S35" s="772">
        <f t="shared" si="12"/>
        <v>100</v>
      </c>
      <c r="T35" s="771" t="s">
        <v>17</v>
      </c>
      <c r="U35" s="772">
        <f t="shared" si="13"/>
        <v>100</v>
      </c>
      <c r="V35" s="771" t="s">
        <v>17</v>
      </c>
      <c r="W35" s="772">
        <f t="shared" si="14"/>
        <v>100</v>
      </c>
      <c r="X35" s="1800"/>
      <c r="Y35" s="3252"/>
      <c r="Z35" s="1801" t="str">
        <f t="shared" si="15"/>
        <v>建筑结构</v>
      </c>
      <c r="AA35" s="1798">
        <f t="shared" si="3"/>
        <v>1</v>
      </c>
      <c r="AB35" s="1798">
        <f t="shared" si="4"/>
        <v>1</v>
      </c>
      <c r="AC35" s="2652">
        <f t="shared" si="5"/>
        <v>1</v>
      </c>
    </row>
    <row r="36" spans="1:29" ht="15">
      <c r="A36" s="469"/>
      <c r="B36" s="419" t="s">
        <v>2644</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29"/>
      <c r="M36" s="1120"/>
      <c r="N36" s="1120"/>
      <c r="O36" s="1120"/>
      <c r="P36" s="3289"/>
      <c r="Q36" s="1797" t="str">
        <f t="shared" si="11"/>
        <v>公共部分装修</v>
      </c>
      <c r="R36" s="771" t="s">
        <v>17</v>
      </c>
      <c r="S36" s="772">
        <f t="shared" si="12"/>
        <v>100</v>
      </c>
      <c r="T36" s="771" t="s">
        <v>17</v>
      </c>
      <c r="U36" s="772">
        <f t="shared" si="13"/>
        <v>100</v>
      </c>
      <c r="V36" s="771" t="s">
        <v>17</v>
      </c>
      <c r="W36" s="772">
        <f t="shared" si="14"/>
        <v>100</v>
      </c>
      <c r="X36" s="1800"/>
      <c r="Y36" s="3252"/>
      <c r="Z36" s="1801" t="str">
        <f t="shared" si="15"/>
        <v>公共部分装修</v>
      </c>
      <c r="AA36" s="1798">
        <f t="shared" si="3"/>
        <v>1</v>
      </c>
      <c r="AB36" s="1798">
        <f t="shared" si="4"/>
        <v>1</v>
      </c>
      <c r="AC36" s="2652">
        <f t="shared" si="5"/>
        <v>1</v>
      </c>
    </row>
    <row r="37" spans="1:29" ht="15">
      <c r="A37" s="469"/>
      <c r="B37" s="419" t="s">
        <v>2645</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29"/>
      <c r="M37" s="1120"/>
      <c r="N37" s="1120"/>
      <c r="O37" s="1120"/>
      <c r="P37" s="3289"/>
      <c r="Q37" s="1797" t="str">
        <f t="shared" si="11"/>
        <v>成新度</v>
      </c>
      <c r="R37" s="771" t="s">
        <v>17</v>
      </c>
      <c r="S37" s="772" t="e">
        <f t="shared" si="12"/>
        <v>#N/A</v>
      </c>
      <c r="T37" s="771" t="s">
        <v>17</v>
      </c>
      <c r="U37" s="772" t="e">
        <f t="shared" si="13"/>
        <v>#N/A</v>
      </c>
      <c r="V37" s="771" t="s">
        <v>17</v>
      </c>
      <c r="W37" s="772" t="e">
        <f t="shared" si="14"/>
        <v>#N/A</v>
      </c>
      <c r="X37" s="1800"/>
      <c r="Y37" s="3252"/>
      <c r="Z37" s="1801" t="str">
        <f t="shared" si="15"/>
        <v>成新度</v>
      </c>
      <c r="AA37" s="1798" t="e">
        <f t="shared" si="3"/>
        <v>#N/A</v>
      </c>
      <c r="AB37" s="1798" t="e">
        <f t="shared" si="4"/>
        <v>#N/A</v>
      </c>
      <c r="AC37" s="2652" t="e">
        <f t="shared" si="5"/>
        <v>#N/A</v>
      </c>
    </row>
    <row r="38" spans="1:29" s="115" customFormat="1" ht="15">
      <c r="A38" s="470"/>
      <c r="B38" s="419" t="s">
        <v>2677</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1"/>
      <c r="M38" s="1122"/>
      <c r="N38" s="1122"/>
      <c r="O38" s="1122"/>
      <c r="P38" s="3289"/>
      <c r="Q38" s="1782" t="str">
        <f t="shared" si="11"/>
        <v>写字楼等级</v>
      </c>
      <c r="R38" s="767" t="s">
        <v>17</v>
      </c>
      <c r="S38" s="768">
        <f t="shared" si="12"/>
        <v>100</v>
      </c>
      <c r="T38" s="767" t="s">
        <v>17</v>
      </c>
      <c r="U38" s="768">
        <f t="shared" si="13"/>
        <v>100</v>
      </c>
      <c r="V38" s="767" t="s">
        <v>17</v>
      </c>
      <c r="W38" s="768">
        <f t="shared" si="14"/>
        <v>100</v>
      </c>
      <c r="X38" s="769"/>
      <c r="Y38" s="3252"/>
      <c r="Z38" s="54" t="str">
        <f t="shared" si="15"/>
        <v>写字楼等级</v>
      </c>
      <c r="AA38" s="770">
        <f t="shared" si="3"/>
        <v>1</v>
      </c>
      <c r="AB38" s="770">
        <f t="shared" si="4"/>
        <v>1</v>
      </c>
      <c r="AC38" s="2649">
        <f t="shared" si="5"/>
        <v>1</v>
      </c>
    </row>
    <row r="39" spans="1:29" ht="15">
      <c r="A39" s="469"/>
      <c r="B39" s="419" t="s">
        <v>2678</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29"/>
      <c r="M39" s="1120"/>
      <c r="N39" s="1120"/>
      <c r="O39" s="1120"/>
      <c r="P39" s="3289" t="s">
        <v>2548</v>
      </c>
      <c r="Q39" s="1797" t="str">
        <f t="shared" si="11"/>
        <v>物业管理</v>
      </c>
      <c r="R39" s="771" t="s">
        <v>17</v>
      </c>
      <c r="S39" s="772">
        <f t="shared" si="12"/>
        <v>100</v>
      </c>
      <c r="T39" s="771" t="s">
        <v>17</v>
      </c>
      <c r="U39" s="772">
        <f t="shared" si="13"/>
        <v>100</v>
      </c>
      <c r="V39" s="771" t="s">
        <v>17</v>
      </c>
      <c r="W39" s="772">
        <f t="shared" si="14"/>
        <v>100</v>
      </c>
      <c r="X39" s="1800"/>
      <c r="Y39" s="3252" t="s">
        <v>2548</v>
      </c>
      <c r="Z39" s="1801" t="str">
        <f t="shared" si="15"/>
        <v>物业管理</v>
      </c>
      <c r="AA39" s="1798">
        <f t="shared" si="3"/>
        <v>1</v>
      </c>
      <c r="AB39" s="1798">
        <f t="shared" si="4"/>
        <v>1</v>
      </c>
      <c r="AC39" s="2652">
        <f t="shared" si="5"/>
        <v>1</v>
      </c>
    </row>
    <row r="40" spans="1:29" ht="15">
      <c r="A40" s="469"/>
      <c r="B40" s="419" t="s">
        <v>2646</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29"/>
      <c r="M40" s="1120"/>
      <c r="N40" s="1120"/>
      <c r="O40" s="1120"/>
      <c r="P40" s="3289"/>
      <c r="Q40" s="1797" t="str">
        <f t="shared" si="11"/>
        <v>市政基础设施</v>
      </c>
      <c r="R40" s="771" t="s">
        <v>17</v>
      </c>
      <c r="S40" s="772">
        <f t="shared" si="12"/>
        <v>100</v>
      </c>
      <c r="T40" s="771" t="s">
        <v>17</v>
      </c>
      <c r="U40" s="772">
        <f t="shared" si="13"/>
        <v>100</v>
      </c>
      <c r="V40" s="771" t="s">
        <v>17</v>
      </c>
      <c r="W40" s="772">
        <f t="shared" si="14"/>
        <v>100</v>
      </c>
      <c r="X40" s="1800"/>
      <c r="Y40" s="3252"/>
      <c r="Z40" s="1801" t="str">
        <f t="shared" si="15"/>
        <v>市政基础设施</v>
      </c>
      <c r="AA40" s="1798">
        <f t="shared" si="3"/>
        <v>1</v>
      </c>
      <c r="AB40" s="1798">
        <f t="shared" si="4"/>
        <v>1</v>
      </c>
      <c r="AC40" s="2652">
        <f t="shared" si="5"/>
        <v>1</v>
      </c>
    </row>
    <row r="41" spans="1:29" ht="15">
      <c r="A41" s="469"/>
      <c r="B41" s="419" t="s">
        <v>2648</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29"/>
      <c r="M41" s="1120"/>
      <c r="N41" s="1120"/>
      <c r="O41" s="1120"/>
      <c r="P41" s="3289"/>
      <c r="Q41" s="1797" t="str">
        <f t="shared" si="11"/>
        <v>层高</v>
      </c>
      <c r="R41" s="771" t="s">
        <v>17</v>
      </c>
      <c r="S41" s="772">
        <f t="shared" si="12"/>
        <v>100</v>
      </c>
      <c r="T41" s="771" t="s">
        <v>17</v>
      </c>
      <c r="U41" s="772">
        <f t="shared" si="13"/>
        <v>100</v>
      </c>
      <c r="V41" s="771" t="s">
        <v>17</v>
      </c>
      <c r="W41" s="772">
        <f t="shared" si="14"/>
        <v>100</v>
      </c>
      <c r="X41" s="1800"/>
      <c r="Y41" s="3252"/>
      <c r="Z41" s="1801" t="str">
        <f t="shared" si="15"/>
        <v>层高</v>
      </c>
      <c r="AA41" s="1798">
        <f t="shared" si="3"/>
        <v>1</v>
      </c>
      <c r="AB41" s="1798">
        <f t="shared" si="4"/>
        <v>1</v>
      </c>
      <c r="AC41" s="2652">
        <f t="shared" si="5"/>
        <v>1</v>
      </c>
    </row>
    <row r="42" spans="1:29" s="468" customFormat="1" ht="15">
      <c r="A42" s="465"/>
      <c r="B42" s="1799" t="s">
        <v>2679</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7"/>
      <c r="M42" s="1130"/>
      <c r="N42" s="1130"/>
      <c r="O42" s="1130"/>
      <c r="P42" s="3289"/>
      <c r="Q42" s="773" t="str">
        <f t="shared" si="11"/>
        <v>单套建筑面积</v>
      </c>
      <c r="R42" s="774" t="s">
        <v>17</v>
      </c>
      <c r="S42" s="775">
        <f t="shared" si="12"/>
        <v>100</v>
      </c>
      <c r="T42" s="774" t="s">
        <v>17</v>
      </c>
      <c r="U42" s="775">
        <f t="shared" si="13"/>
        <v>100</v>
      </c>
      <c r="V42" s="774" t="s">
        <v>17</v>
      </c>
      <c r="W42" s="775">
        <f t="shared" si="14"/>
        <v>100</v>
      </c>
      <c r="X42" s="776"/>
      <c r="Y42" s="3252"/>
      <c r="Z42" s="777" t="str">
        <f t="shared" si="15"/>
        <v>单套建筑面积</v>
      </c>
      <c r="AA42" s="1798">
        <f t="shared" si="3"/>
        <v>1</v>
      </c>
      <c r="AB42" s="1798">
        <f t="shared" si="4"/>
        <v>1</v>
      </c>
      <c r="AC42" s="2652">
        <f t="shared" si="5"/>
        <v>1</v>
      </c>
    </row>
    <row r="43" spans="1:29" ht="15">
      <c r="A43" s="469"/>
      <c r="B43" s="419" t="s">
        <v>2651</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29"/>
      <c r="M43" s="1120"/>
      <c r="N43" s="1120"/>
      <c r="O43" s="1120"/>
      <c r="P43" s="3289"/>
      <c r="Q43" s="1797" t="str">
        <f t="shared" si="11"/>
        <v>内部装修</v>
      </c>
      <c r="R43" s="771" t="s">
        <v>17</v>
      </c>
      <c r="S43" s="772">
        <f t="shared" si="12"/>
        <v>100</v>
      </c>
      <c r="T43" s="771" t="s">
        <v>17</v>
      </c>
      <c r="U43" s="772">
        <f t="shared" si="13"/>
        <v>100</v>
      </c>
      <c r="V43" s="771" t="s">
        <v>17</v>
      </c>
      <c r="W43" s="772">
        <f t="shared" si="14"/>
        <v>100</v>
      </c>
      <c r="X43" s="1800"/>
      <c r="Y43" s="3252"/>
      <c r="Z43" s="1801" t="str">
        <f t="shared" si="15"/>
        <v>内部装修</v>
      </c>
      <c r="AA43" s="1798">
        <f t="shared" si="3"/>
        <v>1</v>
      </c>
      <c r="AB43" s="1798">
        <f t="shared" si="4"/>
        <v>1</v>
      </c>
      <c r="AC43" s="2652">
        <f t="shared" si="5"/>
        <v>1</v>
      </c>
    </row>
    <row r="44" spans="1:29" ht="15">
      <c r="A44" s="469"/>
      <c r="B44" s="419" t="s">
        <v>2559</v>
      </c>
      <c r="C44" s="457"/>
      <c r="D44" s="432">
        <v>100</v>
      </c>
      <c r="E44" s="2593"/>
      <c r="F44" s="458">
        <f>SUMIF(125:125,E44,126:126)-SUMIF(125:125,C44,126:126)+100</f>
        <v>100</v>
      </c>
      <c r="G44" s="2593"/>
      <c r="H44" s="432">
        <f>SUMIF(125:125,G44,126:126)-SUMIF(125:125,C44,126:126)+100</f>
        <v>100</v>
      </c>
      <c r="I44" s="2593"/>
      <c r="J44" s="432">
        <f>SUMIF(125:125,I44,126:126)-SUMIF(125:125,C44,126:126)+100</f>
        <v>100</v>
      </c>
      <c r="K44" s="609"/>
      <c r="L44" s="1129"/>
      <c r="M44" s="1120"/>
      <c r="N44" s="1120"/>
      <c r="O44" s="1120"/>
      <c r="P44" s="3289"/>
      <c r="Q44" s="1797" t="str">
        <f t="shared" si="11"/>
        <v>内部装修维护情况</v>
      </c>
      <c r="R44" s="771" t="s">
        <v>17</v>
      </c>
      <c r="S44" s="772">
        <f t="shared" si="12"/>
        <v>100</v>
      </c>
      <c r="T44" s="771" t="s">
        <v>17</v>
      </c>
      <c r="U44" s="772">
        <f t="shared" si="13"/>
        <v>100</v>
      </c>
      <c r="V44" s="771" t="s">
        <v>17</v>
      </c>
      <c r="W44" s="772">
        <f t="shared" si="14"/>
        <v>100</v>
      </c>
      <c r="X44" s="1800"/>
      <c r="Y44" s="3252"/>
      <c r="Z44" s="1801" t="str">
        <f t="shared" si="15"/>
        <v>内部装修维护情况</v>
      </c>
      <c r="AA44" s="1798">
        <f t="shared" si="3"/>
        <v>1</v>
      </c>
      <c r="AB44" s="1798">
        <f t="shared" si="4"/>
        <v>1</v>
      </c>
      <c r="AC44" s="2652">
        <f t="shared" si="5"/>
        <v>1</v>
      </c>
    </row>
    <row r="45" spans="1:29" s="115" customFormat="1" ht="15">
      <c r="A45" s="470"/>
      <c r="B45" s="1375">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1"/>
      <c r="M45" s="1122"/>
      <c r="N45" s="1122"/>
      <c r="O45" s="1122"/>
      <c r="P45" s="3289"/>
      <c r="Q45" s="1782">
        <f t="shared" si="11"/>
        <v>111</v>
      </c>
      <c r="R45" s="767" t="s">
        <v>17</v>
      </c>
      <c r="S45" s="768">
        <f t="shared" si="12"/>
        <v>100</v>
      </c>
      <c r="T45" s="767" t="s">
        <v>17</v>
      </c>
      <c r="U45" s="768">
        <f t="shared" si="13"/>
        <v>100</v>
      </c>
      <c r="V45" s="767" t="s">
        <v>17</v>
      </c>
      <c r="W45" s="768">
        <f t="shared" si="14"/>
        <v>100</v>
      </c>
      <c r="X45" s="769"/>
      <c r="Y45" s="3252"/>
      <c r="Z45" s="54">
        <f t="shared" si="15"/>
        <v>111</v>
      </c>
      <c r="AA45" s="770">
        <f t="shared" si="3"/>
        <v>1</v>
      </c>
      <c r="AB45" s="770">
        <f t="shared" si="4"/>
        <v>1</v>
      </c>
      <c r="AC45" s="2649">
        <f t="shared" si="5"/>
        <v>1</v>
      </c>
    </row>
    <row r="46" spans="1:29" ht="15">
      <c r="A46" s="469"/>
      <c r="B46" s="1375">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29"/>
      <c r="M46" s="1120"/>
      <c r="N46" s="1120"/>
      <c r="O46" s="1120"/>
      <c r="P46" s="3289"/>
      <c r="Q46" s="1797">
        <f t="shared" si="11"/>
        <v>111</v>
      </c>
      <c r="R46" s="771" t="s">
        <v>17</v>
      </c>
      <c r="S46" s="772">
        <f t="shared" si="12"/>
        <v>100</v>
      </c>
      <c r="T46" s="771" t="s">
        <v>17</v>
      </c>
      <c r="U46" s="772">
        <f t="shared" si="13"/>
        <v>100</v>
      </c>
      <c r="V46" s="771" t="s">
        <v>17</v>
      </c>
      <c r="W46" s="772">
        <f t="shared" si="14"/>
        <v>100</v>
      </c>
      <c r="X46" s="1800"/>
      <c r="Y46" s="3252"/>
      <c r="Z46" s="1801">
        <f t="shared" si="15"/>
        <v>111</v>
      </c>
      <c r="AA46" s="1798">
        <f t="shared" si="3"/>
        <v>1</v>
      </c>
      <c r="AB46" s="1798">
        <f t="shared" si="4"/>
        <v>1</v>
      </c>
      <c r="AC46" s="2652">
        <f t="shared" si="5"/>
        <v>1</v>
      </c>
    </row>
    <row r="47" spans="1:29" ht="15.75" thickBot="1">
      <c r="A47" s="475"/>
      <c r="B47" s="258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29"/>
      <c r="M47" s="1120"/>
      <c r="N47" s="1120"/>
      <c r="O47" s="1120"/>
      <c r="P47" s="3290"/>
      <c r="Q47" s="1797">
        <f t="shared" si="11"/>
        <v>111</v>
      </c>
      <c r="R47" s="771" t="s">
        <v>17</v>
      </c>
      <c r="S47" s="772">
        <f t="shared" si="12"/>
        <v>100</v>
      </c>
      <c r="T47" s="771" t="s">
        <v>17</v>
      </c>
      <c r="U47" s="772">
        <f t="shared" si="13"/>
        <v>100</v>
      </c>
      <c r="V47" s="771" t="s">
        <v>17</v>
      </c>
      <c r="W47" s="772">
        <f t="shared" si="14"/>
        <v>100</v>
      </c>
      <c r="X47" s="1800"/>
      <c r="Y47" s="3291"/>
      <c r="Z47" s="1801">
        <f t="shared" si="15"/>
        <v>111</v>
      </c>
      <c r="AA47" s="1798">
        <f t="shared" si="3"/>
        <v>1</v>
      </c>
      <c r="AB47" s="1798">
        <f t="shared" si="4"/>
        <v>1</v>
      </c>
      <c r="AC47" s="2652">
        <f t="shared" si="5"/>
        <v>1</v>
      </c>
    </row>
    <row r="48" spans="1:29" ht="15">
      <c r="A48" s="476" t="s">
        <v>2560</v>
      </c>
      <c r="B48" s="477"/>
      <c r="C48" s="1396" t="s">
        <v>1</v>
      </c>
      <c r="D48" s="1397"/>
      <c r="E48" s="1398"/>
      <c r="F48" s="1399"/>
      <c r="G48" s="1400"/>
      <c r="H48" s="1401"/>
      <c r="I48" s="1398"/>
      <c r="J48" s="482"/>
      <c r="K48" s="780"/>
      <c r="L48" s="1132"/>
      <c r="M48" s="1120"/>
      <c r="N48" s="1120"/>
      <c r="O48" s="1120"/>
      <c r="P48" s="3246" t="str">
        <f>A48</f>
        <v>成交单价（元/平方米）</v>
      </c>
      <c r="Q48" s="3247"/>
      <c r="R48" s="3287">
        <f>E48</f>
        <v>0</v>
      </c>
      <c r="S48" s="3287"/>
      <c r="T48" s="3287">
        <f>G48</f>
        <v>0</v>
      </c>
      <c r="U48" s="3287"/>
      <c r="V48" s="3287">
        <f>I48</f>
        <v>0</v>
      </c>
      <c r="W48" s="3287"/>
      <c r="X48" s="443"/>
      <c r="Y48" s="778"/>
      <c r="Z48" s="443"/>
      <c r="AA48" s="443"/>
      <c r="AB48" s="443"/>
      <c r="AC48" s="627"/>
    </row>
    <row r="49" spans="1:29" ht="15.75" thickBot="1">
      <c r="A49" s="483" t="s">
        <v>2652</v>
      </c>
      <c r="B49" s="484"/>
      <c r="C49" s="1402" t="e">
        <f>R50</f>
        <v>#DIV/0!</v>
      </c>
      <c r="D49" s="1403"/>
      <c r="E49" s="1404" t="e">
        <f>R49</f>
        <v>#DIV/0!</v>
      </c>
      <c r="F49" s="1404"/>
      <c r="G49" s="1402" t="e">
        <f>T49</f>
        <v>#DIV/0!</v>
      </c>
      <c r="H49" s="1403"/>
      <c r="I49" s="1404" t="e">
        <f>V49</f>
        <v>#DIV/0!</v>
      </c>
      <c r="J49" s="486"/>
      <c r="K49" s="781"/>
      <c r="L49" s="1132"/>
      <c r="M49" s="1120"/>
      <c r="N49" s="1120"/>
      <c r="O49" s="1120"/>
      <c r="P49" s="3246" t="str">
        <f>A49</f>
        <v>比较价值（元/平方米）</v>
      </c>
      <c r="Q49" s="3247"/>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43"/>
      <c r="Y49" s="443"/>
      <c r="Z49" s="443"/>
      <c r="AA49" s="443"/>
      <c r="AB49" s="443"/>
      <c r="AC49" s="627"/>
    </row>
    <row r="50" spans="1:29" ht="15.75" thickBot="1">
      <c r="A50" s="489" t="s">
        <v>2653</v>
      </c>
      <c r="B50" s="490"/>
      <c r="C50" s="1406" t="e">
        <f>R50</f>
        <v>#DIV/0!</v>
      </c>
      <c r="D50" s="1406"/>
      <c r="E50" s="1406"/>
      <c r="F50" s="1406"/>
      <c r="G50" s="1406"/>
      <c r="H50" s="1406"/>
      <c r="I50" s="1406"/>
      <c r="J50" s="491"/>
      <c r="K50" s="782"/>
      <c r="L50" s="1132"/>
      <c r="M50" s="1120"/>
      <c r="N50" s="1120"/>
      <c r="O50" s="1120"/>
      <c r="P50" s="3323" t="str">
        <f>A50</f>
        <v>估价对象XX用房的比较价值（楼面单价，元/平方米）</v>
      </c>
      <c r="Q50" s="3324"/>
      <c r="R50" s="3325" t="e">
        <f>IF(F1="售价",ROUND(AVERAGE(R49:V49),0),ROUND(AVERAGE(R49:V49),1))</f>
        <v>#DIV/0!</v>
      </c>
      <c r="S50" s="3325"/>
      <c r="T50" s="3325"/>
      <c r="U50" s="3325"/>
      <c r="V50" s="3325"/>
      <c r="W50" s="3325"/>
      <c r="X50" s="2632"/>
      <c r="Y50" s="2632"/>
      <c r="Z50" s="2632"/>
      <c r="AA50" s="2632"/>
      <c r="AB50" s="2632"/>
      <c r="AC50" s="2633"/>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94" t="s">
        <v>2654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4"/>
      <c r="L53" s="1095"/>
      <c r="M53" s="1133"/>
      <c r="N53" s="1133"/>
      <c r="O53" s="1133"/>
    </row>
    <row r="54" spans="1:29" ht="13.5" customHeight="1">
      <c r="A54" s="1133"/>
      <c r="B54" s="1133"/>
      <c r="C54" s="494" t="s">
        <v>2655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4"/>
      <c r="L54" s="1095"/>
      <c r="M54" s="1133"/>
      <c r="N54" s="1133"/>
      <c r="O54" s="1133"/>
    </row>
    <row r="55" spans="1:29" s="499" customFormat="1" ht="13.5" customHeight="1">
      <c r="A55" s="1134"/>
      <c r="B55" s="1134"/>
      <c r="C55" s="494" t="s">
        <v>2656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7"/>
      <c r="L55" s="1138"/>
      <c r="M55" s="1134"/>
      <c r="N55" s="1134"/>
      <c r="O55" s="1134"/>
      <c r="P55" s="2658"/>
    </row>
    <row r="56" spans="1:29" s="499" customFormat="1">
      <c r="A56" s="1134"/>
      <c r="B56" s="1135"/>
      <c r="C56" s="1139"/>
      <c r="D56" s="1134"/>
      <c r="E56" s="1134"/>
      <c r="F56" s="1134"/>
      <c r="G56" s="1134"/>
      <c r="H56" s="1134"/>
      <c r="I56" s="1134"/>
      <c r="J56" s="1134"/>
      <c r="K56" s="1137"/>
      <c r="L56" s="1138"/>
      <c r="M56" s="1134"/>
      <c r="N56" s="1134"/>
      <c r="O56" s="1134"/>
      <c r="P56" s="2658"/>
    </row>
    <row r="57" spans="1:29">
      <c r="A57" s="1133"/>
      <c r="B57" s="1135"/>
      <c r="C57" s="1139"/>
      <c r="D57" s="1133"/>
      <c r="E57" s="1133"/>
      <c r="F57" s="1133"/>
      <c r="G57" s="1133"/>
      <c r="H57" s="1133"/>
      <c r="I57" s="1133"/>
      <c r="J57" s="1133"/>
      <c r="K57" s="1094"/>
      <c r="L57" s="1095"/>
      <c r="M57" s="1133"/>
      <c r="N57" s="1133"/>
      <c r="O57" s="1133"/>
    </row>
    <row r="58" spans="1:29" ht="21.75" thickBot="1">
      <c r="A58" s="760" t="s">
        <v>2657</v>
      </c>
      <c r="B58" s="756"/>
      <c r="C58" s="761"/>
      <c r="D58" s="761"/>
      <c r="E58" s="761"/>
      <c r="F58" s="762"/>
      <c r="G58" s="762"/>
      <c r="H58" s="761"/>
      <c r="I58" s="761"/>
      <c r="J58" s="761"/>
      <c r="K58" s="763"/>
      <c r="L58" s="1150"/>
      <c r="M58" s="1148"/>
      <c r="N58" s="1148"/>
      <c r="O58" s="1148"/>
      <c r="P58" s="2659"/>
      <c r="Q58" s="501"/>
    </row>
    <row r="59" spans="1:29" s="505" customFormat="1" ht="15">
      <c r="A59" s="502" t="s">
        <v>2531</v>
      </c>
      <c r="B59" s="503"/>
      <c r="C59" s="1562" t="str">
        <f>YEAR(C7)&amp;"-"&amp;MONTH(C7)</f>
        <v>2020-5</v>
      </c>
      <c r="D59" s="1563">
        <f>EDATE(C59,-1)</f>
        <v>43922</v>
      </c>
      <c r="E59" s="1563">
        <f>EDATE(D59,-1)</f>
        <v>43891</v>
      </c>
      <c r="F59" s="1563">
        <f t="shared" ref="F59:O59" si="16">EDATE(E59,-1)</f>
        <v>43862</v>
      </c>
      <c r="G59" s="1563">
        <f t="shared" si="16"/>
        <v>43831</v>
      </c>
      <c r="H59" s="1563">
        <f t="shared" si="16"/>
        <v>43800</v>
      </c>
      <c r="I59" s="1563">
        <f t="shared" si="16"/>
        <v>43770</v>
      </c>
      <c r="J59" s="1563">
        <f t="shared" si="16"/>
        <v>43739</v>
      </c>
      <c r="K59" s="1563">
        <f t="shared" si="16"/>
        <v>43709</v>
      </c>
      <c r="L59" s="1563">
        <f t="shared" si="16"/>
        <v>43678</v>
      </c>
      <c r="M59" s="1563">
        <f t="shared" si="16"/>
        <v>43647</v>
      </c>
      <c r="N59" s="1563">
        <f t="shared" si="16"/>
        <v>43617</v>
      </c>
      <c r="O59" s="1563">
        <f t="shared" si="16"/>
        <v>43586</v>
      </c>
      <c r="P59" s="1559"/>
    </row>
    <row r="60" spans="1:29" s="115" customFormat="1" ht="15">
      <c r="A60" s="506"/>
      <c r="B60" s="507"/>
      <c r="C60" s="1561">
        <v>100</v>
      </c>
      <c r="D60" s="509"/>
      <c r="E60" s="509"/>
      <c r="F60" s="509"/>
      <c r="G60" s="509"/>
      <c r="H60" s="509"/>
      <c r="I60" s="509"/>
      <c r="J60" s="509"/>
      <c r="K60" s="509"/>
      <c r="L60" s="509"/>
      <c r="M60" s="510"/>
      <c r="N60" s="509"/>
      <c r="O60" s="510"/>
      <c r="P60" s="2660"/>
    </row>
    <row r="61" spans="1:29" s="115" customFormat="1" ht="15.75" thickBot="1">
      <c r="A61" s="512" t="s">
        <v>2568</v>
      </c>
      <c r="B61" s="513"/>
      <c r="C61" s="514"/>
      <c r="D61" s="515"/>
      <c r="E61" s="515"/>
      <c r="F61" s="515"/>
      <c r="G61" s="515"/>
      <c r="H61" s="515"/>
      <c r="I61" s="515"/>
      <c r="J61" s="515"/>
      <c r="K61" s="515"/>
      <c r="L61" s="515"/>
      <c r="M61" s="516"/>
      <c r="N61" s="515"/>
      <c r="O61" s="516"/>
      <c r="P61" s="2660"/>
      <c r="Q61" s="501"/>
    </row>
    <row r="62" spans="1:29" s="115" customFormat="1" ht="15">
      <c r="A62" s="518" t="s">
        <v>2533</v>
      </c>
      <c r="B62" s="507"/>
      <c r="C62" s="519" t="s">
        <v>2635</v>
      </c>
      <c r="D62" s="520"/>
      <c r="E62" s="520"/>
      <c r="F62" s="520"/>
      <c r="G62" s="520"/>
      <c r="H62" s="520"/>
      <c r="I62" s="520"/>
      <c r="J62" s="520"/>
      <c r="K62" s="520"/>
      <c r="L62" s="521"/>
      <c r="M62" s="522"/>
      <c r="N62" s="1140"/>
      <c r="O62" s="1140"/>
      <c r="P62" s="2661"/>
      <c r="Q62" s="501"/>
    </row>
    <row r="63" spans="1:29" s="115" customFormat="1" ht="15.75" thickBot="1">
      <c r="A63" s="518"/>
      <c r="B63" s="507"/>
      <c r="C63" s="508">
        <v>100</v>
      </c>
      <c r="D63" s="509"/>
      <c r="E63" s="509"/>
      <c r="F63" s="509"/>
      <c r="G63" s="509"/>
      <c r="H63" s="509"/>
      <c r="I63" s="509"/>
      <c r="J63" s="509"/>
      <c r="K63" s="509"/>
      <c r="L63" s="509"/>
      <c r="M63" s="511"/>
      <c r="N63" s="1140"/>
      <c r="O63" s="1140"/>
      <c r="P63" s="2660"/>
      <c r="Q63" s="501"/>
    </row>
    <row r="64" spans="1:29">
      <c r="A64" s="524" t="s">
        <v>2571</v>
      </c>
      <c r="B64" s="525" t="s">
        <v>2537</v>
      </c>
      <c r="C64" s="526">
        <f>C9</f>
        <v>0</v>
      </c>
      <c r="D64" s="527"/>
      <c r="E64" s="527"/>
      <c r="F64" s="527"/>
      <c r="G64" s="527"/>
      <c r="H64" s="527"/>
      <c r="I64" s="527"/>
      <c r="J64" s="527"/>
      <c r="K64" s="528"/>
      <c r="L64" s="529"/>
      <c r="M64" s="530"/>
      <c r="N64" s="1141"/>
      <c r="O64" s="1141"/>
      <c r="P64" s="2662"/>
      <c r="Q64" s="501"/>
    </row>
    <row r="65" spans="1:17" ht="15.75" thickBot="1">
      <c r="A65" s="531"/>
      <c r="B65" s="532"/>
      <c r="C65" s="533">
        <v>100</v>
      </c>
      <c r="D65" s="533"/>
      <c r="E65" s="533"/>
      <c r="F65" s="533"/>
      <c r="G65" s="533"/>
      <c r="H65" s="533"/>
      <c r="I65" s="533"/>
      <c r="J65" s="533"/>
      <c r="K65" s="533"/>
      <c r="L65" s="533"/>
      <c r="M65" s="534"/>
      <c r="N65" s="1142"/>
      <c r="O65" s="1142"/>
      <c r="P65" s="2662"/>
      <c r="Q65" s="501"/>
    </row>
    <row r="66" spans="1:17" ht="27.75" thickTop="1">
      <c r="A66" s="531"/>
      <c r="B66" s="535" t="s">
        <v>2540</v>
      </c>
      <c r="C66" s="536" t="s">
        <v>2572</v>
      </c>
      <c r="D66" s="536" t="s">
        <v>2573</v>
      </c>
      <c r="E66" s="536" t="s">
        <v>2574</v>
      </c>
      <c r="F66" s="536" t="s">
        <v>2575</v>
      </c>
      <c r="G66" s="536" t="s">
        <v>2576</v>
      </c>
      <c r="H66" s="536" t="s">
        <v>2577</v>
      </c>
      <c r="I66" s="536" t="s">
        <v>2578</v>
      </c>
      <c r="J66" s="536"/>
      <c r="K66" s="537"/>
      <c r="L66" s="538"/>
      <c r="M66" s="539"/>
      <c r="N66" s="1141"/>
      <c r="O66" s="1141"/>
      <c r="P66" s="2662"/>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2"/>
      <c r="O67" s="1142"/>
      <c r="P67" s="2662"/>
      <c r="Q67" s="501"/>
    </row>
    <row r="68" spans="1:17" ht="15.75" thickTop="1">
      <c r="A68" s="531"/>
      <c r="B68" s="543" t="s">
        <v>2541</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2"/>
      <c r="O68" s="1142"/>
      <c r="P68" s="2662"/>
      <c r="Q68" s="501"/>
    </row>
    <row r="69" spans="1:17" ht="15">
      <c r="A69" s="531"/>
      <c r="B69" s="545"/>
      <c r="C69" s="546"/>
      <c r="D69" s="546"/>
      <c r="E69" s="546"/>
      <c r="F69" s="546"/>
      <c r="G69" s="546"/>
      <c r="H69" s="546"/>
      <c r="I69" s="546"/>
      <c r="J69" s="546"/>
      <c r="K69" s="547"/>
      <c r="L69" s="548"/>
      <c r="M69" s="549"/>
      <c r="N69" s="1141"/>
      <c r="O69" s="1141"/>
      <c r="P69" s="2662"/>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2"/>
      <c r="O70" s="1142"/>
      <c r="P70" s="2662"/>
      <c r="Q70" s="501"/>
    </row>
    <row r="71" spans="1:17" s="468" customFormat="1" ht="15.75" thickTop="1">
      <c r="A71" s="550"/>
      <c r="B71" s="535">
        <f>B12</f>
        <v>111</v>
      </c>
      <c r="C71" s="551"/>
      <c r="D71" s="551"/>
      <c r="E71" s="551"/>
      <c r="F71" s="551"/>
      <c r="G71" s="551"/>
      <c r="H71" s="552"/>
      <c r="I71" s="552"/>
      <c r="J71" s="552"/>
      <c r="K71" s="552"/>
      <c r="L71" s="553"/>
      <c r="M71" s="554"/>
      <c r="N71" s="1143"/>
      <c r="O71" s="1143"/>
      <c r="P71" s="2663"/>
      <c r="Q71" s="556"/>
    </row>
    <row r="72" spans="1:17" s="468" customFormat="1" ht="15.75" thickBot="1">
      <c r="A72" s="550"/>
      <c r="B72" s="540"/>
      <c r="C72" s="557"/>
      <c r="D72" s="533"/>
      <c r="E72" s="533"/>
      <c r="F72" s="533"/>
      <c r="G72" s="533"/>
      <c r="H72" s="533"/>
      <c r="I72" s="533"/>
      <c r="J72" s="533"/>
      <c r="K72" s="533"/>
      <c r="L72" s="533"/>
      <c r="M72" s="534"/>
      <c r="N72" s="1142"/>
      <c r="O72" s="1142"/>
      <c r="P72" s="2663"/>
      <c r="Q72" s="556"/>
    </row>
    <row r="73" spans="1:17" s="468" customFormat="1" ht="15.75" thickTop="1">
      <c r="A73" s="550"/>
      <c r="B73" s="535">
        <f>B13</f>
        <v>111</v>
      </c>
      <c r="C73" s="551"/>
      <c r="D73" s="551"/>
      <c r="E73" s="551"/>
      <c r="F73" s="551"/>
      <c r="G73" s="551"/>
      <c r="H73" s="552"/>
      <c r="I73" s="552"/>
      <c r="J73" s="552"/>
      <c r="K73" s="552"/>
      <c r="L73" s="553"/>
      <c r="M73" s="554"/>
      <c r="N73" s="1143"/>
      <c r="O73" s="1143"/>
      <c r="P73" s="2664"/>
      <c r="Q73" s="558"/>
    </row>
    <row r="74" spans="1:17" s="468" customFormat="1" ht="15.75" thickBot="1">
      <c r="A74" s="550"/>
      <c r="B74" s="540"/>
      <c r="C74" s="557"/>
      <c r="D74" s="557"/>
      <c r="E74" s="557"/>
      <c r="F74" s="557"/>
      <c r="G74" s="557"/>
      <c r="H74" s="559"/>
      <c r="I74" s="559"/>
      <c r="J74" s="559"/>
      <c r="K74" s="559"/>
      <c r="L74" s="559"/>
      <c r="M74" s="560"/>
      <c r="N74" s="1143"/>
      <c r="O74" s="1143"/>
      <c r="P74" s="2663"/>
      <c r="Q74" s="556"/>
    </row>
    <row r="75" spans="1:17" s="468" customFormat="1" ht="15.75" thickTop="1">
      <c r="A75" s="550"/>
      <c r="B75" s="543">
        <f>B14</f>
        <v>111</v>
      </c>
      <c r="C75" s="520"/>
      <c r="D75" s="520"/>
      <c r="E75" s="520"/>
      <c r="F75" s="520"/>
      <c r="G75" s="520"/>
      <c r="H75" s="561"/>
      <c r="I75" s="561"/>
      <c r="J75" s="561"/>
      <c r="K75" s="561"/>
      <c r="L75" s="562"/>
      <c r="M75" s="563"/>
      <c r="N75" s="1143"/>
      <c r="O75" s="1143"/>
      <c r="P75" s="2665"/>
      <c r="Q75" s="556"/>
    </row>
    <row r="76" spans="1:17" s="468" customFormat="1" ht="15.75" thickBot="1">
      <c r="A76" s="565"/>
      <c r="B76" s="566"/>
      <c r="C76" s="567"/>
      <c r="D76" s="567"/>
      <c r="E76" s="567"/>
      <c r="F76" s="567"/>
      <c r="G76" s="567"/>
      <c r="H76" s="568"/>
      <c r="I76" s="568"/>
      <c r="J76" s="568"/>
      <c r="K76" s="568"/>
      <c r="L76" s="568"/>
      <c r="M76" s="569"/>
      <c r="N76" s="1143"/>
      <c r="O76" s="1143"/>
      <c r="P76" s="2663"/>
      <c r="Q76" s="556"/>
    </row>
    <row r="77" spans="1:17">
      <c r="A77" s="524" t="s">
        <v>2542</v>
      </c>
      <c r="B77" s="525" t="s">
        <v>2680</v>
      </c>
      <c r="C77" s="570" t="s">
        <v>2580</v>
      </c>
      <c r="D77" s="570" t="s">
        <v>2581</v>
      </c>
      <c r="E77" s="570" t="s">
        <v>2582</v>
      </c>
      <c r="F77" s="570" t="s">
        <v>2583</v>
      </c>
      <c r="G77" s="570" t="s">
        <v>2584</v>
      </c>
      <c r="H77" s="526"/>
      <c r="I77" s="526"/>
      <c r="J77" s="526"/>
      <c r="K77" s="571"/>
      <c r="L77" s="572"/>
      <c r="M77" s="573"/>
      <c r="N77" s="1141"/>
      <c r="O77" s="1141"/>
      <c r="P77" s="2666"/>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2"/>
      <c r="O78" s="1142"/>
      <c r="P78" s="2662"/>
      <c r="Q78" s="501"/>
    </row>
    <row r="79" spans="1:17" ht="15.75" thickTop="1">
      <c r="A79" s="531"/>
      <c r="B79" s="535" t="s">
        <v>2585</v>
      </c>
      <c r="C79" s="575" t="s">
        <v>2580</v>
      </c>
      <c r="D79" s="575" t="s">
        <v>2581</v>
      </c>
      <c r="E79" s="575" t="s">
        <v>2582</v>
      </c>
      <c r="F79" s="575" t="s">
        <v>2583</v>
      </c>
      <c r="G79" s="575" t="s">
        <v>2584</v>
      </c>
      <c r="H79" s="536"/>
      <c r="I79" s="536"/>
      <c r="J79" s="536"/>
      <c r="K79" s="537"/>
      <c r="L79" s="538"/>
      <c r="M79" s="539"/>
      <c r="N79" s="1141"/>
      <c r="O79" s="1141"/>
      <c r="P79" s="2662"/>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2"/>
      <c r="O80" s="1142"/>
      <c r="P80" s="2662"/>
      <c r="Q80" s="501"/>
    </row>
    <row r="81" spans="1:17" ht="15.75" thickTop="1">
      <c r="A81" s="531"/>
      <c r="B81" s="535" t="s">
        <v>2586</v>
      </c>
      <c r="C81" s="575" t="s">
        <v>2580</v>
      </c>
      <c r="D81" s="575" t="s">
        <v>2581</v>
      </c>
      <c r="E81" s="575" t="s">
        <v>2582</v>
      </c>
      <c r="F81" s="575" t="s">
        <v>2583</v>
      </c>
      <c r="G81" s="575" t="s">
        <v>2584</v>
      </c>
      <c r="H81" s="536"/>
      <c r="I81" s="536"/>
      <c r="J81" s="536"/>
      <c r="K81" s="537"/>
      <c r="L81" s="538"/>
      <c r="M81" s="539"/>
      <c r="N81" s="1141"/>
      <c r="O81" s="1141"/>
      <c r="P81" s="2662"/>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2"/>
      <c r="O82" s="1142"/>
      <c r="P82" s="2662"/>
      <c r="Q82" s="501"/>
    </row>
    <row r="83" spans="1:17" ht="15.75" thickTop="1">
      <c r="A83" s="531"/>
      <c r="B83" s="543" t="s">
        <v>2672</v>
      </c>
      <c r="C83" s="657" t="s">
        <v>2658</v>
      </c>
      <c r="D83" s="657" t="s">
        <v>2659</v>
      </c>
      <c r="E83" s="657" t="s">
        <v>2660</v>
      </c>
      <c r="F83" s="657" t="s">
        <v>2661</v>
      </c>
      <c r="G83" s="657" t="s">
        <v>2662</v>
      </c>
      <c r="H83" s="536"/>
      <c r="I83" s="536"/>
      <c r="J83" s="536"/>
      <c r="K83" s="536"/>
      <c r="L83" s="536"/>
      <c r="M83" s="1371"/>
      <c r="N83" s="1142"/>
      <c r="O83" s="1142"/>
      <c r="P83" s="2662"/>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2"/>
      <c r="O84" s="1142"/>
      <c r="P84" s="2662"/>
      <c r="Q84" s="501"/>
    </row>
    <row r="85" spans="1:17" ht="15.75" thickTop="1">
      <c r="A85" s="531"/>
      <c r="B85" s="535" t="s">
        <v>2681</v>
      </c>
      <c r="C85" s="575" t="s">
        <v>2580</v>
      </c>
      <c r="D85" s="575" t="s">
        <v>2581</v>
      </c>
      <c r="E85" s="575" t="s">
        <v>2582</v>
      </c>
      <c r="F85" s="575" t="s">
        <v>2583</v>
      </c>
      <c r="G85" s="575" t="s">
        <v>2584</v>
      </c>
      <c r="H85" s="536"/>
      <c r="I85" s="536"/>
      <c r="J85" s="536"/>
      <c r="K85" s="537"/>
      <c r="L85" s="538"/>
      <c r="M85" s="539"/>
      <c r="N85" s="1141"/>
      <c r="O85" s="1141"/>
      <c r="P85" s="2662"/>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2"/>
      <c r="O86" s="1142"/>
      <c r="P86" s="2662"/>
      <c r="Q86" s="501"/>
    </row>
    <row r="87" spans="1:17" s="115" customFormat="1" ht="27.75" thickTop="1">
      <c r="A87" s="576"/>
      <c r="B87" s="535" t="s">
        <v>2682</v>
      </c>
      <c r="C87" s="551"/>
      <c r="D87" s="551"/>
      <c r="E87" s="551"/>
      <c r="F87" s="551"/>
      <c r="G87" s="551"/>
      <c r="H87" s="551"/>
      <c r="I87" s="551"/>
      <c r="J87" s="551"/>
      <c r="K87" s="551"/>
      <c r="L87" s="577"/>
      <c r="M87" s="578"/>
      <c r="N87" s="1140"/>
      <c r="O87" s="1140"/>
      <c r="P87" s="2662"/>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2"/>
      <c r="O88" s="1142"/>
      <c r="P88" s="2662"/>
      <c r="Q88" s="501"/>
    </row>
    <row r="89" spans="1:17" s="115" customFormat="1" ht="15.75" thickTop="1">
      <c r="A89" s="576"/>
      <c r="B89" s="535" t="str">
        <f>B27</f>
        <v>楼层</v>
      </c>
      <c r="C89" s="551"/>
      <c r="D89" s="551"/>
      <c r="E89" s="551"/>
      <c r="F89" s="2613"/>
      <c r="G89" s="551"/>
      <c r="H89" s="551"/>
      <c r="I89" s="551"/>
      <c r="J89" s="551"/>
      <c r="K89" s="551"/>
      <c r="L89" s="551"/>
      <c r="M89" s="578"/>
      <c r="N89" s="1140"/>
      <c r="O89" s="1140"/>
      <c r="P89" s="2662"/>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2"/>
      <c r="O90" s="1142"/>
      <c r="P90" s="2662"/>
      <c r="Q90" s="501"/>
    </row>
    <row r="91" spans="1:17" s="468" customFormat="1" ht="15.75" thickTop="1">
      <c r="A91" s="550"/>
      <c r="B91" s="535" t="str">
        <f>B28</f>
        <v>朝向</v>
      </c>
      <c r="C91" s="551"/>
      <c r="D91" s="551"/>
      <c r="E91" s="551"/>
      <c r="F91" s="551"/>
      <c r="G91" s="551"/>
      <c r="H91" s="552"/>
      <c r="I91" s="552"/>
      <c r="J91" s="552"/>
      <c r="K91" s="552"/>
      <c r="L91" s="553"/>
      <c r="M91" s="554"/>
      <c r="N91" s="1143"/>
      <c r="O91" s="1143"/>
      <c r="P91" s="2663"/>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3"/>
      <c r="O92" s="1143"/>
      <c r="P92" s="2663"/>
      <c r="Q92" s="556"/>
    </row>
    <row r="93" spans="1:17" ht="15.75" thickTop="1">
      <c r="A93" s="531"/>
      <c r="B93" s="535">
        <f>B29</f>
        <v>111</v>
      </c>
      <c r="C93" s="551"/>
      <c r="D93" s="551"/>
      <c r="E93" s="551"/>
      <c r="F93" s="551"/>
      <c r="G93" s="551"/>
      <c r="H93" s="551"/>
      <c r="I93" s="551"/>
      <c r="J93" s="551"/>
      <c r="K93" s="551"/>
      <c r="L93" s="577"/>
      <c r="M93" s="578"/>
      <c r="N93" s="1141"/>
      <c r="O93" s="1141"/>
      <c r="P93" s="2662"/>
      <c r="Q93" s="501"/>
    </row>
    <row r="94" spans="1:17" ht="15.75" thickBot="1">
      <c r="A94" s="531"/>
      <c r="B94" s="540"/>
      <c r="C94" s="557"/>
      <c r="D94" s="533"/>
      <c r="E94" s="533"/>
      <c r="F94" s="533"/>
      <c r="G94" s="533"/>
      <c r="H94" s="533"/>
      <c r="I94" s="533"/>
      <c r="J94" s="533"/>
      <c r="K94" s="533"/>
      <c r="L94" s="533"/>
      <c r="M94" s="534"/>
      <c r="N94" s="1142"/>
      <c r="O94" s="1142"/>
      <c r="P94" s="2662"/>
      <c r="Q94" s="501"/>
    </row>
    <row r="95" spans="1:17" ht="15.75" thickTop="1">
      <c r="A95" s="531"/>
      <c r="B95" s="535">
        <f>B30</f>
        <v>111</v>
      </c>
      <c r="C95" s="551"/>
      <c r="D95" s="551"/>
      <c r="E95" s="551"/>
      <c r="F95" s="551"/>
      <c r="G95" s="580"/>
      <c r="H95" s="580"/>
      <c r="I95" s="580"/>
      <c r="J95" s="580"/>
      <c r="K95" s="581"/>
      <c r="L95" s="582"/>
      <c r="M95" s="583"/>
      <c r="N95" s="1141"/>
      <c r="O95" s="1141"/>
      <c r="P95" s="2662"/>
      <c r="Q95" s="501"/>
    </row>
    <row r="96" spans="1:17" ht="15.75" thickBot="1">
      <c r="A96" s="531"/>
      <c r="B96" s="540"/>
      <c r="C96" s="557"/>
      <c r="D96" s="557"/>
      <c r="E96" s="557"/>
      <c r="F96" s="557"/>
      <c r="G96" s="533"/>
      <c r="H96" s="533"/>
      <c r="I96" s="533"/>
      <c r="J96" s="533"/>
      <c r="K96" s="533"/>
      <c r="L96" s="533"/>
      <c r="M96" s="534"/>
      <c r="N96" s="1142"/>
      <c r="O96" s="1142"/>
      <c r="P96" s="2662"/>
      <c r="Q96" s="501"/>
    </row>
    <row r="97" spans="1:17" ht="15.75" thickTop="1">
      <c r="A97" s="531"/>
      <c r="B97" s="535">
        <f>B31</f>
        <v>111</v>
      </c>
      <c r="C97" s="551"/>
      <c r="D97" s="551"/>
      <c r="E97" s="551"/>
      <c r="F97" s="551"/>
      <c r="G97" s="580"/>
      <c r="H97" s="580"/>
      <c r="I97" s="580"/>
      <c r="J97" s="580"/>
      <c r="K97" s="581"/>
      <c r="L97" s="582"/>
      <c r="M97" s="583"/>
      <c r="N97" s="1141"/>
      <c r="O97" s="1141"/>
      <c r="P97" s="2662"/>
      <c r="Q97" s="501"/>
    </row>
    <row r="98" spans="1:17" ht="15.75" thickBot="1">
      <c r="A98" s="531"/>
      <c r="B98" s="540"/>
      <c r="C98" s="557"/>
      <c r="D98" s="533"/>
      <c r="E98" s="533"/>
      <c r="F98" s="533"/>
      <c r="G98" s="533"/>
      <c r="H98" s="533"/>
      <c r="I98" s="533"/>
      <c r="J98" s="533"/>
      <c r="K98" s="533"/>
      <c r="L98" s="533"/>
      <c r="M98" s="534"/>
      <c r="N98" s="1142"/>
      <c r="O98" s="1142"/>
      <c r="P98" s="2662"/>
      <c r="Q98" s="501"/>
    </row>
    <row r="99" spans="1:17" ht="15.75" thickTop="1">
      <c r="A99" s="531"/>
      <c r="B99" s="543">
        <f>B32</f>
        <v>111</v>
      </c>
      <c r="C99" s="520"/>
      <c r="D99" s="520"/>
      <c r="E99" s="520"/>
      <c r="F99" s="520"/>
      <c r="G99" s="584"/>
      <c r="H99" s="584"/>
      <c r="I99" s="584"/>
      <c r="J99" s="584"/>
      <c r="K99" s="585"/>
      <c r="L99" s="586"/>
      <c r="M99" s="587"/>
      <c r="N99" s="1141"/>
      <c r="O99" s="1141"/>
      <c r="P99" s="2662"/>
      <c r="Q99" s="501"/>
    </row>
    <row r="100" spans="1:17" ht="15.75" thickBot="1">
      <c r="A100" s="2614"/>
      <c r="B100" s="566"/>
      <c r="C100" s="567"/>
      <c r="D100" s="567"/>
      <c r="E100" s="567"/>
      <c r="F100" s="567"/>
      <c r="G100" s="588"/>
      <c r="H100" s="588"/>
      <c r="I100" s="588"/>
      <c r="J100" s="588"/>
      <c r="K100" s="588"/>
      <c r="L100" s="588"/>
      <c r="M100" s="589"/>
      <c r="N100" s="1142"/>
      <c r="O100" s="1142"/>
      <c r="P100" s="2662"/>
      <c r="Q100" s="501"/>
    </row>
    <row r="101" spans="1:17">
      <c r="A101" s="524" t="s">
        <v>2546</v>
      </c>
      <c r="B101" s="525" t="s">
        <v>2595</v>
      </c>
      <c r="C101" s="527"/>
      <c r="D101" s="527"/>
      <c r="E101" s="527"/>
      <c r="F101" s="527"/>
      <c r="G101" s="527"/>
      <c r="H101" s="527"/>
      <c r="I101" s="527"/>
      <c r="J101" s="527"/>
      <c r="K101" s="528"/>
      <c r="L101" s="529"/>
      <c r="M101" s="530"/>
      <c r="N101" s="1141"/>
      <c r="O101" s="1141"/>
      <c r="P101" s="2662"/>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2"/>
      <c r="O102" s="1142"/>
      <c r="P102" s="2662"/>
      <c r="Q102" s="501"/>
    </row>
    <row r="103" spans="1:17" ht="15.75" thickTop="1">
      <c r="A103" s="531"/>
      <c r="B103" s="535" t="s">
        <v>2596</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0"/>
      <c r="O103" s="1140"/>
      <c r="P103" s="2662"/>
      <c r="Q103" s="501"/>
    </row>
    <row r="104" spans="1:17" s="468" customFormat="1">
      <c r="A104" s="590"/>
      <c r="B104" s="591"/>
      <c r="C104" s="592"/>
      <c r="D104" s="592"/>
      <c r="E104" s="592"/>
      <c r="F104" s="592"/>
      <c r="G104" s="592"/>
      <c r="H104" s="592"/>
      <c r="I104" s="592"/>
      <c r="J104" s="593"/>
      <c r="K104" s="593"/>
      <c r="L104" s="594"/>
      <c r="M104" s="595"/>
      <c r="N104" s="1143"/>
      <c r="O104" s="1143"/>
      <c r="P104" s="2663"/>
      <c r="Q104" s="556"/>
    </row>
    <row r="105" spans="1:17" s="468" customFormat="1" ht="15.75" thickBot="1">
      <c r="A105" s="550"/>
      <c r="B105" s="540"/>
      <c r="C105" s="557"/>
      <c r="D105" s="533"/>
      <c r="E105" s="533"/>
      <c r="F105" s="533"/>
      <c r="G105" s="533"/>
      <c r="H105" s="533"/>
      <c r="I105" s="533"/>
      <c r="J105" s="533"/>
      <c r="K105" s="533"/>
      <c r="L105" s="533"/>
      <c r="M105" s="534"/>
      <c r="N105" s="1142"/>
      <c r="O105" s="1142"/>
      <c r="P105" s="2663"/>
      <c r="Q105" s="556"/>
    </row>
    <row r="106" spans="1:17" ht="15" thickTop="1">
      <c r="A106" s="596"/>
      <c r="B106" s="535" t="s">
        <v>2597</v>
      </c>
      <c r="C106" s="551"/>
      <c r="D106" s="551"/>
      <c r="E106" s="580"/>
      <c r="F106" s="580"/>
      <c r="G106" s="580"/>
      <c r="H106" s="580"/>
      <c r="I106" s="580"/>
      <c r="J106" s="580"/>
      <c r="K106" s="581"/>
      <c r="L106" s="582"/>
      <c r="M106" s="583"/>
      <c r="N106" s="1141"/>
      <c r="O106" s="1141"/>
      <c r="P106" s="2662"/>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2"/>
      <c r="O107" s="1142"/>
      <c r="P107" s="2662"/>
      <c r="Q107" s="501"/>
    </row>
    <row r="108" spans="1:17" ht="15" thickTop="1">
      <c r="A108" s="596"/>
      <c r="B108" s="535" t="s">
        <v>2599</v>
      </c>
      <c r="C108" s="551"/>
      <c r="D108" s="551"/>
      <c r="E108" s="551"/>
      <c r="F108" s="580"/>
      <c r="G108" s="580"/>
      <c r="H108" s="580"/>
      <c r="I108" s="580"/>
      <c r="J108" s="580"/>
      <c r="K108" s="581"/>
      <c r="L108" s="582"/>
      <c r="M108" s="583"/>
      <c r="N108" s="1141"/>
      <c r="O108" s="1141"/>
      <c r="P108" s="2662"/>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2"/>
      <c r="O109" s="1142"/>
      <c r="P109" s="2662"/>
      <c r="Q109" s="501"/>
    </row>
    <row r="110" spans="1:17" ht="15" thickTop="1">
      <c r="A110" s="596"/>
      <c r="B110" s="535" t="s">
        <v>1987</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1"/>
      <c r="O110" s="1141"/>
      <c r="P110" s="2662"/>
      <c r="Q110" s="501"/>
    </row>
    <row r="111" spans="1:17">
      <c r="A111" s="596"/>
      <c r="B111" s="543"/>
      <c r="C111" s="600">
        <v>0.5</v>
      </c>
      <c r="D111" s="600">
        <v>0.6</v>
      </c>
      <c r="E111" s="600">
        <v>0.7</v>
      </c>
      <c r="F111" s="600">
        <v>0.8</v>
      </c>
      <c r="G111" s="600">
        <v>0.9</v>
      </c>
      <c r="H111" s="600">
        <v>1.0001</v>
      </c>
      <c r="I111" s="620"/>
      <c r="J111" s="620"/>
      <c r="K111" s="621"/>
      <c r="L111" s="622"/>
      <c r="M111" s="623"/>
      <c r="N111" s="1141"/>
      <c r="O111" s="1141"/>
      <c r="P111" s="2662"/>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2"/>
      <c r="O112" s="1142"/>
      <c r="P112" s="2662"/>
      <c r="Q112" s="501"/>
    </row>
    <row r="113" spans="1:17" s="468" customFormat="1" ht="15" thickTop="1">
      <c r="A113" s="590"/>
      <c r="B113" s="535" t="s">
        <v>2683</v>
      </c>
      <c r="C113" s="551"/>
      <c r="D113" s="551"/>
      <c r="E113" s="551"/>
      <c r="F113" s="551"/>
      <c r="G113" s="551"/>
      <c r="H113" s="580"/>
      <c r="I113" s="580"/>
      <c r="J113" s="580"/>
      <c r="K113" s="581"/>
      <c r="L113" s="582"/>
      <c r="M113" s="583"/>
      <c r="N113" s="1143"/>
      <c r="O113" s="1143"/>
      <c r="P113" s="2663"/>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3"/>
      <c r="O114" s="1143"/>
      <c r="P114" s="2663"/>
      <c r="Q114" s="556"/>
    </row>
    <row r="115" spans="1:17" ht="15" thickTop="1">
      <c r="A115" s="596"/>
      <c r="B115" s="535" t="s">
        <v>2600</v>
      </c>
      <c r="C115" s="551"/>
      <c r="D115" s="551"/>
      <c r="E115" s="580"/>
      <c r="F115" s="580"/>
      <c r="G115" s="580"/>
      <c r="H115" s="580"/>
      <c r="I115" s="580"/>
      <c r="J115" s="580"/>
      <c r="K115" s="581"/>
      <c r="L115" s="582"/>
      <c r="M115" s="583"/>
      <c r="N115" s="1141"/>
      <c r="O115" s="1141"/>
      <c r="P115" s="2662"/>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2"/>
      <c r="O116" s="1142"/>
      <c r="P116" s="2662"/>
      <c r="Q116" s="501"/>
    </row>
    <row r="117" spans="1:17" ht="15" thickTop="1">
      <c r="A117" s="596"/>
      <c r="B117" s="535" t="s">
        <v>2601</v>
      </c>
      <c r="C117" s="551"/>
      <c r="D117" s="551"/>
      <c r="E117" s="551"/>
      <c r="F117" s="551"/>
      <c r="G117" s="551"/>
      <c r="H117" s="580"/>
      <c r="I117" s="580"/>
      <c r="J117" s="580"/>
      <c r="K117" s="581"/>
      <c r="L117" s="582"/>
      <c r="M117" s="583"/>
      <c r="N117" s="1141"/>
      <c r="O117" s="1141"/>
      <c r="P117" s="2662"/>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2"/>
      <c r="O118" s="1142"/>
      <c r="P118" s="2662"/>
      <c r="Q118" s="501"/>
    </row>
    <row r="119" spans="1:17" ht="15" thickTop="1">
      <c r="A119" s="596"/>
      <c r="B119" s="633" t="s">
        <v>2684</v>
      </c>
      <c r="C119" s="580"/>
      <c r="D119" s="580"/>
      <c r="E119" s="580"/>
      <c r="F119" s="580"/>
      <c r="G119" s="580"/>
      <c r="H119" s="580"/>
      <c r="I119" s="580"/>
      <c r="J119" s="580"/>
      <c r="K119" s="580"/>
      <c r="L119" s="2667"/>
      <c r="M119" s="2668"/>
      <c r="N119" s="1142"/>
      <c r="O119" s="1142"/>
      <c r="P119" s="2669"/>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2"/>
      <c r="O120" s="1142"/>
      <c r="P120" s="2662"/>
      <c r="Q120" s="501"/>
    </row>
    <row r="121" spans="1:17" s="468" customFormat="1" ht="15" thickTop="1">
      <c r="A121" s="590"/>
      <c r="B121" s="535" t="s">
        <v>2667</v>
      </c>
      <c r="C121" s="551"/>
      <c r="D121" s="551"/>
      <c r="E121" s="551"/>
      <c r="F121" s="580"/>
      <c r="G121" s="552"/>
      <c r="H121" s="552"/>
      <c r="I121" s="552"/>
      <c r="J121" s="552"/>
      <c r="K121" s="552"/>
      <c r="L121" s="553"/>
      <c r="M121" s="554"/>
      <c r="N121" s="1143"/>
      <c r="O121" s="1143"/>
      <c r="P121" s="2663"/>
      <c r="Q121" s="556"/>
    </row>
    <row r="122" spans="1:17" s="468" customFormat="1" ht="15.75" thickBot="1">
      <c r="A122" s="550"/>
      <c r="B122" s="532"/>
      <c r="C122" s="557"/>
      <c r="D122" s="557"/>
      <c r="E122" s="557"/>
      <c r="F122" s="557"/>
      <c r="G122" s="557"/>
      <c r="H122" s="557"/>
      <c r="I122" s="557"/>
      <c r="J122" s="557"/>
      <c r="K122" s="557"/>
      <c r="L122" s="557"/>
      <c r="M122" s="557"/>
      <c r="N122" s="1143"/>
      <c r="O122" s="1143"/>
      <c r="P122" s="2663"/>
      <c r="Q122" s="556"/>
    </row>
    <row r="123" spans="1:17" ht="15" thickTop="1">
      <c r="A123" s="596"/>
      <c r="B123" s="535" t="s">
        <v>2603</v>
      </c>
      <c r="C123" s="551"/>
      <c r="D123" s="551"/>
      <c r="E123" s="551"/>
      <c r="F123" s="580"/>
      <c r="G123" s="580"/>
      <c r="H123" s="580"/>
      <c r="I123" s="580"/>
      <c r="J123" s="580"/>
      <c r="K123" s="581"/>
      <c r="L123" s="582"/>
      <c r="M123" s="583"/>
      <c r="N123" s="1141"/>
      <c r="O123" s="1141"/>
      <c r="P123" s="2662"/>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2"/>
      <c r="O124" s="1142"/>
      <c r="P124" s="2662"/>
      <c r="Q124" s="501"/>
    </row>
    <row r="125" spans="1:17" ht="15" thickTop="1">
      <c r="A125" s="596"/>
      <c r="B125" s="535" t="s">
        <v>2604</v>
      </c>
      <c r="C125" s="575" t="s">
        <v>2580</v>
      </c>
      <c r="D125" s="575" t="s">
        <v>2581</v>
      </c>
      <c r="E125" s="575" t="s">
        <v>2582</v>
      </c>
      <c r="F125" s="575" t="s">
        <v>2583</v>
      </c>
      <c r="G125" s="575" t="s">
        <v>2584</v>
      </c>
      <c r="H125" s="536"/>
      <c r="I125" s="536"/>
      <c r="J125" s="536"/>
      <c r="K125" s="537"/>
      <c r="L125" s="538"/>
      <c r="M125" s="539"/>
      <c r="N125" s="1141"/>
      <c r="O125" s="1141"/>
      <c r="P125" s="2663"/>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2"/>
      <c r="O126" s="1142"/>
      <c r="P126" s="2662"/>
      <c r="Q126" s="501"/>
    </row>
    <row r="127" spans="1:17" s="468" customFormat="1" ht="15" thickTop="1">
      <c r="A127" s="590"/>
      <c r="B127" s="535">
        <f>B45</f>
        <v>111</v>
      </c>
      <c r="C127" s="551"/>
      <c r="D127" s="551"/>
      <c r="E127" s="551"/>
      <c r="F127" s="551"/>
      <c r="G127" s="551"/>
      <c r="H127" s="552"/>
      <c r="I127" s="552"/>
      <c r="J127" s="552"/>
      <c r="K127" s="552"/>
      <c r="L127" s="553"/>
      <c r="M127" s="554"/>
      <c r="N127" s="1143"/>
      <c r="O127" s="1143"/>
      <c r="P127" s="2663"/>
      <c r="Q127" s="556"/>
    </row>
    <row r="128" spans="1:17" s="468" customFormat="1" ht="15.75" thickBot="1">
      <c r="A128" s="550"/>
      <c r="B128" s="540"/>
      <c r="C128" s="557"/>
      <c r="D128" s="533"/>
      <c r="E128" s="533"/>
      <c r="F128" s="533"/>
      <c r="G128" s="557"/>
      <c r="H128" s="559"/>
      <c r="I128" s="559"/>
      <c r="J128" s="559"/>
      <c r="K128" s="559"/>
      <c r="L128" s="559"/>
      <c r="M128" s="560"/>
      <c r="N128" s="1143"/>
      <c r="O128" s="1143"/>
      <c r="P128" s="2663"/>
      <c r="Q128" s="556"/>
    </row>
    <row r="129" spans="1:17" ht="15" thickTop="1">
      <c r="A129" s="596"/>
      <c r="B129" s="535">
        <f>B46</f>
        <v>111</v>
      </c>
      <c r="C129" s="551"/>
      <c r="D129" s="551"/>
      <c r="E129" s="551"/>
      <c r="F129" s="551"/>
      <c r="G129" s="580"/>
      <c r="H129" s="580"/>
      <c r="I129" s="580"/>
      <c r="J129" s="580"/>
      <c r="K129" s="581"/>
      <c r="L129" s="582"/>
      <c r="M129" s="583"/>
      <c r="N129" s="1141"/>
      <c r="O129" s="1141"/>
      <c r="P129" s="2662"/>
      <c r="Q129" s="501"/>
    </row>
    <row r="130" spans="1:17" ht="15.75" thickBot="1">
      <c r="A130" s="531"/>
      <c r="B130" s="540"/>
      <c r="C130" s="557"/>
      <c r="D130" s="557"/>
      <c r="E130" s="557"/>
      <c r="F130" s="557"/>
      <c r="G130" s="533"/>
      <c r="H130" s="533"/>
      <c r="I130" s="533"/>
      <c r="J130" s="533"/>
      <c r="K130" s="533"/>
      <c r="L130" s="533"/>
      <c r="M130" s="534"/>
      <c r="N130" s="1142"/>
      <c r="O130" s="1142"/>
      <c r="P130" s="2662"/>
      <c r="Q130" s="501"/>
    </row>
    <row r="131" spans="1:17" ht="15" thickTop="1">
      <c r="A131" s="596"/>
      <c r="B131" s="543">
        <f>B47</f>
        <v>111</v>
      </c>
      <c r="C131" s="520"/>
      <c r="D131" s="520"/>
      <c r="E131" s="520"/>
      <c r="F131" s="520"/>
      <c r="G131" s="584"/>
      <c r="H131" s="584"/>
      <c r="I131" s="584"/>
      <c r="J131" s="584"/>
      <c r="K131" s="520"/>
      <c r="L131" s="521"/>
      <c r="M131" s="587"/>
      <c r="N131" s="1141"/>
      <c r="O131" s="1141"/>
      <c r="P131" s="2662"/>
      <c r="Q131" s="501"/>
    </row>
    <row r="132" spans="1:17" ht="15.75" thickBot="1">
      <c r="A132" s="2614"/>
      <c r="B132" s="566"/>
      <c r="C132" s="567"/>
      <c r="D132" s="567"/>
      <c r="E132" s="567"/>
      <c r="F132" s="567"/>
      <c r="G132" s="588"/>
      <c r="H132" s="588"/>
      <c r="I132" s="588"/>
      <c r="J132" s="588"/>
      <c r="K132" s="588"/>
      <c r="L132" s="588"/>
      <c r="M132" s="589"/>
      <c r="N132" s="1142"/>
      <c r="O132" s="1142"/>
      <c r="P132" s="2662"/>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7" customFormat="1" ht="28.5" customHeight="1" thickBot="1">
      <c r="A1" s="1606" t="s">
        <v>2511</v>
      </c>
      <c r="B1" s="2647" t="s">
        <v>2685</v>
      </c>
      <c r="C1" s="1608" t="s">
        <v>2513</v>
      </c>
      <c r="D1" s="1609"/>
      <c r="E1" s="1618"/>
      <c r="F1" s="2565"/>
      <c r="G1" s="1619" t="s">
        <v>2626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6" customFormat="1" ht="28.5" customHeight="1" thickTop="1">
      <c r="A2" s="1605" t="s">
        <v>2313</v>
      </c>
      <c r="B2" s="1407" t="e">
        <f ca="1">IF(C2="——",ROUND(C43*D3/10000,0),ROUND(C43*D3/10000,0)-D2)</f>
        <v>#DIV/0!</v>
      </c>
      <c r="C2" s="2567"/>
      <c r="D2" s="1113" t="e">
        <f ca="1">SUMIF(INDIRECT("'"&amp;F2&amp;"'"&amp;"!A:A"),"承租人权益价值",INDIRECT("'"&amp;F2&amp;"'"&amp;"!c:c"))</f>
        <v>#REF!</v>
      </c>
      <c r="E2" s="2568" t="s">
        <v>2314</v>
      </c>
      <c r="F2" s="2569"/>
      <c r="G2" s="1114"/>
      <c r="H2" s="1114"/>
      <c r="I2" s="1114"/>
      <c r="J2" s="1114"/>
      <c r="K2" s="1114"/>
      <c r="L2" s="1117"/>
      <c r="M2" s="1118"/>
      <c r="N2" s="1118"/>
      <c r="O2" s="1118"/>
      <c r="P2" s="765"/>
      <c r="Q2" s="765"/>
      <c r="R2" s="765"/>
      <c r="S2" s="765"/>
      <c r="T2" s="765"/>
      <c r="U2" s="765"/>
      <c r="V2" s="765"/>
      <c r="W2" s="765"/>
      <c r="X2" s="765"/>
      <c r="Y2" s="765"/>
      <c r="Z2" s="765"/>
      <c r="AA2" s="765"/>
      <c r="AB2" s="765"/>
      <c r="AC2" s="779"/>
    </row>
    <row r="3" spans="1:29" s="396" customFormat="1" ht="28.5" customHeight="1" thickBot="1">
      <c r="A3" s="245" t="s">
        <v>2315</v>
      </c>
      <c r="B3" s="606" t="e">
        <f ca="1">IF(C2="——",C43,ROUND(B2*10000/D3,0))</f>
        <v>#DIV/0!</v>
      </c>
      <c r="C3" s="398" t="s">
        <v>2627</v>
      </c>
      <c r="D3" s="397">
        <f>IF(D1="",'数据-汇总表'!E3,SUMIF('数据-汇总表'!$C19:$C33,D1,'数据-汇总表'!$E19:$E33))</f>
        <v>66687.25</v>
      </c>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29" ht="15">
      <c r="A4" s="399" t="s">
        <v>2628</v>
      </c>
      <c r="B4" s="400"/>
      <c r="C4" s="3244" t="s">
        <v>2629</v>
      </c>
      <c r="D4" s="3257"/>
      <c r="E4" s="3258" t="s">
        <v>2630</v>
      </c>
      <c r="F4" s="3259"/>
      <c r="G4" s="3244" t="s">
        <v>2631</v>
      </c>
      <c r="H4" s="3257"/>
      <c r="I4" s="3244" t="s">
        <v>2632</v>
      </c>
      <c r="J4" s="3257"/>
      <c r="K4" s="607" t="s">
        <v>2633</v>
      </c>
      <c r="L4" s="1119"/>
      <c r="M4" s="1120"/>
      <c r="N4" s="1120"/>
      <c r="O4" s="1120"/>
      <c r="P4" s="3260" t="s">
        <v>2634</v>
      </c>
      <c r="Q4" s="3261"/>
      <c r="R4" s="3266" t="s">
        <v>2630</v>
      </c>
      <c r="S4" s="3267"/>
      <c r="T4" s="3266" t="s">
        <v>2631</v>
      </c>
      <c r="U4" s="3267"/>
      <c r="V4" s="3253" t="s">
        <v>2632</v>
      </c>
      <c r="W4" s="3253"/>
      <c r="X4" s="1800"/>
      <c r="Y4" s="3266" t="s">
        <v>2634</v>
      </c>
      <c r="Z4" s="3267"/>
      <c r="AA4" s="3254" t="s">
        <v>2630</v>
      </c>
      <c r="AB4" s="3255" t="s">
        <v>2631</v>
      </c>
      <c r="AC4" s="3254" t="s">
        <v>2632</v>
      </c>
    </row>
    <row r="5" spans="1:29" ht="15">
      <c r="A5" s="402"/>
      <c r="B5" s="403"/>
      <c r="C5" s="3274" t="s">
        <v>2525</v>
      </c>
      <c r="D5" s="3275"/>
      <c r="E5" s="3281" t="s">
        <v>2526</v>
      </c>
      <c r="F5" s="3282"/>
      <c r="G5" s="3274" t="s">
        <v>2527</v>
      </c>
      <c r="H5" s="3275"/>
      <c r="I5" s="3274" t="s">
        <v>2528</v>
      </c>
      <c r="J5" s="3275"/>
      <c r="K5" s="607"/>
      <c r="L5" s="1119"/>
      <c r="M5" s="1120"/>
      <c r="N5" s="1120"/>
      <c r="O5" s="1120"/>
      <c r="P5" s="3262"/>
      <c r="Q5" s="3263"/>
      <c r="R5" s="3268"/>
      <c r="S5" s="3269"/>
      <c r="T5" s="3268"/>
      <c r="U5" s="3269"/>
      <c r="V5" s="3253"/>
      <c r="W5" s="3253"/>
      <c r="X5" s="1800"/>
      <c r="Y5" s="3268"/>
      <c r="Z5" s="3269"/>
      <c r="AA5" s="3255"/>
      <c r="AB5" s="3255"/>
      <c r="AC5" s="3255"/>
    </row>
    <row r="6" spans="1:29" ht="15.75" thickBot="1">
      <c r="A6" s="404"/>
      <c r="B6" s="405"/>
      <c r="C6" s="3272" t="s">
        <v>2529</v>
      </c>
      <c r="D6" s="3273"/>
      <c r="E6" s="3279" t="s">
        <v>2529</v>
      </c>
      <c r="F6" s="3280"/>
      <c r="G6" s="3272" t="s">
        <v>2529</v>
      </c>
      <c r="H6" s="3273"/>
      <c r="I6" s="3272" t="s">
        <v>2529</v>
      </c>
      <c r="J6" s="3273"/>
      <c r="K6" s="607" t="s">
        <v>2530</v>
      </c>
      <c r="L6" s="1119"/>
      <c r="M6" s="1120"/>
      <c r="N6" s="1120"/>
      <c r="O6" s="1120"/>
      <c r="P6" s="3264"/>
      <c r="Q6" s="3265"/>
      <c r="R6" s="3268"/>
      <c r="S6" s="3269"/>
      <c r="T6" s="3270"/>
      <c r="U6" s="3271"/>
      <c r="V6" s="3253"/>
      <c r="W6" s="3253"/>
      <c r="X6" s="1800"/>
      <c r="Y6" s="3270"/>
      <c r="Z6" s="3271"/>
      <c r="AA6" s="3256"/>
      <c r="AB6" s="3256"/>
      <c r="AC6" s="3256"/>
    </row>
    <row r="7" spans="1:29" s="115" customFormat="1" ht="15.75" thickBot="1">
      <c r="A7" s="406" t="s">
        <v>2531</v>
      </c>
      <c r="B7" s="407"/>
      <c r="C7" s="408">
        <f>'数据-取费表'!B2</f>
        <v>43970</v>
      </c>
      <c r="D7" s="409">
        <v>100</v>
      </c>
      <c r="E7" s="410"/>
      <c r="F7" s="411">
        <f>SUMIF(52:52,YEAR(E7)&amp;"-"&amp;MONTH(E7),53:53)</f>
        <v>0</v>
      </c>
      <c r="G7" s="410"/>
      <c r="H7" s="409">
        <f>SUMIF(52:52,YEAR(G7)&amp;"-"&amp;MONTH(G7),53:53)</f>
        <v>0</v>
      </c>
      <c r="I7" s="410"/>
      <c r="J7" s="409">
        <f>SUMIF(52:52,YEAR(I7)&amp;"-"&amp;MONTH(I7),53:53)</f>
        <v>0</v>
      </c>
      <c r="K7" s="608"/>
      <c r="L7" s="1121"/>
      <c r="M7" s="1122"/>
      <c r="N7" s="1122"/>
      <c r="O7" s="1122"/>
      <c r="P7" s="3276" t="s">
        <v>2532</v>
      </c>
      <c r="Q7" s="3278"/>
      <c r="R7" s="767" t="s">
        <v>17</v>
      </c>
      <c r="S7" s="768">
        <f t="shared" ref="S7:S15" si="0">F7</f>
        <v>0</v>
      </c>
      <c r="T7" s="767" t="s">
        <v>17</v>
      </c>
      <c r="U7" s="768">
        <f t="shared" ref="U7:U15" si="1">H7</f>
        <v>0</v>
      </c>
      <c r="V7" s="767" t="s">
        <v>17</v>
      </c>
      <c r="W7" s="768">
        <f t="shared" ref="W7:W15" si="2">J7</f>
        <v>0</v>
      </c>
      <c r="X7" s="769"/>
      <c r="Y7" s="3276" t="s">
        <v>2532</v>
      </c>
      <c r="Z7" s="3277"/>
      <c r="AA7" s="770" t="e">
        <f>D7/F7</f>
        <v>#DIV/0!</v>
      </c>
      <c r="AB7" s="770" t="e">
        <f>D7/H7</f>
        <v>#DIV/0!</v>
      </c>
      <c r="AC7" s="770" t="e">
        <f>D7/J7</f>
        <v>#DIV/0!</v>
      </c>
    </row>
    <row r="8" spans="1:29" s="115" customFormat="1" ht="15.75" thickBot="1">
      <c r="A8" s="406" t="s">
        <v>2533</v>
      </c>
      <c r="B8" s="407"/>
      <c r="C8" s="412" t="s">
        <v>2534</v>
      </c>
      <c r="D8" s="409">
        <v>100</v>
      </c>
      <c r="E8" s="412"/>
      <c r="F8" s="411">
        <f>SUMIF(55:55,E8,56:56)-SUMIF(55:55,C8,56:56)+100</f>
        <v>0</v>
      </c>
      <c r="G8" s="412"/>
      <c r="H8" s="409">
        <f>SUMIF(55:55,G8,56:56)-SUMIF(55:55,C8,56:56)+100</f>
        <v>0</v>
      </c>
      <c r="I8" s="412"/>
      <c r="J8" s="409">
        <f>SUMIF(55:55,I8,56:56)-SUMIF(55:55,C8,56:56)+100</f>
        <v>0</v>
      </c>
      <c r="K8" s="608"/>
      <c r="L8" s="1121"/>
      <c r="M8" s="1122"/>
      <c r="N8" s="1122"/>
      <c r="O8" s="1122"/>
      <c r="P8" s="3276" t="s">
        <v>2535</v>
      </c>
      <c r="Q8" s="3277"/>
      <c r="R8" s="767" t="s">
        <v>17</v>
      </c>
      <c r="S8" s="768">
        <f t="shared" si="0"/>
        <v>0</v>
      </c>
      <c r="T8" s="767" t="s">
        <v>17</v>
      </c>
      <c r="U8" s="768">
        <f t="shared" si="1"/>
        <v>0</v>
      </c>
      <c r="V8" s="767" t="s">
        <v>17</v>
      </c>
      <c r="W8" s="768">
        <f t="shared" si="2"/>
        <v>0</v>
      </c>
      <c r="X8" s="769"/>
      <c r="Y8" s="3276" t="s">
        <v>2535</v>
      </c>
      <c r="Z8" s="3277"/>
      <c r="AA8" s="770" t="e">
        <f t="shared" ref="AA8:AA40" si="3">D8/F8</f>
        <v>#DIV/0!</v>
      </c>
      <c r="AB8" s="770" t="e">
        <f t="shared" ref="AB8:AB40" si="4">D8/H8</f>
        <v>#DIV/0!</v>
      </c>
      <c r="AC8" s="770" t="e">
        <f t="shared" ref="AC8:AC40" si="5">D8/J8</f>
        <v>#DIV/0!</v>
      </c>
    </row>
    <row r="9" spans="1:29" s="115" customFormat="1">
      <c r="A9" s="413" t="s">
        <v>2536</v>
      </c>
      <c r="B9" s="70" t="s">
        <v>2537</v>
      </c>
      <c r="C9" s="414"/>
      <c r="D9" s="133">
        <v>100</v>
      </c>
      <c r="E9" s="417"/>
      <c r="F9" s="133">
        <f>SUMIF(57:57,E9,58:58)-SUMIF(57:57,C9,58:58)+100</f>
        <v>100</v>
      </c>
      <c r="G9" s="415"/>
      <c r="H9" s="133">
        <f>SUMIF(57:57,G9,58:58)-SUMIF(57:57,C9,58:58)+100</f>
        <v>100</v>
      </c>
      <c r="I9" s="415"/>
      <c r="J9" s="133">
        <f>SUMIF(57:57,I9,58:58)-SUMIF(57:57,C9,58:58)+100</f>
        <v>100</v>
      </c>
      <c r="K9" s="608"/>
      <c r="L9" s="1121"/>
      <c r="M9" s="1122"/>
      <c r="N9" s="1122"/>
      <c r="O9" s="1123"/>
      <c r="P9" s="3247" t="s">
        <v>2538</v>
      </c>
      <c r="Q9" s="1782" t="str">
        <f t="shared" ref="Q9:Q15" si="6">B9</f>
        <v>用途</v>
      </c>
      <c r="R9" s="767" t="s">
        <v>17</v>
      </c>
      <c r="S9" s="768">
        <f t="shared" si="0"/>
        <v>100</v>
      </c>
      <c r="T9" s="767" t="s">
        <v>17</v>
      </c>
      <c r="U9" s="768">
        <f t="shared" si="1"/>
        <v>100</v>
      </c>
      <c r="V9" s="767" t="s">
        <v>17</v>
      </c>
      <c r="W9" s="768">
        <f t="shared" si="2"/>
        <v>100</v>
      </c>
      <c r="X9" s="769"/>
      <c r="Y9" s="3098" t="s">
        <v>2539</v>
      </c>
      <c r="Z9" s="54" t="str">
        <f t="shared" ref="Z9:Z15" si="7">Q9</f>
        <v>用途</v>
      </c>
      <c r="AA9" s="770">
        <f t="shared" si="3"/>
        <v>1</v>
      </c>
      <c r="AB9" s="770">
        <f t="shared" si="4"/>
        <v>1</v>
      </c>
      <c r="AC9" s="770">
        <f t="shared" si="5"/>
        <v>1</v>
      </c>
    </row>
    <row r="10" spans="1:29" s="424" customFormat="1" ht="27">
      <c r="A10" s="418"/>
      <c r="B10" s="419" t="s">
        <v>2540</v>
      </c>
      <c r="C10" s="420"/>
      <c r="D10" s="134">
        <v>100</v>
      </c>
      <c r="E10" s="420"/>
      <c r="F10" s="134">
        <f>SUMIF(59:59,E10,60:60)-SUMIF(59:59,C10,60:60)+100</f>
        <v>100</v>
      </c>
      <c r="G10" s="421"/>
      <c r="H10" s="134">
        <f>SUMIF(59:59,G10,60:60)-SUMIF(59:59,C10,60:60)+100</f>
        <v>100</v>
      </c>
      <c r="I10" s="420"/>
      <c r="J10" s="134">
        <f>SUMIF(59:59,I10,60:60)-SUMIF(59:59,C10,60:60)+100</f>
        <v>100</v>
      </c>
      <c r="K10" s="609"/>
      <c r="L10" s="1124"/>
      <c r="M10" s="1125"/>
      <c r="N10" s="1125"/>
      <c r="O10" s="1126"/>
      <c r="P10" s="3247"/>
      <c r="Q10" s="1782" t="str">
        <f t="shared" si="6"/>
        <v>土地使用年限（年）</v>
      </c>
      <c r="R10" s="767" t="s">
        <v>17</v>
      </c>
      <c r="S10" s="768">
        <f t="shared" si="0"/>
        <v>100</v>
      </c>
      <c r="T10" s="767" t="s">
        <v>17</v>
      </c>
      <c r="U10" s="768">
        <f t="shared" si="1"/>
        <v>100</v>
      </c>
      <c r="V10" s="767" t="s">
        <v>17</v>
      </c>
      <c r="W10" s="768">
        <f t="shared" si="2"/>
        <v>100</v>
      </c>
      <c r="X10" s="769"/>
      <c r="Y10" s="3098"/>
      <c r="Z10" s="54" t="str">
        <f t="shared" si="7"/>
        <v>土地使用年限（年）</v>
      </c>
      <c r="AA10" s="770">
        <f t="shared" si="3"/>
        <v>1</v>
      </c>
      <c r="AB10" s="770">
        <f t="shared" si="4"/>
        <v>1</v>
      </c>
      <c r="AC10" s="770">
        <f t="shared" si="5"/>
        <v>1</v>
      </c>
    </row>
    <row r="11" spans="1:29" ht="15">
      <c r="A11" s="425"/>
      <c r="B11" s="419" t="s">
        <v>2541</v>
      </c>
      <c r="C11" s="426"/>
      <c r="D11" s="134">
        <v>100</v>
      </c>
      <c r="E11" s="426"/>
      <c r="F11" s="134" t="e">
        <f>LOOKUP(E11,62:62,63:63)-LOOKUP(C11,62:62,63:63)+100</f>
        <v>#N/A</v>
      </c>
      <c r="G11" s="427"/>
      <c r="H11" s="134" t="e">
        <f>LOOKUP(G11,62:62,63:63)-LOOKUP(C11,62:62,63:63)+100</f>
        <v>#N/A</v>
      </c>
      <c r="I11" s="426"/>
      <c r="J11" s="134" t="e">
        <f>LOOKUP(I11,62:62,63:63)-LOOKUP(C11,62:62,63:63)+100</f>
        <v>#N/A</v>
      </c>
      <c r="K11" s="609"/>
      <c r="L11" s="1127"/>
      <c r="M11" s="1120"/>
      <c r="N11" s="1120"/>
      <c r="O11" s="1128"/>
      <c r="P11" s="3247"/>
      <c r="Q11" s="1782" t="str">
        <f t="shared" si="6"/>
        <v>容积率</v>
      </c>
      <c r="R11" s="767" t="s">
        <v>17</v>
      </c>
      <c r="S11" s="768" t="e">
        <f t="shared" si="0"/>
        <v>#N/A</v>
      </c>
      <c r="T11" s="767" t="s">
        <v>17</v>
      </c>
      <c r="U11" s="768" t="e">
        <f t="shared" si="1"/>
        <v>#N/A</v>
      </c>
      <c r="V11" s="767" t="s">
        <v>17</v>
      </c>
      <c r="W11" s="768" t="e">
        <f t="shared" si="2"/>
        <v>#N/A</v>
      </c>
      <c r="X11" s="769"/>
      <c r="Y11" s="3098"/>
      <c r="Z11" s="54" t="str">
        <f t="shared" si="7"/>
        <v>容积率</v>
      </c>
      <c r="AA11" s="770" t="e">
        <f t="shared" si="3"/>
        <v>#N/A</v>
      </c>
      <c r="AB11" s="770" t="e">
        <f t="shared" si="4"/>
        <v>#N/A</v>
      </c>
      <c r="AC11" s="770" t="e">
        <f t="shared" si="5"/>
        <v>#N/A</v>
      </c>
    </row>
    <row r="12" spans="1:29" s="115" customFormat="1" ht="15">
      <c r="A12" s="428"/>
      <c r="B12" s="2580">
        <v>111</v>
      </c>
      <c r="C12" s="429"/>
      <c r="D12" s="430">
        <v>100</v>
      </c>
      <c r="E12" s="431"/>
      <c r="F12" s="134">
        <f>SUMIF(64:64,E12,65:65)-SUMIF(64:64,C12,65:65)+100</f>
        <v>100</v>
      </c>
      <c r="G12" s="2670"/>
      <c r="H12" s="134">
        <f>SUMIF(64:64,G12,65:65)-SUMIF(64:64,C12,65:65)+100</f>
        <v>100</v>
      </c>
      <c r="I12" s="466"/>
      <c r="J12" s="134">
        <f>SUMIF(64:64,I12,65:65)-SUMIF(64:64,C12,65:65)+100</f>
        <v>100</v>
      </c>
      <c r="K12" s="610"/>
      <c r="L12" s="1121"/>
      <c r="M12" s="1122"/>
      <c r="N12" s="1122"/>
      <c r="O12" s="1123"/>
      <c r="P12" s="3247"/>
      <c r="Q12" s="1782">
        <f t="shared" si="6"/>
        <v>111</v>
      </c>
      <c r="R12" s="767" t="s">
        <v>17</v>
      </c>
      <c r="S12" s="768">
        <f t="shared" si="0"/>
        <v>100</v>
      </c>
      <c r="T12" s="767" t="s">
        <v>17</v>
      </c>
      <c r="U12" s="768">
        <f t="shared" si="1"/>
        <v>100</v>
      </c>
      <c r="V12" s="767" t="s">
        <v>17</v>
      </c>
      <c r="W12" s="768">
        <f t="shared" si="2"/>
        <v>100</v>
      </c>
      <c r="X12" s="769"/>
      <c r="Y12" s="3098"/>
      <c r="Z12" s="54">
        <f t="shared" si="7"/>
        <v>111</v>
      </c>
      <c r="AA12" s="770">
        <f>D12/F12</f>
        <v>1</v>
      </c>
      <c r="AB12" s="770">
        <f>D12/H12</f>
        <v>1</v>
      </c>
      <c r="AC12" s="770">
        <f>D12/J12</f>
        <v>1</v>
      </c>
    </row>
    <row r="13" spans="1:29" ht="15">
      <c r="A13" s="425"/>
      <c r="B13" s="2580">
        <v>111</v>
      </c>
      <c r="C13" s="431"/>
      <c r="D13" s="432">
        <v>100</v>
      </c>
      <c r="E13" s="431"/>
      <c r="F13" s="134">
        <f>SUMIF(66:66,E13,67:67)-SUMIF(66:66,C13,67:67)+100</f>
        <v>100</v>
      </c>
      <c r="G13" s="2670"/>
      <c r="H13" s="432">
        <f>SUMIF(66:66,G13,67:67)-SUMIF(66:66,C13,67:67)+100</f>
        <v>100</v>
      </c>
      <c r="I13" s="466"/>
      <c r="J13" s="432">
        <f>SUMIF(66:66,I13,67:67)-SUMIF(66:66,C13,67:67)+100</f>
        <v>100</v>
      </c>
      <c r="K13" s="610"/>
      <c r="L13" s="1129"/>
      <c r="M13" s="1120"/>
      <c r="N13" s="1120"/>
      <c r="O13" s="1128"/>
      <c r="P13" s="3247"/>
      <c r="Q13" s="1782">
        <f t="shared" si="6"/>
        <v>111</v>
      </c>
      <c r="R13" s="767" t="s">
        <v>17</v>
      </c>
      <c r="S13" s="768">
        <f t="shared" si="0"/>
        <v>100</v>
      </c>
      <c r="T13" s="767" t="s">
        <v>17</v>
      </c>
      <c r="U13" s="768">
        <f t="shared" si="1"/>
        <v>100</v>
      </c>
      <c r="V13" s="767" t="s">
        <v>17</v>
      </c>
      <c r="W13" s="768">
        <f t="shared" si="2"/>
        <v>100</v>
      </c>
      <c r="X13" s="769"/>
      <c r="Y13" s="3098"/>
      <c r="Z13" s="54">
        <f t="shared" si="7"/>
        <v>111</v>
      </c>
      <c r="AA13" s="770">
        <f t="shared" si="3"/>
        <v>1</v>
      </c>
      <c r="AB13" s="770">
        <f t="shared" si="4"/>
        <v>1</v>
      </c>
      <c r="AC13" s="770">
        <f t="shared" si="5"/>
        <v>1</v>
      </c>
    </row>
    <row r="14" spans="1:29" ht="15.75" thickBot="1">
      <c r="A14" s="433"/>
      <c r="B14" s="2582">
        <v>111</v>
      </c>
      <c r="C14" s="434"/>
      <c r="D14" s="435">
        <v>100</v>
      </c>
      <c r="E14" s="434"/>
      <c r="F14" s="435">
        <f>SUMIF(68:68,E14,69:69)-SUMIF(68:68,C14,69:69)+100</f>
        <v>100</v>
      </c>
      <c r="G14" s="2670"/>
      <c r="H14" s="435">
        <f>SUMIF(68:68,G14,69:69)-SUMIF(68:68,C14,69:69)+100</f>
        <v>100</v>
      </c>
      <c r="I14" s="466"/>
      <c r="J14" s="435">
        <f>SUMIF(68:68,I14,69:69)-SUMIF(68:68,C14,69:69)+100</f>
        <v>100</v>
      </c>
      <c r="K14" s="610"/>
      <c r="L14" s="1129"/>
      <c r="M14" s="1120"/>
      <c r="N14" s="1120"/>
      <c r="O14" s="1128"/>
      <c r="P14" s="3247"/>
      <c r="Q14" s="1782">
        <f t="shared" si="6"/>
        <v>111</v>
      </c>
      <c r="R14" s="767" t="s">
        <v>17</v>
      </c>
      <c r="S14" s="768">
        <f t="shared" si="0"/>
        <v>100</v>
      </c>
      <c r="T14" s="767" t="s">
        <v>17</v>
      </c>
      <c r="U14" s="768">
        <f t="shared" si="1"/>
        <v>100</v>
      </c>
      <c r="V14" s="767" t="s">
        <v>17</v>
      </c>
      <c r="W14" s="768">
        <f t="shared" si="2"/>
        <v>100</v>
      </c>
      <c r="X14" s="769"/>
      <c r="Y14" s="3098"/>
      <c r="Z14" s="54">
        <f t="shared" si="7"/>
        <v>111</v>
      </c>
      <c r="AA14" s="770">
        <f t="shared" si="3"/>
        <v>1</v>
      </c>
      <c r="AB14" s="770">
        <f t="shared" si="4"/>
        <v>1</v>
      </c>
      <c r="AC14" s="770">
        <f t="shared" si="5"/>
        <v>1</v>
      </c>
    </row>
    <row r="15" spans="1:29" ht="57">
      <c r="A15" s="437" t="s">
        <v>2542</v>
      </c>
      <c r="B15" s="68" t="s">
        <v>2686</v>
      </c>
      <c r="C15" s="2671"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29"/>
      <c r="M15" s="1120"/>
      <c r="N15" s="1120"/>
      <c r="O15" s="1128"/>
      <c r="P15" s="3249" t="s">
        <v>2543</v>
      </c>
      <c r="Q15" s="1797" t="str">
        <f t="shared" si="6"/>
        <v>产业集聚程度</v>
      </c>
      <c r="R15" s="771" t="s">
        <v>17</v>
      </c>
      <c r="S15" s="772">
        <f t="shared" si="0"/>
        <v>100</v>
      </c>
      <c r="T15" s="771" t="s">
        <v>17</v>
      </c>
      <c r="U15" s="772">
        <f t="shared" si="1"/>
        <v>100</v>
      </c>
      <c r="V15" s="771" t="s">
        <v>17</v>
      </c>
      <c r="W15" s="772">
        <f t="shared" si="2"/>
        <v>100</v>
      </c>
      <c r="X15" s="1800"/>
      <c r="Y15" s="3249" t="s">
        <v>2543</v>
      </c>
      <c r="Z15" s="1801" t="str">
        <f t="shared" si="7"/>
        <v>产业集聚程度</v>
      </c>
      <c r="AA15" s="1798">
        <f t="shared" si="3"/>
        <v>1</v>
      </c>
      <c r="AB15" s="1798">
        <f t="shared" si="4"/>
        <v>1</v>
      </c>
      <c r="AC15" s="1798">
        <f t="shared" si="5"/>
        <v>1</v>
      </c>
    </row>
    <row r="16" spans="1:29" ht="15">
      <c r="A16" s="425"/>
      <c r="B16" s="443"/>
      <c r="C16" s="444"/>
      <c r="D16" s="445"/>
      <c r="E16" s="444"/>
      <c r="F16" s="446"/>
      <c r="G16" s="444"/>
      <c r="H16" s="447"/>
      <c r="I16" s="444"/>
      <c r="J16" s="445"/>
      <c r="K16" s="612"/>
      <c r="L16" s="1129"/>
      <c r="M16" s="1120"/>
      <c r="N16" s="1120"/>
      <c r="O16" s="1128"/>
      <c r="P16" s="3250"/>
      <c r="Q16" s="1797"/>
      <c r="R16" s="771"/>
      <c r="S16" s="772"/>
      <c r="T16" s="771"/>
      <c r="U16" s="772"/>
      <c r="V16" s="771"/>
      <c r="W16" s="772"/>
      <c r="X16" s="1800"/>
      <c r="Y16" s="3250"/>
      <c r="Z16" s="1801"/>
      <c r="AA16" s="1798">
        <v>1</v>
      </c>
      <c r="AB16" s="1798">
        <v>1</v>
      </c>
      <c r="AC16" s="1798">
        <v>1</v>
      </c>
    </row>
    <row r="17" spans="1:29" ht="85.5">
      <c r="A17" s="425"/>
      <c r="B17" s="448" t="s">
        <v>2086</v>
      </c>
      <c r="C17" s="2587"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29"/>
      <c r="M17" s="1120"/>
      <c r="N17" s="1120"/>
      <c r="O17" s="1128"/>
      <c r="P17" s="3250"/>
      <c r="Q17" s="1797" t="str">
        <f>B17</f>
        <v>交通便捷度</v>
      </c>
      <c r="R17" s="771" t="s">
        <v>17</v>
      </c>
      <c r="S17" s="772">
        <f>F17</f>
        <v>100</v>
      </c>
      <c r="T17" s="771" t="s">
        <v>17</v>
      </c>
      <c r="U17" s="772">
        <f>H17</f>
        <v>100</v>
      </c>
      <c r="V17" s="771" t="s">
        <v>17</v>
      </c>
      <c r="W17" s="772">
        <f>J17</f>
        <v>100</v>
      </c>
      <c r="X17" s="1800"/>
      <c r="Y17" s="3250"/>
      <c r="Z17" s="1801" t="str">
        <f>Q17</f>
        <v>交通便捷度</v>
      </c>
      <c r="AA17" s="1798">
        <f t="shared" si="3"/>
        <v>1</v>
      </c>
      <c r="AB17" s="1798">
        <f t="shared" si="4"/>
        <v>1</v>
      </c>
      <c r="AC17" s="1798">
        <f t="shared" si="5"/>
        <v>1</v>
      </c>
    </row>
    <row r="18" spans="1:29" ht="15">
      <c r="A18" s="425"/>
      <c r="B18" s="453"/>
      <c r="C18" s="2588"/>
      <c r="D18" s="447"/>
      <c r="E18" s="2590"/>
      <c r="F18" s="450"/>
      <c r="G18" s="2589"/>
      <c r="H18" s="445"/>
      <c r="I18" s="2590"/>
      <c r="J18" s="445"/>
      <c r="K18" s="612"/>
      <c r="L18" s="1129"/>
      <c r="M18" s="1120"/>
      <c r="N18" s="1120"/>
      <c r="O18" s="1128"/>
      <c r="P18" s="3250"/>
      <c r="Q18" s="1797"/>
      <c r="R18" s="771"/>
      <c r="S18" s="772"/>
      <c r="T18" s="771"/>
      <c r="U18" s="772"/>
      <c r="V18" s="771"/>
      <c r="W18" s="772"/>
      <c r="X18" s="1800"/>
      <c r="Y18" s="3250"/>
      <c r="Z18" s="1801"/>
      <c r="AA18" s="1798">
        <v>1</v>
      </c>
      <c r="AB18" s="1798">
        <v>1</v>
      </c>
      <c r="AC18" s="1798">
        <v>1</v>
      </c>
    </row>
    <row r="19" spans="1:29" ht="42.75">
      <c r="A19" s="425"/>
      <c r="B19" s="448" t="s">
        <v>2671</v>
      </c>
      <c r="C19" s="2587"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29"/>
      <c r="M19" s="1120"/>
      <c r="N19" s="1120"/>
      <c r="O19" s="1128"/>
      <c r="P19" s="3250"/>
      <c r="Q19" s="1797" t="str">
        <f>B19</f>
        <v>公共配套设施</v>
      </c>
      <c r="R19" s="771" t="s">
        <v>17</v>
      </c>
      <c r="S19" s="772">
        <f>F19</f>
        <v>100</v>
      </c>
      <c r="T19" s="771" t="s">
        <v>17</v>
      </c>
      <c r="U19" s="772">
        <f>H19</f>
        <v>100</v>
      </c>
      <c r="V19" s="771" t="s">
        <v>17</v>
      </c>
      <c r="W19" s="772">
        <f>J19</f>
        <v>100</v>
      </c>
      <c r="X19" s="1800"/>
      <c r="Y19" s="3250"/>
      <c r="Z19" s="1801" t="str">
        <f>Q19</f>
        <v>公共配套设施</v>
      </c>
      <c r="AA19" s="1798">
        <f t="shared" si="3"/>
        <v>1</v>
      </c>
      <c r="AB19" s="1798">
        <f t="shared" si="4"/>
        <v>1</v>
      </c>
      <c r="AC19" s="1798">
        <f t="shared" si="5"/>
        <v>1</v>
      </c>
    </row>
    <row r="20" spans="1:29" ht="15">
      <c r="A20" s="425"/>
      <c r="B20" s="453"/>
      <c r="C20" s="444"/>
      <c r="D20" s="445"/>
      <c r="E20" s="2585"/>
      <c r="F20" s="446"/>
      <c r="G20" s="2584"/>
      <c r="H20" s="445"/>
      <c r="I20" s="2585"/>
      <c r="J20" s="445"/>
      <c r="K20" s="612"/>
      <c r="L20" s="1129"/>
      <c r="M20" s="1120"/>
      <c r="N20" s="1120"/>
      <c r="O20" s="1128"/>
      <c r="P20" s="3250"/>
      <c r="Q20" s="1797"/>
      <c r="R20" s="771"/>
      <c r="S20" s="772"/>
      <c r="T20" s="771"/>
      <c r="U20" s="772"/>
      <c r="V20" s="771"/>
      <c r="W20" s="772"/>
      <c r="X20" s="1800"/>
      <c r="Y20" s="3250"/>
      <c r="Z20" s="1801"/>
      <c r="AA20" s="1798">
        <v>1</v>
      </c>
      <c r="AB20" s="1798">
        <v>1</v>
      </c>
      <c r="AC20" s="1798">
        <v>1</v>
      </c>
    </row>
    <row r="21" spans="1:29" ht="28.5">
      <c r="A21" s="425"/>
      <c r="B21" s="1373" t="s">
        <v>2672</v>
      </c>
      <c r="C21" s="2587"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29"/>
      <c r="M21" s="1120"/>
      <c r="N21" s="1120"/>
      <c r="O21" s="1128"/>
      <c r="P21" s="3250"/>
      <c r="Q21" s="1797" t="str">
        <f>B21</f>
        <v>基础设施水平</v>
      </c>
      <c r="R21" s="771" t="s">
        <v>17</v>
      </c>
      <c r="S21" s="772">
        <f>F21</f>
        <v>100</v>
      </c>
      <c r="T21" s="771" t="s">
        <v>17</v>
      </c>
      <c r="U21" s="772">
        <f>H21</f>
        <v>100</v>
      </c>
      <c r="V21" s="771" t="s">
        <v>17</v>
      </c>
      <c r="W21" s="772">
        <f>J21</f>
        <v>100</v>
      </c>
      <c r="X21" s="1800"/>
      <c r="Y21" s="3250"/>
      <c r="Z21" s="1801" t="str">
        <f>Q21</f>
        <v>基础设施水平</v>
      </c>
      <c r="AA21" s="1798">
        <f t="shared" ref="AA21" si="8">D21/F21</f>
        <v>1</v>
      </c>
      <c r="AB21" s="1798">
        <f t="shared" ref="AB21" si="9">D21/H21</f>
        <v>1</v>
      </c>
      <c r="AC21" s="1798">
        <f t="shared" ref="AC21" si="10">D21/J21</f>
        <v>1</v>
      </c>
    </row>
    <row r="22" spans="1:29" ht="15">
      <c r="A22" s="425"/>
      <c r="B22" s="1373"/>
      <c r="C22" s="2588"/>
      <c r="D22" s="445"/>
      <c r="E22" s="444"/>
      <c r="F22" s="446"/>
      <c r="G22" s="444"/>
      <c r="H22" s="445"/>
      <c r="I22" s="444"/>
      <c r="J22" s="445"/>
      <c r="K22" s="1372"/>
      <c r="L22" s="1129"/>
      <c r="M22" s="1120"/>
      <c r="N22" s="1120"/>
      <c r="O22" s="1128"/>
      <c r="P22" s="3250"/>
      <c r="Q22" s="1797"/>
      <c r="R22" s="771"/>
      <c r="S22" s="772"/>
      <c r="T22" s="771"/>
      <c r="U22" s="772"/>
      <c r="V22" s="771"/>
      <c r="W22" s="772"/>
      <c r="X22" s="1800"/>
      <c r="Y22" s="3250"/>
      <c r="Z22" s="1801"/>
      <c r="AA22" s="1798">
        <v>1</v>
      </c>
      <c r="AB22" s="1798">
        <v>1</v>
      </c>
      <c r="AC22" s="1798">
        <v>1</v>
      </c>
    </row>
    <row r="23" spans="1:29" ht="71.25">
      <c r="A23" s="425"/>
      <c r="B23" s="448" t="s">
        <v>2673</v>
      </c>
      <c r="C23" s="2587"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29"/>
      <c r="M23" s="1120"/>
      <c r="N23" s="1120"/>
      <c r="O23" s="1128"/>
      <c r="P23" s="3250"/>
      <c r="Q23" s="1797" t="str">
        <f>B23</f>
        <v>环境质量</v>
      </c>
      <c r="R23" s="771" t="s">
        <v>17</v>
      </c>
      <c r="S23" s="772">
        <f>F23</f>
        <v>100</v>
      </c>
      <c r="T23" s="771" t="s">
        <v>17</v>
      </c>
      <c r="U23" s="772">
        <f>H23</f>
        <v>100</v>
      </c>
      <c r="V23" s="771" t="s">
        <v>17</v>
      </c>
      <c r="W23" s="772">
        <f>J23</f>
        <v>100</v>
      </c>
      <c r="X23" s="1800"/>
      <c r="Y23" s="3250"/>
      <c r="Z23" s="1801" t="str">
        <f>Q23</f>
        <v>环境质量</v>
      </c>
      <c r="AA23" s="1798">
        <f t="shared" si="3"/>
        <v>1</v>
      </c>
      <c r="AB23" s="1798">
        <f t="shared" si="4"/>
        <v>1</v>
      </c>
      <c r="AC23" s="1798">
        <f t="shared" si="5"/>
        <v>1</v>
      </c>
    </row>
    <row r="24" spans="1:29" ht="15">
      <c r="A24" s="425"/>
      <c r="B24" s="1373"/>
      <c r="C24" s="444"/>
      <c r="D24" s="445"/>
      <c r="E24" s="2585"/>
      <c r="F24" s="446"/>
      <c r="G24" s="2584"/>
      <c r="H24" s="445"/>
      <c r="I24" s="2585"/>
      <c r="J24" s="445"/>
      <c r="K24" s="612"/>
      <c r="L24" s="1129"/>
      <c r="M24" s="1120"/>
      <c r="N24" s="1120"/>
      <c r="O24" s="1128"/>
      <c r="P24" s="3250"/>
      <c r="Q24" s="1797"/>
      <c r="R24" s="771"/>
      <c r="S24" s="772"/>
      <c r="T24" s="771"/>
      <c r="U24" s="772"/>
      <c r="V24" s="771"/>
      <c r="W24" s="772"/>
      <c r="X24" s="1800"/>
      <c r="Y24" s="3250"/>
      <c r="Z24" s="1801"/>
      <c r="AA24" s="1798">
        <v>1</v>
      </c>
      <c r="AB24" s="1798">
        <v>1</v>
      </c>
      <c r="AC24" s="1798">
        <v>1</v>
      </c>
    </row>
    <row r="25" spans="1:29" ht="15">
      <c r="A25" s="402"/>
      <c r="B25" s="1375">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29"/>
      <c r="M25" s="1120"/>
      <c r="N25" s="1120"/>
      <c r="O25" s="1128"/>
      <c r="P25" s="3250"/>
      <c r="Q25" s="1797">
        <f>B25</f>
        <v>111</v>
      </c>
      <c r="R25" s="771" t="s">
        <v>17</v>
      </c>
      <c r="S25" s="772">
        <f>F25</f>
        <v>100</v>
      </c>
      <c r="T25" s="771" t="s">
        <v>17</v>
      </c>
      <c r="U25" s="772">
        <f>H25</f>
        <v>100</v>
      </c>
      <c r="V25" s="771" t="s">
        <v>17</v>
      </c>
      <c r="W25" s="772">
        <f>J25</f>
        <v>100</v>
      </c>
      <c r="X25" s="1800"/>
      <c r="Y25" s="3250"/>
      <c r="Z25" s="1801">
        <f>Q25</f>
        <v>111</v>
      </c>
      <c r="AA25" s="1798">
        <f t="shared" si="3"/>
        <v>1</v>
      </c>
      <c r="AB25" s="1798">
        <f t="shared" si="4"/>
        <v>1</v>
      </c>
      <c r="AC25" s="1798">
        <f t="shared" si="5"/>
        <v>1</v>
      </c>
    </row>
    <row r="26" spans="1:29" ht="15">
      <c r="A26" s="425"/>
      <c r="B26" s="1375">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29"/>
      <c r="M26" s="1120"/>
      <c r="N26" s="1120"/>
      <c r="O26" s="1128"/>
      <c r="P26" s="3250"/>
      <c r="Q26" s="1797">
        <f t="shared" ref="Q26:Q40" si="11">B26</f>
        <v>111</v>
      </c>
      <c r="R26" s="771" t="s">
        <v>17</v>
      </c>
      <c r="S26" s="772">
        <f>F26</f>
        <v>100</v>
      </c>
      <c r="T26" s="771" t="s">
        <v>17</v>
      </c>
      <c r="U26" s="772">
        <f>H26</f>
        <v>100</v>
      </c>
      <c r="V26" s="771" t="s">
        <v>17</v>
      </c>
      <c r="W26" s="772">
        <f>J26</f>
        <v>100</v>
      </c>
      <c r="X26" s="1800"/>
      <c r="Y26" s="3250"/>
      <c r="Z26" s="1801">
        <f>Q26</f>
        <v>111</v>
      </c>
      <c r="AA26" s="1798">
        <f t="shared" si="3"/>
        <v>1</v>
      </c>
      <c r="AB26" s="1798">
        <f t="shared" si="4"/>
        <v>1</v>
      </c>
      <c r="AC26" s="1798">
        <f t="shared" si="5"/>
        <v>1</v>
      </c>
    </row>
    <row r="27" spans="1:29" s="115" customFormat="1" ht="15">
      <c r="A27" s="428"/>
      <c r="B27" s="1375">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1"/>
      <c r="M27" s="1122"/>
      <c r="N27" s="1122"/>
      <c r="O27" s="1123"/>
      <c r="P27" s="3250"/>
      <c r="Q27" s="1782">
        <f t="shared" si="11"/>
        <v>111</v>
      </c>
      <c r="R27" s="767" t="s">
        <v>17</v>
      </c>
      <c r="S27" s="768">
        <f>F27</f>
        <v>100</v>
      </c>
      <c r="T27" s="767" t="s">
        <v>17</v>
      </c>
      <c r="U27" s="768">
        <f>H27</f>
        <v>100</v>
      </c>
      <c r="V27" s="767" t="s">
        <v>17</v>
      </c>
      <c r="W27" s="768">
        <f>J27</f>
        <v>100</v>
      </c>
      <c r="X27" s="769"/>
      <c r="Y27" s="3250"/>
      <c r="Z27" s="54">
        <f>Q27</f>
        <v>111</v>
      </c>
      <c r="AA27" s="1798">
        <f>D27/F27</f>
        <v>1</v>
      </c>
      <c r="AB27" s="1798">
        <f>D27/H27</f>
        <v>1</v>
      </c>
      <c r="AC27" s="1798">
        <f>D27/J27</f>
        <v>1</v>
      </c>
    </row>
    <row r="28" spans="1:29" ht="15.75" thickBot="1">
      <c r="A28" s="433"/>
      <c r="B28" s="1375">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29"/>
      <c r="M28" s="1120"/>
      <c r="N28" s="1120"/>
      <c r="O28" s="1128"/>
      <c r="P28" s="3250"/>
      <c r="Q28" s="1797">
        <f t="shared" si="11"/>
        <v>111</v>
      </c>
      <c r="R28" s="771" t="s">
        <v>17</v>
      </c>
      <c r="S28" s="772">
        <f t="shared" ref="S28:S40" si="12">F28</f>
        <v>100</v>
      </c>
      <c r="T28" s="771" t="s">
        <v>17</v>
      </c>
      <c r="U28" s="772">
        <f t="shared" ref="U28:U40" si="13">H28</f>
        <v>100</v>
      </c>
      <c r="V28" s="771" t="s">
        <v>17</v>
      </c>
      <c r="W28" s="772">
        <f t="shared" ref="W28:W40" si="14">J28</f>
        <v>100</v>
      </c>
      <c r="X28" s="1800"/>
      <c r="Y28" s="3250"/>
      <c r="Z28" s="1801">
        <f t="shared" ref="Z28:Z40" si="15">Q28</f>
        <v>111</v>
      </c>
      <c r="AA28" s="1798">
        <f t="shared" si="3"/>
        <v>1</v>
      </c>
      <c r="AB28" s="1798">
        <f t="shared" si="4"/>
        <v>1</v>
      </c>
      <c r="AC28" s="1798">
        <f t="shared" si="5"/>
        <v>1</v>
      </c>
    </row>
    <row r="29" spans="1:29" ht="28.5">
      <c r="A29" s="463" t="s">
        <v>2546</v>
      </c>
      <c r="B29" s="70" t="s">
        <v>2676</v>
      </c>
      <c r="C29" s="2657"/>
      <c r="D29" s="464">
        <v>100</v>
      </c>
      <c r="E29" s="2657"/>
      <c r="F29" s="458">
        <f>SUMIF(88:88,E29,89:89)-SUMIF(88:88,C29,89:89)+100</f>
        <v>100</v>
      </c>
      <c r="G29" s="2657"/>
      <c r="H29" s="432">
        <f>SUMIF(88:88,G29,89:89)-SUMIF(88:88,C29,89:89)+100</f>
        <v>100</v>
      </c>
      <c r="I29" s="2657"/>
      <c r="J29" s="464">
        <f>SUMIF(88:88,I29,89:89)-SUMIF(88:88,C29,89:89)+100</f>
        <v>100</v>
      </c>
      <c r="K29" s="609"/>
      <c r="L29" s="1129"/>
      <c r="M29" s="1120"/>
      <c r="N29" s="1120"/>
      <c r="O29" s="1128"/>
      <c r="P29" s="3251" t="s">
        <v>2548</v>
      </c>
      <c r="Q29" s="1797" t="str">
        <f t="shared" si="11"/>
        <v>建筑类型</v>
      </c>
      <c r="R29" s="771" t="s">
        <v>17</v>
      </c>
      <c r="S29" s="772">
        <f t="shared" si="12"/>
        <v>100</v>
      </c>
      <c r="T29" s="771" t="s">
        <v>17</v>
      </c>
      <c r="U29" s="772">
        <f t="shared" si="13"/>
        <v>100</v>
      </c>
      <c r="V29" s="771" t="s">
        <v>17</v>
      </c>
      <c r="W29" s="772">
        <f t="shared" si="14"/>
        <v>100</v>
      </c>
      <c r="X29" s="1800"/>
      <c r="Y29" s="3252" t="s">
        <v>2548</v>
      </c>
      <c r="Z29" s="1801" t="str">
        <f t="shared" si="15"/>
        <v>建筑类型</v>
      </c>
      <c r="AA29" s="1798">
        <f t="shared" si="3"/>
        <v>1</v>
      </c>
      <c r="AB29" s="1798">
        <f t="shared" si="4"/>
        <v>1</v>
      </c>
      <c r="AC29" s="1798">
        <f t="shared" si="5"/>
        <v>1</v>
      </c>
    </row>
    <row r="30" spans="1:29" s="468" customFormat="1" ht="15">
      <c r="A30" s="465"/>
      <c r="B30" s="419" t="s">
        <v>2549</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27"/>
      <c r="M30" s="1130"/>
      <c r="N30" s="1130"/>
      <c r="O30" s="1131"/>
      <c r="P30" s="3252"/>
      <c r="Q30" s="773" t="str">
        <f t="shared" si="11"/>
        <v>项目建筑规模</v>
      </c>
      <c r="R30" s="774" t="s">
        <v>17</v>
      </c>
      <c r="S30" s="775" t="e">
        <f t="shared" si="12"/>
        <v>#N/A</v>
      </c>
      <c r="T30" s="774" t="s">
        <v>17</v>
      </c>
      <c r="U30" s="775" t="e">
        <f t="shared" si="13"/>
        <v>#N/A</v>
      </c>
      <c r="V30" s="774" t="s">
        <v>17</v>
      </c>
      <c r="W30" s="775" t="e">
        <f t="shared" si="14"/>
        <v>#N/A</v>
      </c>
      <c r="X30" s="776"/>
      <c r="Y30" s="3252"/>
      <c r="Z30" s="777" t="str">
        <f t="shared" si="15"/>
        <v>项目建筑规模</v>
      </c>
      <c r="AA30" s="1798" t="e">
        <f t="shared" si="3"/>
        <v>#N/A</v>
      </c>
      <c r="AB30" s="1798" t="e">
        <f t="shared" si="4"/>
        <v>#N/A</v>
      </c>
      <c r="AC30" s="1798" t="e">
        <f t="shared" si="5"/>
        <v>#N/A</v>
      </c>
    </row>
    <row r="31" spans="1:29" ht="15">
      <c r="A31" s="469"/>
      <c r="B31" s="419" t="s">
        <v>2550</v>
      </c>
      <c r="C31" s="457"/>
      <c r="D31" s="432">
        <v>100</v>
      </c>
      <c r="E31" s="457"/>
      <c r="F31" s="458">
        <f>SUMIF(93:93,E31,94:94)-SUMIF(93:93,C31,94:94)+100</f>
        <v>100</v>
      </c>
      <c r="G31" s="457"/>
      <c r="H31" s="432">
        <f>SUMIF(93:93,G31,94:94)-SUMIF(93:93,C31,94:94)+100</f>
        <v>100</v>
      </c>
      <c r="I31" s="457"/>
      <c r="J31" s="432">
        <f>SUMIF(93:93,I31,94:94)-SUMIF(93:93,C31,94:94)+100</f>
        <v>100</v>
      </c>
      <c r="K31" s="609"/>
      <c r="L31" s="1129"/>
      <c r="M31" s="1120"/>
      <c r="N31" s="1120"/>
      <c r="O31" s="1128"/>
      <c r="P31" s="3252"/>
      <c r="Q31" s="1797" t="str">
        <f t="shared" si="11"/>
        <v>建筑结构</v>
      </c>
      <c r="R31" s="771" t="s">
        <v>17</v>
      </c>
      <c r="S31" s="772">
        <f t="shared" si="12"/>
        <v>100</v>
      </c>
      <c r="T31" s="771" t="s">
        <v>17</v>
      </c>
      <c r="U31" s="772">
        <f t="shared" si="13"/>
        <v>100</v>
      </c>
      <c r="V31" s="771" t="s">
        <v>17</v>
      </c>
      <c r="W31" s="772">
        <f t="shared" si="14"/>
        <v>100</v>
      </c>
      <c r="X31" s="1800"/>
      <c r="Y31" s="3252"/>
      <c r="Z31" s="1801" t="str">
        <f t="shared" si="15"/>
        <v>建筑结构</v>
      </c>
      <c r="AA31" s="1798">
        <f t="shared" si="3"/>
        <v>1</v>
      </c>
      <c r="AB31" s="1798">
        <f t="shared" si="4"/>
        <v>1</v>
      </c>
      <c r="AC31" s="1798">
        <f t="shared" si="5"/>
        <v>1</v>
      </c>
    </row>
    <row r="32" spans="1:29" ht="15">
      <c r="A32" s="469"/>
      <c r="B32" s="419" t="s">
        <v>2644</v>
      </c>
      <c r="C32" s="457"/>
      <c r="D32" s="432">
        <v>100</v>
      </c>
      <c r="E32" s="457"/>
      <c r="F32" s="458">
        <f>SUMIF(95:95,E32,96:96)-SUMIF(95:95,C32,96:96)+100</f>
        <v>100</v>
      </c>
      <c r="G32" s="457"/>
      <c r="H32" s="432">
        <f>SUMIF(95:95,G32,96:96)-SUMIF(95:95,C32,96:96)+100</f>
        <v>100</v>
      </c>
      <c r="I32" s="457"/>
      <c r="J32" s="432">
        <f>SUMIF(95:95,I32,96:96)-SUMIF(95:95,C32,96:96)+100</f>
        <v>100</v>
      </c>
      <c r="K32" s="609"/>
      <c r="L32" s="1129"/>
      <c r="M32" s="1120"/>
      <c r="N32" s="1120"/>
      <c r="O32" s="1128"/>
      <c r="P32" s="3252"/>
      <c r="Q32" s="1797" t="str">
        <f t="shared" si="11"/>
        <v>公共部分装修</v>
      </c>
      <c r="R32" s="771" t="s">
        <v>17</v>
      </c>
      <c r="S32" s="772">
        <f t="shared" si="12"/>
        <v>100</v>
      </c>
      <c r="T32" s="771" t="s">
        <v>17</v>
      </c>
      <c r="U32" s="772">
        <f t="shared" si="13"/>
        <v>100</v>
      </c>
      <c r="V32" s="771" t="s">
        <v>17</v>
      </c>
      <c r="W32" s="772">
        <f t="shared" si="14"/>
        <v>100</v>
      </c>
      <c r="X32" s="1800"/>
      <c r="Y32" s="3252"/>
      <c r="Z32" s="1801" t="str">
        <f t="shared" si="15"/>
        <v>公共部分装修</v>
      </c>
      <c r="AA32" s="1798">
        <f t="shared" si="3"/>
        <v>1</v>
      </c>
      <c r="AB32" s="1798">
        <f t="shared" si="4"/>
        <v>1</v>
      </c>
      <c r="AC32" s="1798">
        <f t="shared" si="5"/>
        <v>1</v>
      </c>
    </row>
    <row r="33" spans="1:29" ht="15">
      <c r="A33" s="469"/>
      <c r="B33" s="419" t="s">
        <v>2645</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29"/>
      <c r="M33" s="1120"/>
      <c r="N33" s="1120"/>
      <c r="O33" s="1128"/>
      <c r="P33" s="3252"/>
      <c r="Q33" s="1797" t="str">
        <f t="shared" si="11"/>
        <v>成新度</v>
      </c>
      <c r="R33" s="771" t="s">
        <v>17</v>
      </c>
      <c r="S33" s="772" t="e">
        <f t="shared" si="12"/>
        <v>#N/A</v>
      </c>
      <c r="T33" s="771" t="s">
        <v>17</v>
      </c>
      <c r="U33" s="772" t="e">
        <f t="shared" si="13"/>
        <v>#N/A</v>
      </c>
      <c r="V33" s="771" t="s">
        <v>17</v>
      </c>
      <c r="W33" s="772" t="e">
        <f t="shared" si="14"/>
        <v>#N/A</v>
      </c>
      <c r="X33" s="1800"/>
      <c r="Y33" s="3252"/>
      <c r="Z33" s="1801" t="str">
        <f t="shared" si="15"/>
        <v>成新度</v>
      </c>
      <c r="AA33" s="1798" t="e">
        <f t="shared" si="3"/>
        <v>#N/A</v>
      </c>
      <c r="AB33" s="1798" t="e">
        <f t="shared" si="4"/>
        <v>#N/A</v>
      </c>
      <c r="AC33" s="1798" t="e">
        <f t="shared" si="5"/>
        <v>#N/A</v>
      </c>
    </row>
    <row r="34" spans="1:29" s="115" customFormat="1" ht="15">
      <c r="A34" s="470"/>
      <c r="B34" s="419" t="s">
        <v>2678</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1"/>
      <c r="M34" s="1122"/>
      <c r="N34" s="1122"/>
      <c r="O34" s="1123"/>
      <c r="P34" s="3252"/>
      <c r="Q34" s="1782" t="str">
        <f t="shared" si="11"/>
        <v>物业管理</v>
      </c>
      <c r="R34" s="767" t="s">
        <v>17</v>
      </c>
      <c r="S34" s="768">
        <f t="shared" si="12"/>
        <v>100</v>
      </c>
      <c r="T34" s="767" t="s">
        <v>17</v>
      </c>
      <c r="U34" s="768">
        <f t="shared" si="13"/>
        <v>100</v>
      </c>
      <c r="V34" s="767" t="s">
        <v>17</v>
      </c>
      <c r="W34" s="768">
        <f t="shared" si="14"/>
        <v>100</v>
      </c>
      <c r="X34" s="769"/>
      <c r="Y34" s="3252"/>
      <c r="Z34" s="54" t="str">
        <f t="shared" si="15"/>
        <v>物业管理</v>
      </c>
      <c r="AA34" s="770">
        <f t="shared" si="3"/>
        <v>1</v>
      </c>
      <c r="AB34" s="770">
        <f t="shared" si="4"/>
        <v>1</v>
      </c>
      <c r="AC34" s="770">
        <f t="shared" si="5"/>
        <v>1</v>
      </c>
    </row>
    <row r="35" spans="1:29" ht="15">
      <c r="A35" s="469"/>
      <c r="B35" s="419" t="s">
        <v>2646</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29"/>
      <c r="M35" s="1120"/>
      <c r="N35" s="1120"/>
      <c r="O35" s="1128"/>
      <c r="P35" s="3252" t="s">
        <v>2548</v>
      </c>
      <c r="Q35" s="1797" t="str">
        <f t="shared" si="11"/>
        <v>市政基础设施</v>
      </c>
      <c r="R35" s="771" t="s">
        <v>17</v>
      </c>
      <c r="S35" s="772">
        <f t="shared" si="12"/>
        <v>100</v>
      </c>
      <c r="T35" s="771" t="s">
        <v>17</v>
      </c>
      <c r="U35" s="772">
        <f t="shared" si="13"/>
        <v>100</v>
      </c>
      <c r="V35" s="771" t="s">
        <v>17</v>
      </c>
      <c r="W35" s="772">
        <f t="shared" si="14"/>
        <v>100</v>
      </c>
      <c r="X35" s="1800"/>
      <c r="Y35" s="3252" t="s">
        <v>2548</v>
      </c>
      <c r="Z35" s="1801" t="str">
        <f t="shared" si="15"/>
        <v>市政基础设施</v>
      </c>
      <c r="AA35" s="1798">
        <f t="shared" si="3"/>
        <v>1</v>
      </c>
      <c r="AB35" s="1798">
        <f t="shared" si="4"/>
        <v>1</v>
      </c>
      <c r="AC35" s="1798">
        <f t="shared" si="5"/>
        <v>1</v>
      </c>
    </row>
    <row r="36" spans="1:29" ht="15">
      <c r="A36" s="469"/>
      <c r="B36" s="419" t="s">
        <v>2651</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29"/>
      <c r="M36" s="1120"/>
      <c r="N36" s="1120"/>
      <c r="O36" s="1128"/>
      <c r="P36" s="3252"/>
      <c r="Q36" s="1797" t="str">
        <f t="shared" si="11"/>
        <v>内部装修</v>
      </c>
      <c r="R36" s="771" t="s">
        <v>17</v>
      </c>
      <c r="S36" s="772">
        <f t="shared" si="12"/>
        <v>100</v>
      </c>
      <c r="T36" s="771" t="s">
        <v>17</v>
      </c>
      <c r="U36" s="772">
        <f t="shared" si="13"/>
        <v>100</v>
      </c>
      <c r="V36" s="771" t="s">
        <v>17</v>
      </c>
      <c r="W36" s="772">
        <f t="shared" si="14"/>
        <v>100</v>
      </c>
      <c r="X36" s="1800"/>
      <c r="Y36" s="3252"/>
      <c r="Z36" s="1801" t="str">
        <f t="shared" si="15"/>
        <v>内部装修</v>
      </c>
      <c r="AA36" s="1798">
        <f t="shared" si="3"/>
        <v>1</v>
      </c>
      <c r="AB36" s="1798">
        <f t="shared" si="4"/>
        <v>1</v>
      </c>
      <c r="AC36" s="1798">
        <f t="shared" si="5"/>
        <v>1</v>
      </c>
    </row>
    <row r="37" spans="1:29" ht="15">
      <c r="A37" s="469"/>
      <c r="B37" s="419" t="s">
        <v>2687</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29"/>
      <c r="M37" s="1120"/>
      <c r="N37" s="1120"/>
      <c r="O37" s="1128"/>
      <c r="P37" s="3252"/>
      <c r="Q37" s="1797" t="str">
        <f t="shared" si="11"/>
        <v>内部装修状况</v>
      </c>
      <c r="R37" s="771" t="s">
        <v>17</v>
      </c>
      <c r="S37" s="772">
        <f t="shared" si="12"/>
        <v>100</v>
      </c>
      <c r="T37" s="771" t="s">
        <v>17</v>
      </c>
      <c r="U37" s="772">
        <f t="shared" si="13"/>
        <v>100</v>
      </c>
      <c r="V37" s="771" t="s">
        <v>17</v>
      </c>
      <c r="W37" s="772">
        <f t="shared" si="14"/>
        <v>100</v>
      </c>
      <c r="X37" s="1800"/>
      <c r="Y37" s="3252"/>
      <c r="Z37" s="1801" t="str">
        <f t="shared" si="15"/>
        <v>内部装修状况</v>
      </c>
      <c r="AA37" s="1798">
        <f t="shared" si="3"/>
        <v>1</v>
      </c>
      <c r="AB37" s="1798">
        <f t="shared" si="4"/>
        <v>1</v>
      </c>
      <c r="AC37" s="1798">
        <f t="shared" si="5"/>
        <v>1</v>
      </c>
    </row>
    <row r="38" spans="1:29" s="468" customFormat="1" ht="15">
      <c r="A38" s="465"/>
      <c r="B38" s="1375">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7"/>
      <c r="M38" s="1130"/>
      <c r="N38" s="1130"/>
      <c r="O38" s="1131"/>
      <c r="P38" s="3252"/>
      <c r="Q38" s="773">
        <f t="shared" si="11"/>
        <v>111</v>
      </c>
      <c r="R38" s="774" t="s">
        <v>17</v>
      </c>
      <c r="S38" s="775">
        <f t="shared" si="12"/>
        <v>100</v>
      </c>
      <c r="T38" s="774" t="s">
        <v>17</v>
      </c>
      <c r="U38" s="775">
        <f t="shared" si="13"/>
        <v>100</v>
      </c>
      <c r="V38" s="774" t="s">
        <v>17</v>
      </c>
      <c r="W38" s="775">
        <f t="shared" si="14"/>
        <v>100</v>
      </c>
      <c r="X38" s="776"/>
      <c r="Y38" s="3252"/>
      <c r="Z38" s="777">
        <f t="shared" si="15"/>
        <v>111</v>
      </c>
      <c r="AA38" s="1798">
        <f t="shared" si="3"/>
        <v>1</v>
      </c>
      <c r="AB38" s="1798">
        <f t="shared" si="4"/>
        <v>1</v>
      </c>
      <c r="AC38" s="1798">
        <f t="shared" si="5"/>
        <v>1</v>
      </c>
    </row>
    <row r="39" spans="1:29" ht="15">
      <c r="A39" s="469"/>
      <c r="B39" s="1375">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29"/>
      <c r="M39" s="1120"/>
      <c r="N39" s="1120"/>
      <c r="O39" s="1128"/>
      <c r="P39" s="3252"/>
      <c r="Q39" s="1797">
        <f t="shared" si="11"/>
        <v>111</v>
      </c>
      <c r="R39" s="771" t="s">
        <v>17</v>
      </c>
      <c r="S39" s="772">
        <f t="shared" si="12"/>
        <v>100</v>
      </c>
      <c r="T39" s="771" t="s">
        <v>17</v>
      </c>
      <c r="U39" s="772">
        <f t="shared" si="13"/>
        <v>100</v>
      </c>
      <c r="V39" s="771" t="s">
        <v>17</v>
      </c>
      <c r="W39" s="772">
        <f t="shared" si="14"/>
        <v>100</v>
      </c>
      <c r="X39" s="1800"/>
      <c r="Y39" s="3252"/>
      <c r="Z39" s="1801">
        <f t="shared" si="15"/>
        <v>111</v>
      </c>
      <c r="AA39" s="1798">
        <f t="shared" si="3"/>
        <v>1</v>
      </c>
      <c r="AB39" s="1798">
        <f t="shared" si="4"/>
        <v>1</v>
      </c>
      <c r="AC39" s="1798">
        <f t="shared" si="5"/>
        <v>1</v>
      </c>
    </row>
    <row r="40" spans="1:29" ht="15.75" thickBot="1">
      <c r="A40" s="475"/>
      <c r="B40" s="2582">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29"/>
      <c r="M40" s="1120"/>
      <c r="N40" s="1120"/>
      <c r="O40" s="1128"/>
      <c r="P40" s="3291"/>
      <c r="Q40" s="1797">
        <f t="shared" si="11"/>
        <v>111</v>
      </c>
      <c r="R40" s="771" t="s">
        <v>17</v>
      </c>
      <c r="S40" s="772">
        <f t="shared" si="12"/>
        <v>100</v>
      </c>
      <c r="T40" s="771" t="s">
        <v>17</v>
      </c>
      <c r="U40" s="772">
        <f t="shared" si="13"/>
        <v>100</v>
      </c>
      <c r="V40" s="771" t="s">
        <v>17</v>
      </c>
      <c r="W40" s="772">
        <f t="shared" si="14"/>
        <v>100</v>
      </c>
      <c r="X40" s="1800"/>
      <c r="Y40" s="3291"/>
      <c r="Z40" s="1801">
        <f t="shared" si="15"/>
        <v>111</v>
      </c>
      <c r="AA40" s="1798">
        <f t="shared" si="3"/>
        <v>1</v>
      </c>
      <c r="AB40" s="1798">
        <f t="shared" si="4"/>
        <v>1</v>
      </c>
      <c r="AC40" s="1798">
        <f t="shared" si="5"/>
        <v>1</v>
      </c>
    </row>
    <row r="41" spans="1:29" ht="15">
      <c r="A41" s="476" t="s">
        <v>2560</v>
      </c>
      <c r="B41" s="477"/>
      <c r="C41" s="1396" t="s">
        <v>1</v>
      </c>
      <c r="D41" s="1397"/>
      <c r="E41" s="1398"/>
      <c r="F41" s="1399"/>
      <c r="G41" s="1400"/>
      <c r="H41" s="1401"/>
      <c r="I41" s="1398"/>
      <c r="J41" s="1401"/>
      <c r="K41" s="780"/>
      <c r="L41" s="1132"/>
      <c r="M41" s="1133"/>
      <c r="N41" s="1120"/>
      <c r="O41" s="1133"/>
      <c r="P41" s="3247" t="str">
        <f>A41</f>
        <v>成交单价（元/平方米）</v>
      </c>
      <c r="Q41" s="3247"/>
      <c r="R41" s="3287">
        <f>E41</f>
        <v>0</v>
      </c>
      <c r="S41" s="3287"/>
      <c r="T41" s="3287">
        <f>G41</f>
        <v>0</v>
      </c>
      <c r="U41" s="3287"/>
      <c r="V41" s="3287">
        <f>I41</f>
        <v>0</v>
      </c>
      <c r="W41" s="3287"/>
      <c r="X41" s="756"/>
      <c r="Y41" s="778"/>
      <c r="Z41" s="756"/>
      <c r="AA41" s="756"/>
      <c r="AB41" s="756"/>
      <c r="AC41" s="756"/>
    </row>
    <row r="42" spans="1:29" ht="15.75" thickBot="1">
      <c r="A42" s="483" t="s">
        <v>2652</v>
      </c>
      <c r="B42" s="484"/>
      <c r="C42" s="1402" t="e">
        <f>R43</f>
        <v>#DIV/0!</v>
      </c>
      <c r="D42" s="1403"/>
      <c r="E42" s="1404" t="e">
        <f>R42</f>
        <v>#DIV/0!</v>
      </c>
      <c r="F42" s="1404"/>
      <c r="G42" s="1402" t="e">
        <f>T42</f>
        <v>#DIV/0!</v>
      </c>
      <c r="H42" s="1403"/>
      <c r="I42" s="1404" t="e">
        <f>V42</f>
        <v>#DIV/0!</v>
      </c>
      <c r="J42" s="1403"/>
      <c r="K42" s="781"/>
      <c r="L42" s="1132"/>
      <c r="M42" s="1133"/>
      <c r="N42" s="1120"/>
      <c r="O42" s="1133"/>
      <c r="P42" s="3247" t="str">
        <f>A42</f>
        <v>比较价值（元/平方米）</v>
      </c>
      <c r="Q42" s="3247"/>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756"/>
      <c r="Y42" s="756"/>
      <c r="Z42" s="756"/>
      <c r="AA42" s="756"/>
      <c r="AB42" s="756"/>
      <c r="AC42" s="756"/>
    </row>
    <row r="43" spans="1:29" ht="15.75" thickBot="1">
      <c r="A43" s="489" t="s">
        <v>2653</v>
      </c>
      <c r="B43" s="490"/>
      <c r="C43" s="1406" t="e">
        <f>R43</f>
        <v>#DIV/0!</v>
      </c>
      <c r="D43" s="1406"/>
      <c r="E43" s="1406"/>
      <c r="F43" s="1406"/>
      <c r="G43" s="1406"/>
      <c r="H43" s="1406"/>
      <c r="I43" s="1406"/>
      <c r="J43" s="1406"/>
      <c r="K43" s="782"/>
      <c r="L43" s="1132"/>
      <c r="M43" s="1133"/>
      <c r="N43" s="1133"/>
      <c r="O43" s="1133"/>
      <c r="P43" s="3241" t="str">
        <f>A43</f>
        <v>估价对象XX用房的比较价值（楼面单价，元/平方米）</v>
      </c>
      <c r="Q43" s="3242"/>
      <c r="R43" s="3286" t="e">
        <f>IF(F1="售价",ROUND(AVERAGE(R42:V42),0),ROUND(AVERAGE(R42:V42),1))</f>
        <v>#DIV/0!</v>
      </c>
      <c r="S43" s="3286"/>
      <c r="T43" s="3286"/>
      <c r="U43" s="3286"/>
      <c r="V43" s="3286"/>
      <c r="W43" s="3286"/>
      <c r="X43" s="756"/>
      <c r="Y43" s="756"/>
      <c r="Z43" s="756"/>
      <c r="AA43" s="756"/>
      <c r="AB43" s="756"/>
      <c r="AC43" s="756"/>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94" t="s">
        <v>2654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4"/>
      <c r="L46" s="1095"/>
      <c r="M46" s="1133"/>
      <c r="N46" s="1133"/>
      <c r="O46" s="1133"/>
    </row>
    <row r="47" spans="1:29" ht="13.5" customHeight="1">
      <c r="A47" s="1133"/>
      <c r="B47" s="1133"/>
      <c r="C47" s="494" t="s">
        <v>2655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4"/>
      <c r="L47" s="1095"/>
      <c r="M47" s="1133"/>
      <c r="N47" s="1133"/>
      <c r="O47" s="1133"/>
    </row>
    <row r="48" spans="1:29" s="499" customFormat="1" ht="13.5" customHeight="1">
      <c r="A48" s="1134"/>
      <c r="B48" s="1134"/>
      <c r="C48" s="494" t="s">
        <v>2656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7"/>
      <c r="L48" s="1138"/>
      <c r="M48" s="1134"/>
      <c r="N48" s="1134"/>
      <c r="O48" s="1134"/>
    </row>
    <row r="49" spans="1:17" s="499"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60" t="s">
        <v>2657</v>
      </c>
      <c r="B51" s="756"/>
      <c r="C51" s="761"/>
      <c r="D51" s="761"/>
      <c r="E51" s="761"/>
      <c r="F51" s="762"/>
      <c r="G51" s="762"/>
      <c r="H51" s="761"/>
      <c r="I51" s="761"/>
      <c r="J51" s="761"/>
      <c r="K51" s="1149"/>
      <c r="L51" s="1150"/>
      <c r="M51" s="1148"/>
      <c r="N51" s="1148"/>
      <c r="O51" s="1148"/>
      <c r="P51" s="500"/>
      <c r="Q51" s="501"/>
    </row>
    <row r="52" spans="1:17" s="505" customFormat="1" ht="15">
      <c r="A52" s="502" t="s">
        <v>2531</v>
      </c>
      <c r="B52" s="503"/>
      <c r="C52" s="1562" t="str">
        <f>YEAR(C7)&amp;"-"&amp;MONTH(C7)</f>
        <v>2020-5</v>
      </c>
      <c r="D52" s="1563">
        <f>EDATE(C52,-1)</f>
        <v>43922</v>
      </c>
      <c r="E52" s="1563">
        <f t="shared" ref="E52:O52" si="16">EDATE(D52,-1)</f>
        <v>43891</v>
      </c>
      <c r="F52" s="1563">
        <f t="shared" si="16"/>
        <v>43862</v>
      </c>
      <c r="G52" s="1563">
        <f t="shared" si="16"/>
        <v>43831</v>
      </c>
      <c r="H52" s="1563">
        <f t="shared" si="16"/>
        <v>43800</v>
      </c>
      <c r="I52" s="1563">
        <f t="shared" si="16"/>
        <v>43770</v>
      </c>
      <c r="J52" s="1563">
        <f t="shared" si="16"/>
        <v>43739</v>
      </c>
      <c r="K52" s="1563">
        <f t="shared" si="16"/>
        <v>43709</v>
      </c>
      <c r="L52" s="1563">
        <f t="shared" si="16"/>
        <v>43678</v>
      </c>
      <c r="M52" s="1563">
        <f t="shared" si="16"/>
        <v>43647</v>
      </c>
      <c r="N52" s="1563">
        <f t="shared" si="16"/>
        <v>43617</v>
      </c>
      <c r="O52" s="1563">
        <f t="shared" si="16"/>
        <v>43586</v>
      </c>
      <c r="P52" s="504"/>
    </row>
    <row r="53" spans="1:17" s="115" customFormat="1" ht="15">
      <c r="A53" s="506"/>
      <c r="B53" s="507"/>
      <c r="C53" s="1561">
        <v>100</v>
      </c>
      <c r="D53" s="509"/>
      <c r="E53" s="509"/>
      <c r="F53" s="509"/>
      <c r="G53" s="509"/>
      <c r="H53" s="509"/>
      <c r="I53" s="509"/>
      <c r="J53" s="509"/>
      <c r="K53" s="509"/>
      <c r="L53" s="509"/>
      <c r="M53" s="510"/>
      <c r="N53" s="509"/>
      <c r="O53" s="511"/>
      <c r="P53" s="501"/>
    </row>
    <row r="54" spans="1:17" s="115" customFormat="1" ht="15.75" thickBot="1">
      <c r="A54" s="512" t="s">
        <v>2568</v>
      </c>
      <c r="B54" s="513"/>
      <c r="C54" s="514"/>
      <c r="D54" s="515"/>
      <c r="E54" s="515"/>
      <c r="F54" s="515"/>
      <c r="G54" s="515"/>
      <c r="H54" s="515"/>
      <c r="I54" s="515"/>
      <c r="J54" s="515"/>
      <c r="K54" s="515"/>
      <c r="L54" s="515"/>
      <c r="M54" s="516"/>
      <c r="N54" s="515"/>
      <c r="O54" s="517"/>
      <c r="P54" s="501"/>
      <c r="Q54" s="501"/>
    </row>
    <row r="55" spans="1:17" s="115" customFormat="1" ht="15">
      <c r="A55" s="518" t="s">
        <v>2533</v>
      </c>
      <c r="B55" s="507"/>
      <c r="C55" s="519" t="s">
        <v>2635</v>
      </c>
      <c r="D55" s="520"/>
      <c r="E55" s="520"/>
      <c r="F55" s="520"/>
      <c r="G55" s="520"/>
      <c r="H55" s="520"/>
      <c r="I55" s="520"/>
      <c r="J55" s="520"/>
      <c r="K55" s="520"/>
      <c r="L55" s="521"/>
      <c r="M55" s="522"/>
      <c r="N55" s="1140"/>
      <c r="O55" s="1140"/>
      <c r="P55" s="523"/>
      <c r="Q55" s="501"/>
    </row>
    <row r="56" spans="1:17" s="115" customFormat="1" ht="15.75" thickBot="1">
      <c r="A56" s="518"/>
      <c r="B56" s="507"/>
      <c r="C56" s="636">
        <v>100</v>
      </c>
      <c r="D56" s="509"/>
      <c r="E56" s="509"/>
      <c r="F56" s="509"/>
      <c r="G56" s="509"/>
      <c r="H56" s="509"/>
      <c r="I56" s="509"/>
      <c r="J56" s="509"/>
      <c r="K56" s="509"/>
      <c r="L56" s="509"/>
      <c r="M56" s="511"/>
      <c r="N56" s="1140"/>
      <c r="O56" s="1140"/>
      <c r="P56" s="501"/>
      <c r="Q56" s="501"/>
    </row>
    <row r="57" spans="1:17">
      <c r="A57" s="524" t="s">
        <v>2571</v>
      </c>
      <c r="B57" s="525" t="s">
        <v>2537</v>
      </c>
      <c r="C57" s="526">
        <f>C9</f>
        <v>0</v>
      </c>
      <c r="D57" s="527"/>
      <c r="E57" s="527"/>
      <c r="F57" s="527"/>
      <c r="G57" s="527"/>
      <c r="H57" s="527"/>
      <c r="I57" s="527"/>
      <c r="J57" s="527"/>
      <c r="K57" s="528"/>
      <c r="L57" s="529"/>
      <c r="M57" s="530"/>
      <c r="N57" s="1141"/>
      <c r="O57" s="1141"/>
      <c r="P57" s="44"/>
      <c r="Q57" s="501"/>
    </row>
    <row r="58" spans="1:17" ht="15.75" thickBot="1">
      <c r="A58" s="531"/>
      <c r="B58" s="532"/>
      <c r="C58" s="533">
        <v>100</v>
      </c>
      <c r="D58" s="533"/>
      <c r="E58" s="533"/>
      <c r="F58" s="533"/>
      <c r="G58" s="533"/>
      <c r="H58" s="533"/>
      <c r="I58" s="533"/>
      <c r="J58" s="533"/>
      <c r="K58" s="533"/>
      <c r="L58" s="533"/>
      <c r="M58" s="534"/>
      <c r="N58" s="1142"/>
      <c r="O58" s="1142"/>
      <c r="P58" s="44"/>
      <c r="Q58" s="501"/>
    </row>
    <row r="59" spans="1:17" ht="27.75" thickTop="1">
      <c r="A59" s="531"/>
      <c r="B59" s="535" t="s">
        <v>2540</v>
      </c>
      <c r="C59" s="536" t="s">
        <v>2572</v>
      </c>
      <c r="D59" s="536" t="s">
        <v>2573</v>
      </c>
      <c r="E59" s="536" t="s">
        <v>2574</v>
      </c>
      <c r="F59" s="536" t="s">
        <v>2575</v>
      </c>
      <c r="G59" s="536" t="s">
        <v>2576</v>
      </c>
      <c r="H59" s="536" t="s">
        <v>2577</v>
      </c>
      <c r="I59" s="536" t="s">
        <v>2578</v>
      </c>
      <c r="J59" s="536"/>
      <c r="K59" s="537"/>
      <c r="L59" s="538"/>
      <c r="M59" s="539"/>
      <c r="N59" s="1141"/>
      <c r="O59" s="1141"/>
      <c r="P59" s="44"/>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2"/>
      <c r="O60" s="1142"/>
      <c r="P60" s="44"/>
      <c r="Q60" s="501"/>
    </row>
    <row r="61" spans="1:17" ht="15.75" thickTop="1">
      <c r="A61" s="531"/>
      <c r="B61" s="543" t="s">
        <v>2541</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2"/>
      <c r="O61" s="1142"/>
      <c r="P61" s="44"/>
      <c r="Q61" s="501"/>
    </row>
    <row r="62" spans="1:17" ht="15">
      <c r="A62" s="531"/>
      <c r="B62" s="545"/>
      <c r="C62" s="546"/>
      <c r="D62" s="546"/>
      <c r="E62" s="546"/>
      <c r="F62" s="546"/>
      <c r="G62" s="546"/>
      <c r="H62" s="546"/>
      <c r="I62" s="546"/>
      <c r="J62" s="546"/>
      <c r="K62" s="547"/>
      <c r="L62" s="548"/>
      <c r="M62" s="549"/>
      <c r="N62" s="1141"/>
      <c r="O62" s="1141"/>
      <c r="P62" s="44"/>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2"/>
      <c r="O63" s="1142"/>
      <c r="P63" s="44"/>
      <c r="Q63" s="501"/>
    </row>
    <row r="64" spans="1:17" s="468" customFormat="1" ht="15.75" thickTop="1">
      <c r="A64" s="550"/>
      <c r="B64" s="535">
        <f>B12</f>
        <v>111</v>
      </c>
      <c r="C64" s="551"/>
      <c r="D64" s="551"/>
      <c r="E64" s="551"/>
      <c r="F64" s="551"/>
      <c r="G64" s="551"/>
      <c r="H64" s="552"/>
      <c r="I64" s="552"/>
      <c r="J64" s="552"/>
      <c r="K64" s="552"/>
      <c r="L64" s="553"/>
      <c r="M64" s="554"/>
      <c r="N64" s="1143"/>
      <c r="O64" s="1143"/>
      <c r="P64" s="555"/>
      <c r="Q64" s="556"/>
    </row>
    <row r="65" spans="1:17" s="468" customFormat="1" ht="15.75" thickBot="1">
      <c r="A65" s="550"/>
      <c r="B65" s="540"/>
      <c r="C65" s="557"/>
      <c r="D65" s="533"/>
      <c r="E65" s="533"/>
      <c r="F65" s="533"/>
      <c r="G65" s="533"/>
      <c r="H65" s="533"/>
      <c r="I65" s="533"/>
      <c r="J65" s="533"/>
      <c r="K65" s="533"/>
      <c r="L65" s="533"/>
      <c r="M65" s="534"/>
      <c r="N65" s="1142"/>
      <c r="O65" s="1142"/>
      <c r="P65" s="555"/>
      <c r="Q65" s="556"/>
    </row>
    <row r="66" spans="1:17" s="468" customFormat="1" ht="15.75" thickTop="1">
      <c r="A66" s="550"/>
      <c r="B66" s="535">
        <f>B13</f>
        <v>111</v>
      </c>
      <c r="C66" s="551"/>
      <c r="D66" s="551"/>
      <c r="E66" s="551"/>
      <c r="F66" s="551"/>
      <c r="G66" s="551"/>
      <c r="H66" s="552"/>
      <c r="I66" s="552"/>
      <c r="J66" s="552"/>
      <c r="K66" s="552"/>
      <c r="L66" s="553"/>
      <c r="M66" s="554"/>
      <c r="N66" s="1143"/>
      <c r="O66" s="1143"/>
      <c r="P66" s="467"/>
      <c r="Q66" s="558"/>
    </row>
    <row r="67" spans="1:17" s="468" customFormat="1" ht="15.75" thickBot="1">
      <c r="A67" s="550"/>
      <c r="B67" s="540"/>
      <c r="C67" s="557"/>
      <c r="D67" s="533"/>
      <c r="E67" s="533"/>
      <c r="F67" s="533"/>
      <c r="G67" s="557"/>
      <c r="H67" s="559"/>
      <c r="I67" s="559"/>
      <c r="J67" s="559"/>
      <c r="K67" s="559"/>
      <c r="L67" s="559"/>
      <c r="M67" s="560"/>
      <c r="N67" s="1143"/>
      <c r="O67" s="1143"/>
      <c r="P67" s="555"/>
      <c r="Q67" s="556"/>
    </row>
    <row r="68" spans="1:17" s="468" customFormat="1" ht="15.75" thickTop="1">
      <c r="A68" s="550"/>
      <c r="B68" s="543">
        <f>B14</f>
        <v>111</v>
      </c>
      <c r="C68" s="520"/>
      <c r="D68" s="520"/>
      <c r="E68" s="520"/>
      <c r="F68" s="520"/>
      <c r="G68" s="520"/>
      <c r="H68" s="561"/>
      <c r="I68" s="561"/>
      <c r="J68" s="561"/>
      <c r="K68" s="561"/>
      <c r="L68" s="562"/>
      <c r="M68" s="563"/>
      <c r="N68" s="1143"/>
      <c r="O68" s="1143"/>
      <c r="P68" s="564"/>
      <c r="Q68" s="556"/>
    </row>
    <row r="69" spans="1:17" s="468" customFormat="1" ht="15.75" thickBot="1">
      <c r="A69" s="565"/>
      <c r="B69" s="566"/>
      <c r="C69" s="567"/>
      <c r="D69" s="567"/>
      <c r="E69" s="567"/>
      <c r="F69" s="567"/>
      <c r="G69" s="567"/>
      <c r="H69" s="568"/>
      <c r="I69" s="568"/>
      <c r="J69" s="568"/>
      <c r="K69" s="568"/>
      <c r="L69" s="568"/>
      <c r="M69" s="569"/>
      <c r="N69" s="1143"/>
      <c r="O69" s="1143"/>
      <c r="P69" s="555"/>
      <c r="Q69" s="556"/>
    </row>
    <row r="70" spans="1:17">
      <c r="A70" s="524" t="s">
        <v>2542</v>
      </c>
      <c r="B70" s="525" t="s">
        <v>2688</v>
      </c>
      <c r="C70" s="570" t="s">
        <v>2580</v>
      </c>
      <c r="D70" s="570" t="s">
        <v>2581</v>
      </c>
      <c r="E70" s="570" t="s">
        <v>2582</v>
      </c>
      <c r="F70" s="570" t="s">
        <v>2583</v>
      </c>
      <c r="G70" s="570" t="s">
        <v>2584</v>
      </c>
      <c r="H70" s="526"/>
      <c r="I70" s="526"/>
      <c r="J70" s="526"/>
      <c r="K70" s="571"/>
      <c r="L70" s="572"/>
      <c r="M70" s="573"/>
      <c r="N70" s="1141"/>
      <c r="O70" s="1141"/>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2"/>
      <c r="O71" s="1142"/>
      <c r="P71" s="44"/>
      <c r="Q71" s="501"/>
    </row>
    <row r="72" spans="1:17" ht="15.75" thickTop="1">
      <c r="A72" s="531"/>
      <c r="B72" s="535" t="s">
        <v>2585</v>
      </c>
      <c r="C72" s="575" t="s">
        <v>2580</v>
      </c>
      <c r="D72" s="575" t="s">
        <v>2581</v>
      </c>
      <c r="E72" s="575" t="s">
        <v>2582</v>
      </c>
      <c r="F72" s="575" t="s">
        <v>2583</v>
      </c>
      <c r="G72" s="575" t="s">
        <v>2584</v>
      </c>
      <c r="H72" s="536"/>
      <c r="I72" s="536"/>
      <c r="J72" s="536"/>
      <c r="K72" s="537"/>
      <c r="L72" s="538"/>
      <c r="M72" s="539"/>
      <c r="N72" s="1141"/>
      <c r="O72" s="1141"/>
      <c r="P72" s="44"/>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2"/>
      <c r="O73" s="1142"/>
      <c r="P73" s="44"/>
      <c r="Q73" s="501"/>
    </row>
    <row r="74" spans="1:17" ht="15.75" thickTop="1">
      <c r="A74" s="531"/>
      <c r="B74" s="535" t="s">
        <v>2586</v>
      </c>
      <c r="C74" s="575" t="s">
        <v>2580</v>
      </c>
      <c r="D74" s="575" t="s">
        <v>2581</v>
      </c>
      <c r="E74" s="575" t="s">
        <v>2582</v>
      </c>
      <c r="F74" s="575" t="s">
        <v>2583</v>
      </c>
      <c r="G74" s="575" t="s">
        <v>2584</v>
      </c>
      <c r="H74" s="536"/>
      <c r="I74" s="536"/>
      <c r="J74" s="536"/>
      <c r="K74" s="537"/>
      <c r="L74" s="538"/>
      <c r="M74" s="539"/>
      <c r="N74" s="1141"/>
      <c r="O74" s="1141"/>
      <c r="P74" s="44"/>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2"/>
      <c r="O75" s="1142"/>
      <c r="P75" s="44"/>
      <c r="Q75" s="501"/>
    </row>
    <row r="76" spans="1:17" ht="15.75" thickTop="1">
      <c r="A76" s="531"/>
      <c r="B76" s="543" t="s">
        <v>2672</v>
      </c>
      <c r="C76" s="657" t="s">
        <v>2658</v>
      </c>
      <c r="D76" s="657" t="s">
        <v>2659</v>
      </c>
      <c r="E76" s="657" t="s">
        <v>2660</v>
      </c>
      <c r="F76" s="657" t="s">
        <v>2661</v>
      </c>
      <c r="G76" s="657" t="s">
        <v>2662</v>
      </c>
      <c r="H76" s="536"/>
      <c r="I76" s="536"/>
      <c r="J76" s="536"/>
      <c r="K76" s="536"/>
      <c r="L76" s="536"/>
      <c r="M76" s="1371"/>
      <c r="N76" s="1142"/>
      <c r="O76" s="1142"/>
      <c r="P76" s="44"/>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2"/>
      <c r="O77" s="1142"/>
      <c r="P77" s="44"/>
      <c r="Q77" s="501"/>
    </row>
    <row r="78" spans="1:17" ht="15.75" thickTop="1">
      <c r="A78" s="531"/>
      <c r="B78" s="535" t="s">
        <v>2681</v>
      </c>
      <c r="C78" s="575" t="s">
        <v>2580</v>
      </c>
      <c r="D78" s="575" t="s">
        <v>2581</v>
      </c>
      <c r="E78" s="575" t="s">
        <v>2582</v>
      </c>
      <c r="F78" s="575" t="s">
        <v>2583</v>
      </c>
      <c r="G78" s="575" t="s">
        <v>2584</v>
      </c>
      <c r="H78" s="536"/>
      <c r="I78" s="536"/>
      <c r="J78" s="536"/>
      <c r="K78" s="537"/>
      <c r="L78" s="538"/>
      <c r="M78" s="539"/>
      <c r="N78" s="1141"/>
      <c r="O78" s="1141"/>
      <c r="P78" s="44"/>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2"/>
      <c r="O79" s="1142"/>
      <c r="P79" s="44"/>
      <c r="Q79" s="501"/>
    </row>
    <row r="80" spans="1:17" s="115" customFormat="1" ht="15.75" thickTop="1">
      <c r="A80" s="576"/>
      <c r="B80" s="535">
        <f>B25</f>
        <v>111</v>
      </c>
      <c r="C80" s="551"/>
      <c r="D80" s="551"/>
      <c r="E80" s="551"/>
      <c r="F80" s="551"/>
      <c r="G80" s="551"/>
      <c r="H80" s="551"/>
      <c r="I80" s="551"/>
      <c r="J80" s="551"/>
      <c r="K80" s="551"/>
      <c r="L80" s="577"/>
      <c r="M80" s="578"/>
      <c r="N80" s="1140"/>
      <c r="O80" s="1140"/>
      <c r="P80" s="44"/>
      <c r="Q80" s="501"/>
    </row>
    <row r="81" spans="1:17" s="115" customFormat="1" ht="15.75" thickBot="1">
      <c r="A81" s="576"/>
      <c r="B81" s="540"/>
      <c r="C81" s="557"/>
      <c r="D81" s="533"/>
      <c r="E81" s="533"/>
      <c r="F81" s="533"/>
      <c r="G81" s="533"/>
      <c r="H81" s="533"/>
      <c r="I81" s="533"/>
      <c r="J81" s="533"/>
      <c r="K81" s="533"/>
      <c r="L81" s="533"/>
      <c r="M81" s="534"/>
      <c r="N81" s="1142"/>
      <c r="O81" s="1142"/>
      <c r="P81" s="44"/>
      <c r="Q81" s="501"/>
    </row>
    <row r="82" spans="1:17" s="115" customFormat="1" ht="15.75" thickTop="1">
      <c r="A82" s="576"/>
      <c r="B82" s="535">
        <f>B26</f>
        <v>111</v>
      </c>
      <c r="C82" s="551"/>
      <c r="D82" s="551"/>
      <c r="E82" s="551"/>
      <c r="F82" s="551"/>
      <c r="G82" s="551"/>
      <c r="H82" s="551"/>
      <c r="I82" s="551"/>
      <c r="J82" s="551"/>
      <c r="K82" s="551"/>
      <c r="L82" s="577"/>
      <c r="M82" s="578"/>
      <c r="N82" s="1140"/>
      <c r="O82" s="1140"/>
      <c r="P82" s="44"/>
      <c r="Q82" s="501"/>
    </row>
    <row r="83" spans="1:17" s="115" customFormat="1" ht="15.75" thickBot="1">
      <c r="A83" s="576"/>
      <c r="B83" s="540"/>
      <c r="C83" s="557"/>
      <c r="D83" s="533"/>
      <c r="E83" s="533"/>
      <c r="F83" s="533"/>
      <c r="G83" s="533"/>
      <c r="H83" s="533"/>
      <c r="I83" s="533"/>
      <c r="J83" s="533"/>
      <c r="K83" s="533"/>
      <c r="L83" s="533"/>
      <c r="M83" s="534"/>
      <c r="N83" s="1142"/>
      <c r="O83" s="1142"/>
      <c r="P83" s="44"/>
      <c r="Q83" s="501"/>
    </row>
    <row r="84" spans="1:17" s="468" customFormat="1" ht="15.75" thickTop="1">
      <c r="A84" s="550"/>
      <c r="B84" s="535">
        <f>B27</f>
        <v>111</v>
      </c>
      <c r="C84" s="551"/>
      <c r="D84" s="551"/>
      <c r="E84" s="551"/>
      <c r="F84" s="551"/>
      <c r="G84" s="551"/>
      <c r="H84" s="551"/>
      <c r="I84" s="551"/>
      <c r="J84" s="551"/>
      <c r="K84" s="551"/>
      <c r="L84" s="577"/>
      <c r="M84" s="578"/>
      <c r="N84" s="1143"/>
      <c r="O84" s="1143"/>
      <c r="P84" s="555"/>
      <c r="Q84" s="556"/>
    </row>
    <row r="85" spans="1:17" s="468" customFormat="1" ht="15.75" thickBot="1">
      <c r="A85" s="550"/>
      <c r="B85" s="540"/>
      <c r="C85" s="557"/>
      <c r="D85" s="533"/>
      <c r="E85" s="533"/>
      <c r="F85" s="533"/>
      <c r="G85" s="533"/>
      <c r="H85" s="533"/>
      <c r="I85" s="533"/>
      <c r="J85" s="533"/>
      <c r="K85" s="533"/>
      <c r="L85" s="533"/>
      <c r="M85" s="534"/>
      <c r="N85" s="1143"/>
      <c r="O85" s="1143"/>
      <c r="P85" s="555"/>
      <c r="Q85" s="556"/>
    </row>
    <row r="86" spans="1:17" ht="15.75" thickTop="1">
      <c r="A86" s="531"/>
      <c r="B86" s="543">
        <f>B28</f>
        <v>111</v>
      </c>
      <c r="C86" s="520"/>
      <c r="D86" s="520"/>
      <c r="E86" s="520"/>
      <c r="F86" s="520"/>
      <c r="G86" s="584"/>
      <c r="H86" s="584"/>
      <c r="I86" s="584"/>
      <c r="J86" s="584"/>
      <c r="K86" s="585"/>
      <c r="L86" s="586"/>
      <c r="M86" s="587"/>
      <c r="N86" s="1141"/>
      <c r="O86" s="1141"/>
      <c r="P86" s="44"/>
      <c r="Q86" s="501"/>
    </row>
    <row r="87" spans="1:17" ht="15.75" thickBot="1">
      <c r="A87" s="2614"/>
      <c r="B87" s="566"/>
      <c r="C87" s="567"/>
      <c r="D87" s="567"/>
      <c r="E87" s="567"/>
      <c r="F87" s="567"/>
      <c r="G87" s="588"/>
      <c r="H87" s="588"/>
      <c r="I87" s="588"/>
      <c r="J87" s="588"/>
      <c r="K87" s="588"/>
      <c r="L87" s="588"/>
      <c r="M87" s="589"/>
      <c r="N87" s="1142"/>
      <c r="O87" s="1142"/>
      <c r="P87" s="44"/>
      <c r="Q87" s="501"/>
    </row>
    <row r="88" spans="1:17">
      <c r="A88" s="524" t="s">
        <v>2546</v>
      </c>
      <c r="B88" s="525" t="s">
        <v>2595</v>
      </c>
      <c r="C88" s="527"/>
      <c r="D88" s="527"/>
      <c r="E88" s="527"/>
      <c r="F88" s="527"/>
      <c r="G88" s="527"/>
      <c r="H88" s="527"/>
      <c r="I88" s="527"/>
      <c r="J88" s="527"/>
      <c r="K88" s="528"/>
      <c r="L88" s="529"/>
      <c r="M88" s="530"/>
      <c r="N88" s="1141"/>
      <c r="O88" s="1141"/>
      <c r="P88" s="44"/>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2"/>
      <c r="O89" s="1142"/>
      <c r="P89" s="44"/>
      <c r="Q89" s="501"/>
    </row>
    <row r="90" spans="1:17" ht="15.75" thickTop="1">
      <c r="A90" s="531"/>
      <c r="B90" s="535" t="s">
        <v>2596</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0"/>
      <c r="O90" s="1140"/>
      <c r="P90" s="44"/>
      <c r="Q90" s="501"/>
    </row>
    <row r="91" spans="1:17" s="468" customFormat="1">
      <c r="A91" s="590"/>
      <c r="B91" s="591"/>
      <c r="C91" s="592"/>
      <c r="D91" s="592"/>
      <c r="E91" s="592"/>
      <c r="F91" s="592"/>
      <c r="G91" s="592"/>
      <c r="H91" s="592"/>
      <c r="I91" s="592"/>
      <c r="J91" s="593"/>
      <c r="K91" s="593"/>
      <c r="L91" s="594"/>
      <c r="M91" s="595"/>
      <c r="N91" s="1143"/>
      <c r="O91" s="1143"/>
      <c r="P91" s="555"/>
      <c r="Q91" s="556"/>
    </row>
    <row r="92" spans="1:17" s="468" customFormat="1" ht="15.75" thickBot="1">
      <c r="A92" s="550"/>
      <c r="B92" s="540"/>
      <c r="C92" s="557"/>
      <c r="D92" s="533"/>
      <c r="E92" s="533"/>
      <c r="F92" s="533"/>
      <c r="G92" s="533"/>
      <c r="H92" s="533"/>
      <c r="I92" s="533"/>
      <c r="J92" s="533"/>
      <c r="K92" s="533"/>
      <c r="L92" s="533"/>
      <c r="M92" s="534"/>
      <c r="N92" s="1142"/>
      <c r="O92" s="1142"/>
      <c r="P92" s="555"/>
      <c r="Q92" s="556"/>
    </row>
    <row r="93" spans="1:17" ht="15" thickTop="1">
      <c r="A93" s="596"/>
      <c r="B93" s="535" t="s">
        <v>2597</v>
      </c>
      <c r="C93" s="551"/>
      <c r="D93" s="551"/>
      <c r="E93" s="580"/>
      <c r="F93" s="580"/>
      <c r="G93" s="580"/>
      <c r="H93" s="580"/>
      <c r="I93" s="580"/>
      <c r="J93" s="580"/>
      <c r="K93" s="581"/>
      <c r="L93" s="582"/>
      <c r="M93" s="583"/>
      <c r="N93" s="1141"/>
      <c r="O93" s="1141"/>
      <c r="P93" s="44"/>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2"/>
      <c r="O94" s="1142"/>
      <c r="P94" s="44"/>
      <c r="Q94" s="501"/>
    </row>
    <row r="95" spans="1:17" ht="15" thickTop="1">
      <c r="A95" s="596"/>
      <c r="B95" s="535" t="s">
        <v>2599</v>
      </c>
      <c r="C95" s="551"/>
      <c r="D95" s="551"/>
      <c r="E95" s="551"/>
      <c r="F95" s="580"/>
      <c r="G95" s="580"/>
      <c r="H95" s="580"/>
      <c r="I95" s="580"/>
      <c r="J95" s="580"/>
      <c r="K95" s="581"/>
      <c r="L95" s="582"/>
      <c r="M95" s="583"/>
      <c r="N95" s="1141"/>
      <c r="O95" s="1141"/>
      <c r="P95" s="44"/>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2"/>
      <c r="O96" s="1142"/>
      <c r="P96" s="44"/>
      <c r="Q96" s="501"/>
    </row>
    <row r="97" spans="1:17" ht="15" thickTop="1">
      <c r="A97" s="596"/>
      <c r="B97" s="535" t="s">
        <v>1987</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1"/>
      <c r="O97" s="1141"/>
      <c r="P97" s="44"/>
      <c r="Q97" s="501"/>
    </row>
    <row r="98" spans="1:17">
      <c r="A98" s="596"/>
      <c r="B98" s="543"/>
      <c r="C98" s="600">
        <v>0.5</v>
      </c>
      <c r="D98" s="600">
        <v>0.6</v>
      </c>
      <c r="E98" s="600">
        <v>0.7</v>
      </c>
      <c r="F98" s="600">
        <v>0.8</v>
      </c>
      <c r="G98" s="600">
        <v>0.9</v>
      </c>
      <c r="H98" s="600">
        <v>1.0001</v>
      </c>
      <c r="I98" s="620"/>
      <c r="J98" s="620"/>
      <c r="K98" s="621"/>
      <c r="L98" s="622"/>
      <c r="M98" s="623"/>
      <c r="N98" s="1141"/>
      <c r="O98" s="1141"/>
      <c r="P98" s="44"/>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2"/>
      <c r="O99" s="1142"/>
      <c r="P99" s="44"/>
      <c r="Q99" s="501"/>
    </row>
    <row r="100" spans="1:17" s="468" customFormat="1" ht="15" thickTop="1">
      <c r="A100" s="590"/>
      <c r="B100" s="535" t="s">
        <v>2600</v>
      </c>
      <c r="C100" s="551"/>
      <c r="D100" s="551"/>
      <c r="E100" s="551"/>
      <c r="F100" s="551"/>
      <c r="G100" s="551"/>
      <c r="H100" s="580"/>
      <c r="I100" s="580"/>
      <c r="J100" s="580"/>
      <c r="K100" s="581"/>
      <c r="L100" s="582"/>
      <c r="M100" s="583"/>
      <c r="N100" s="1143"/>
      <c r="O100" s="1143"/>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3"/>
      <c r="O101" s="1143"/>
      <c r="P101" s="555"/>
      <c r="Q101" s="556"/>
    </row>
    <row r="102" spans="1:17" ht="15" thickTop="1">
      <c r="A102" s="596"/>
      <c r="B102" s="535" t="s">
        <v>2601</v>
      </c>
      <c r="C102" s="551"/>
      <c r="D102" s="551"/>
      <c r="E102" s="551"/>
      <c r="F102" s="551"/>
      <c r="G102" s="551"/>
      <c r="H102" s="580"/>
      <c r="I102" s="580"/>
      <c r="J102" s="580"/>
      <c r="K102" s="581"/>
      <c r="L102" s="582"/>
      <c r="M102" s="583"/>
      <c r="N102" s="1141"/>
      <c r="O102" s="1141"/>
      <c r="P102" s="44"/>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2"/>
      <c r="O103" s="1142"/>
      <c r="P103" s="44"/>
      <c r="Q103" s="501"/>
    </row>
    <row r="104" spans="1:17" ht="15" thickTop="1">
      <c r="A104" s="596"/>
      <c r="B104" s="535" t="s">
        <v>2603</v>
      </c>
      <c r="C104" s="551"/>
      <c r="D104" s="551"/>
      <c r="E104" s="551"/>
      <c r="F104" s="551"/>
      <c r="G104" s="551"/>
      <c r="H104" s="580"/>
      <c r="I104" s="580"/>
      <c r="J104" s="580"/>
      <c r="K104" s="581"/>
      <c r="L104" s="582"/>
      <c r="M104" s="583"/>
      <c r="N104" s="1141"/>
      <c r="O104" s="1141"/>
      <c r="P104" s="44"/>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2"/>
      <c r="O105" s="1142"/>
      <c r="P105" s="44"/>
      <c r="Q105" s="501"/>
    </row>
    <row r="106" spans="1:17" ht="15" thickTop="1">
      <c r="A106" s="596"/>
      <c r="B106" s="633" t="s">
        <v>2689</v>
      </c>
      <c r="C106" s="575" t="s">
        <v>2580</v>
      </c>
      <c r="D106" s="575" t="s">
        <v>2581</v>
      </c>
      <c r="E106" s="575" t="s">
        <v>2582</v>
      </c>
      <c r="F106" s="575" t="s">
        <v>2583</v>
      </c>
      <c r="G106" s="575" t="s">
        <v>2584</v>
      </c>
      <c r="H106" s="536"/>
      <c r="I106" s="536"/>
      <c r="J106" s="536"/>
      <c r="K106" s="537"/>
      <c r="L106" s="538"/>
      <c r="M106" s="539"/>
      <c r="N106" s="1142"/>
      <c r="O106" s="1142"/>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2"/>
      <c r="O107" s="1142"/>
      <c r="P107" s="44"/>
      <c r="Q107" s="501"/>
    </row>
    <row r="108" spans="1:17" s="468" customFormat="1" ht="15" thickTop="1">
      <c r="A108" s="590"/>
      <c r="B108" s="535">
        <f>B38</f>
        <v>111</v>
      </c>
      <c r="C108" s="551"/>
      <c r="D108" s="551"/>
      <c r="E108" s="551"/>
      <c r="F108" s="551"/>
      <c r="G108" s="551"/>
      <c r="H108" s="552"/>
      <c r="I108" s="552"/>
      <c r="J108" s="552"/>
      <c r="K108" s="552"/>
      <c r="L108" s="553"/>
      <c r="M108" s="554"/>
      <c r="N108" s="1143"/>
      <c r="O108" s="1143"/>
      <c r="P108" s="555"/>
      <c r="Q108" s="556"/>
    </row>
    <row r="109" spans="1:17" s="468" customFormat="1" ht="15.75" thickBot="1">
      <c r="A109" s="550"/>
      <c r="B109" s="532"/>
      <c r="C109" s="557"/>
      <c r="D109" s="533"/>
      <c r="E109" s="533"/>
      <c r="F109" s="533"/>
      <c r="G109" s="557"/>
      <c r="H109" s="559"/>
      <c r="I109" s="559"/>
      <c r="J109" s="559"/>
      <c r="K109" s="559"/>
      <c r="L109" s="559"/>
      <c r="M109" s="560"/>
      <c r="N109" s="1143"/>
      <c r="O109" s="1143"/>
      <c r="P109" s="555"/>
      <c r="Q109" s="556"/>
    </row>
    <row r="110" spans="1:17" ht="15" thickTop="1">
      <c r="A110" s="596"/>
      <c r="B110" s="535">
        <f>B39</f>
        <v>111</v>
      </c>
      <c r="C110" s="551"/>
      <c r="D110" s="551"/>
      <c r="E110" s="551"/>
      <c r="F110" s="551"/>
      <c r="G110" s="551"/>
      <c r="H110" s="552"/>
      <c r="I110" s="552"/>
      <c r="J110" s="552"/>
      <c r="K110" s="552"/>
      <c r="L110" s="553"/>
      <c r="M110" s="554"/>
      <c r="N110" s="1141"/>
      <c r="O110" s="1141"/>
      <c r="P110" s="44"/>
      <c r="Q110" s="501"/>
    </row>
    <row r="111" spans="1:17" ht="15.75" thickBot="1">
      <c r="A111" s="531"/>
      <c r="B111" s="540"/>
      <c r="C111" s="557"/>
      <c r="D111" s="533"/>
      <c r="E111" s="533"/>
      <c r="F111" s="533"/>
      <c r="G111" s="557"/>
      <c r="H111" s="559"/>
      <c r="I111" s="559"/>
      <c r="J111" s="559"/>
      <c r="K111" s="559"/>
      <c r="L111" s="559"/>
      <c r="M111" s="560"/>
      <c r="N111" s="1142"/>
      <c r="O111" s="1142"/>
      <c r="P111" s="44"/>
      <c r="Q111" s="501"/>
    </row>
    <row r="112" spans="1:17" ht="15" thickTop="1">
      <c r="A112" s="596"/>
      <c r="B112" s="543">
        <f>B40</f>
        <v>111</v>
      </c>
      <c r="C112" s="520"/>
      <c r="D112" s="520"/>
      <c r="E112" s="520"/>
      <c r="F112" s="520"/>
      <c r="G112" s="584"/>
      <c r="H112" s="584"/>
      <c r="I112" s="584"/>
      <c r="J112" s="584"/>
      <c r="K112" s="520"/>
      <c r="L112" s="521"/>
      <c r="M112" s="587"/>
      <c r="N112" s="1141"/>
      <c r="O112" s="1141"/>
      <c r="P112" s="44"/>
      <c r="Q112" s="501"/>
    </row>
    <row r="113" spans="1:17" ht="15.75" thickBot="1">
      <c r="A113" s="2614"/>
      <c r="B113" s="566"/>
      <c r="C113" s="567"/>
      <c r="D113" s="567"/>
      <c r="E113" s="567"/>
      <c r="F113" s="567"/>
      <c r="G113" s="588"/>
      <c r="H113" s="588"/>
      <c r="I113" s="588"/>
      <c r="J113" s="588"/>
      <c r="K113" s="588"/>
      <c r="L113" s="588"/>
      <c r="M113" s="589"/>
      <c r="N113" s="1142"/>
      <c r="O113" s="1142"/>
      <c r="P113" s="44"/>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2" customWidth="1"/>
    <col min="12" max="12" width="12.25" style="493" customWidth="1"/>
    <col min="13" max="15" width="12.25" style="401" customWidth="1"/>
    <col min="16" max="16" width="4.75" style="11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7" customFormat="1" ht="28.5" customHeight="1" thickBot="1">
      <c r="A1" s="1606" t="s">
        <v>2690</v>
      </c>
      <c r="B1" s="1607"/>
      <c r="C1" s="1608" t="s">
        <v>2513</v>
      </c>
      <c r="D1" s="1609"/>
      <c r="E1" s="1610"/>
      <c r="F1" s="2565"/>
      <c r="G1" s="1611" t="s">
        <v>2626</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6" customFormat="1" ht="28.5" customHeight="1" thickTop="1">
      <c r="A2" s="1605" t="s">
        <v>2313</v>
      </c>
      <c r="B2" s="1407" t="e">
        <f ca="1">IF(C2="——",IF(B37="元/平方米",ROUND(C39*D3/10000,0),ROUND(F3*C39/10000,0)),IF(B37="元/平方米",ROUND(C39*D3/10000,0),ROUND(F3*C39/10000,0))-D2)</f>
        <v>#DIV/0!</v>
      </c>
      <c r="C2" s="2567"/>
      <c r="D2" s="1113" t="e">
        <f ca="1">SUMIF(INDIRECT("'"&amp;F2&amp;"'"&amp;"!A:A"),"承租人权益价值",INDIRECT("'"&amp;F2&amp;"'"&amp;"!c:c"))</f>
        <v>#REF!</v>
      </c>
      <c r="E2" s="2568" t="s">
        <v>2314</v>
      </c>
      <c r="F2" s="2569"/>
      <c r="G2" s="1114"/>
      <c r="H2" s="1114"/>
      <c r="I2" s="1114"/>
      <c r="J2" s="1114"/>
      <c r="K2" s="1116"/>
      <c r="L2" s="1117"/>
      <c r="M2" s="1118"/>
      <c r="N2" s="1118"/>
      <c r="O2" s="1118"/>
      <c r="P2" s="1408"/>
      <c r="Q2" s="765"/>
      <c r="R2" s="765"/>
      <c r="S2" s="765"/>
      <c r="T2" s="765"/>
      <c r="U2" s="765"/>
      <c r="V2" s="765"/>
      <c r="W2" s="765"/>
      <c r="X2" s="765"/>
      <c r="Y2" s="765"/>
      <c r="Z2" s="765"/>
      <c r="AA2" s="765"/>
      <c r="AB2" s="765"/>
      <c r="AC2" s="766"/>
    </row>
    <row r="3" spans="1:29" s="396" customFormat="1" ht="28.5" customHeight="1" thickBot="1">
      <c r="A3" s="245" t="s">
        <v>2315</v>
      </c>
      <c r="B3" s="606" t="e">
        <f ca="1">IF(AND(C2="——",B37="元/平方米"),C39,ROUND(B2*10000/D3,0))</f>
        <v>#DIV/0!</v>
      </c>
      <c r="C3" s="398" t="s">
        <v>2627</v>
      </c>
      <c r="D3" s="397">
        <f>SUMIF('数据-汇总表'!$C19:$C33,D1,'数据-汇总表'!$E19:$E33)</f>
        <v>0</v>
      </c>
      <c r="E3" s="398" t="s">
        <v>2691</v>
      </c>
      <c r="F3" s="397">
        <f>SUMIF('数据-取费表'!A5:A15,D1,'数据-取费表'!AH5:AH15)</f>
        <v>0</v>
      </c>
      <c r="G3" s="1114"/>
      <c r="H3" s="1114"/>
      <c r="I3" s="1114"/>
      <c r="J3" s="1114"/>
      <c r="K3" s="1116"/>
      <c r="L3" s="1117"/>
      <c r="M3" s="1118"/>
      <c r="N3" s="1118"/>
      <c r="O3" s="1118"/>
      <c r="P3" s="1408"/>
      <c r="Q3" s="765"/>
      <c r="R3" s="765"/>
      <c r="S3" s="765"/>
      <c r="T3" s="765"/>
      <c r="U3" s="765"/>
      <c r="V3" s="765"/>
      <c r="W3" s="765"/>
      <c r="X3" s="765"/>
      <c r="Y3" s="765"/>
      <c r="Z3" s="765"/>
      <c r="AA3" s="765"/>
      <c r="AB3" s="783"/>
      <c r="AC3" s="779"/>
    </row>
    <row r="4" spans="1:29" ht="15">
      <c r="A4" s="399" t="s">
        <v>2628</v>
      </c>
      <c r="B4" s="400"/>
      <c r="C4" s="3244" t="s">
        <v>2629</v>
      </c>
      <c r="D4" s="3257"/>
      <c r="E4" s="3258" t="s">
        <v>2630</v>
      </c>
      <c r="F4" s="3259"/>
      <c r="G4" s="3244" t="s">
        <v>2631</v>
      </c>
      <c r="H4" s="3257"/>
      <c r="I4" s="3244" t="s">
        <v>2632</v>
      </c>
      <c r="J4" s="3257"/>
      <c r="K4" s="607" t="s">
        <v>2633</v>
      </c>
      <c r="L4" s="1119"/>
      <c r="M4" s="1120"/>
      <c r="N4" s="1120"/>
      <c r="O4" s="1120"/>
      <c r="P4" s="3260" t="s">
        <v>2634</v>
      </c>
      <c r="Q4" s="3261"/>
      <c r="R4" s="3266" t="s">
        <v>2630</v>
      </c>
      <c r="S4" s="3267"/>
      <c r="T4" s="3266" t="s">
        <v>2631</v>
      </c>
      <c r="U4" s="3267"/>
      <c r="V4" s="3253" t="s">
        <v>2632</v>
      </c>
      <c r="W4" s="3253"/>
      <c r="X4" s="1800"/>
      <c r="Y4" s="3266" t="s">
        <v>2634</v>
      </c>
      <c r="Z4" s="3267"/>
      <c r="AA4" s="3254" t="s">
        <v>2630</v>
      </c>
      <c r="AB4" s="3255" t="s">
        <v>2631</v>
      </c>
      <c r="AC4" s="3254" t="s">
        <v>2632</v>
      </c>
    </row>
    <row r="5" spans="1:29" ht="15">
      <c r="A5" s="402"/>
      <c r="B5" s="403"/>
      <c r="C5" s="3274" t="s">
        <v>2525</v>
      </c>
      <c r="D5" s="3275"/>
      <c r="E5" s="3281" t="s">
        <v>2526</v>
      </c>
      <c r="F5" s="3282"/>
      <c r="G5" s="3274" t="s">
        <v>2527</v>
      </c>
      <c r="H5" s="3275"/>
      <c r="I5" s="3274" t="s">
        <v>2528</v>
      </c>
      <c r="J5" s="3275"/>
      <c r="K5" s="607"/>
      <c r="L5" s="1119"/>
      <c r="M5" s="1120"/>
      <c r="N5" s="1120"/>
      <c r="O5" s="1120"/>
      <c r="P5" s="3262"/>
      <c r="Q5" s="3263"/>
      <c r="R5" s="3268"/>
      <c r="S5" s="3269"/>
      <c r="T5" s="3268"/>
      <c r="U5" s="3269"/>
      <c r="V5" s="3253"/>
      <c r="W5" s="3253"/>
      <c r="X5" s="1800"/>
      <c r="Y5" s="3268"/>
      <c r="Z5" s="3269"/>
      <c r="AA5" s="3255"/>
      <c r="AB5" s="3255"/>
      <c r="AC5" s="3255"/>
    </row>
    <row r="6" spans="1:29" ht="15.75" thickBot="1">
      <c r="A6" s="404"/>
      <c r="B6" s="405"/>
      <c r="C6" s="3272" t="s">
        <v>2529</v>
      </c>
      <c r="D6" s="3273"/>
      <c r="E6" s="3279" t="s">
        <v>2529</v>
      </c>
      <c r="F6" s="3280"/>
      <c r="G6" s="3272" t="s">
        <v>2529</v>
      </c>
      <c r="H6" s="3273"/>
      <c r="I6" s="3272" t="s">
        <v>2529</v>
      </c>
      <c r="J6" s="3273"/>
      <c r="K6" s="607" t="s">
        <v>2530</v>
      </c>
      <c r="L6" s="1119"/>
      <c r="M6" s="1120"/>
      <c r="N6" s="1120"/>
      <c r="O6" s="1120"/>
      <c r="P6" s="3264"/>
      <c r="Q6" s="3265"/>
      <c r="R6" s="3268"/>
      <c r="S6" s="3269"/>
      <c r="T6" s="3270"/>
      <c r="U6" s="3271"/>
      <c r="V6" s="3253"/>
      <c r="W6" s="3253"/>
      <c r="X6" s="1800"/>
      <c r="Y6" s="3270"/>
      <c r="Z6" s="3271"/>
      <c r="AA6" s="3256"/>
      <c r="AB6" s="3256"/>
      <c r="AC6" s="3256"/>
    </row>
    <row r="7" spans="1:29" s="115" customFormat="1" ht="15.75" thickBot="1">
      <c r="A7" s="406" t="s">
        <v>2531</v>
      </c>
      <c r="B7" s="407"/>
      <c r="C7" s="408">
        <f>'数据-取费表'!B2</f>
        <v>43970</v>
      </c>
      <c r="D7" s="409">
        <v>100</v>
      </c>
      <c r="E7" s="410"/>
      <c r="F7" s="411">
        <f>SUMIF(48:48,YEAR(E7)&amp;"-"&amp;MONTH(E7),49:49)</f>
        <v>0</v>
      </c>
      <c r="G7" s="410"/>
      <c r="H7" s="409">
        <f>SUMIF(48:48,YEAR(G7)&amp;"-"&amp;MONTH(G7),49:49)</f>
        <v>0</v>
      </c>
      <c r="I7" s="410"/>
      <c r="J7" s="409">
        <f>SUMIF(48:48,YEAR(I7)&amp;"-"&amp;MONTH(I7),49:49)</f>
        <v>0</v>
      </c>
      <c r="K7" s="608"/>
      <c r="L7" s="1121"/>
      <c r="M7" s="1122"/>
      <c r="N7" s="1122"/>
      <c r="O7" s="1122"/>
      <c r="P7" s="3276" t="s">
        <v>2532</v>
      </c>
      <c r="Q7" s="3278"/>
      <c r="R7" s="767" t="s">
        <v>17</v>
      </c>
      <c r="S7" s="768">
        <f t="shared" ref="S7:S14" si="0">F7</f>
        <v>0</v>
      </c>
      <c r="T7" s="767" t="s">
        <v>17</v>
      </c>
      <c r="U7" s="768">
        <f t="shared" ref="U7:U14" si="1">H7</f>
        <v>0</v>
      </c>
      <c r="V7" s="767" t="s">
        <v>17</v>
      </c>
      <c r="W7" s="768">
        <f t="shared" ref="W7:W14" si="2">J7</f>
        <v>0</v>
      </c>
      <c r="X7" s="769"/>
      <c r="Y7" s="3276" t="s">
        <v>2532</v>
      </c>
      <c r="Z7" s="3277"/>
      <c r="AA7" s="770" t="e">
        <f>D7/F7</f>
        <v>#DIV/0!</v>
      </c>
      <c r="AB7" s="770" t="e">
        <f>D7/H7</f>
        <v>#DIV/0!</v>
      </c>
      <c r="AC7" s="770" t="e">
        <f>D7/J7</f>
        <v>#DIV/0!</v>
      </c>
    </row>
    <row r="8" spans="1:29" s="115" customFormat="1" ht="15.75" thickBot="1">
      <c r="A8" s="406" t="s">
        <v>2533</v>
      </c>
      <c r="B8" s="407"/>
      <c r="C8" s="412" t="s">
        <v>2635</v>
      </c>
      <c r="D8" s="409">
        <v>100</v>
      </c>
      <c r="E8" s="412"/>
      <c r="F8" s="411">
        <f>SUMIF(51:51,E8,52:52)-SUMIF(51:51,C8,52:52)+100</f>
        <v>0</v>
      </c>
      <c r="G8" s="412"/>
      <c r="H8" s="409">
        <f>SUMIF(51:51,G8,52:52)-SUMIF(51:51,C8,52:52)+100</f>
        <v>0</v>
      </c>
      <c r="I8" s="412"/>
      <c r="J8" s="409">
        <f>SUMIF(51:51,I8,52:52)-SUMIF(51:51,C8,52:52)+100</f>
        <v>0</v>
      </c>
      <c r="K8" s="608"/>
      <c r="L8" s="1121"/>
      <c r="M8" s="1122"/>
      <c r="N8" s="1122"/>
      <c r="O8" s="1122"/>
      <c r="P8" s="3276" t="s">
        <v>2535</v>
      </c>
      <c r="Q8" s="3277"/>
      <c r="R8" s="767" t="s">
        <v>17</v>
      </c>
      <c r="S8" s="768">
        <f t="shared" si="0"/>
        <v>0</v>
      </c>
      <c r="T8" s="767" t="s">
        <v>17</v>
      </c>
      <c r="U8" s="768">
        <f t="shared" si="1"/>
        <v>0</v>
      </c>
      <c r="V8" s="767" t="s">
        <v>17</v>
      </c>
      <c r="W8" s="768">
        <f t="shared" si="2"/>
        <v>0</v>
      </c>
      <c r="X8" s="769"/>
      <c r="Y8" s="3276" t="s">
        <v>2535</v>
      </c>
      <c r="Z8" s="3277"/>
      <c r="AA8" s="770" t="e">
        <f t="shared" ref="AA8:AA36" si="3">D8/F8</f>
        <v>#DIV/0!</v>
      </c>
      <c r="AB8" s="770" t="e">
        <f t="shared" ref="AB8:AB36" si="4">D8/H8</f>
        <v>#DIV/0!</v>
      </c>
      <c r="AC8" s="770" t="e">
        <f t="shared" ref="AC8:AC36" si="5">D8/J8</f>
        <v>#DIV/0!</v>
      </c>
    </row>
    <row r="9" spans="1:29" s="115" customFormat="1">
      <c r="A9" s="67" t="s">
        <v>2536</v>
      </c>
      <c r="B9" s="637" t="s">
        <v>2537</v>
      </c>
      <c r="C9" s="414"/>
      <c r="D9" s="133">
        <v>100</v>
      </c>
      <c r="E9" s="417"/>
      <c r="F9" s="133">
        <f>SUMIF(53:53,E9,54:54)-SUMIF(53:53,C9,54:54)+100</f>
        <v>100</v>
      </c>
      <c r="G9" s="415"/>
      <c r="H9" s="133">
        <f>SUMIF(53:53,G9,54:54)-SUMIF(53:53,C9,54:54)+100</f>
        <v>100</v>
      </c>
      <c r="I9" s="415"/>
      <c r="J9" s="133">
        <f>SUMIF(53:53,I9,54:54)-SUMIF(53:53,C9,54:54)+100</f>
        <v>100</v>
      </c>
      <c r="K9" s="608"/>
      <c r="L9" s="1121"/>
      <c r="M9" s="1122"/>
      <c r="N9" s="1122"/>
      <c r="O9" s="1122"/>
      <c r="P9" s="3247" t="s">
        <v>2538</v>
      </c>
      <c r="Q9" s="1782" t="str">
        <f t="shared" ref="Q9:Q14" si="6">B9</f>
        <v>用途</v>
      </c>
      <c r="R9" s="767" t="s">
        <v>17</v>
      </c>
      <c r="S9" s="768">
        <f t="shared" si="0"/>
        <v>100</v>
      </c>
      <c r="T9" s="767" t="s">
        <v>17</v>
      </c>
      <c r="U9" s="768">
        <f t="shared" si="1"/>
        <v>100</v>
      </c>
      <c r="V9" s="767" t="s">
        <v>17</v>
      </c>
      <c r="W9" s="768">
        <f t="shared" si="2"/>
        <v>100</v>
      </c>
      <c r="X9" s="769"/>
      <c r="Y9" s="3098" t="s">
        <v>2539</v>
      </c>
      <c r="Z9" s="54" t="str">
        <f t="shared" ref="Z9:Z14" si="7">Q9</f>
        <v>用途</v>
      </c>
      <c r="AA9" s="770">
        <f t="shared" si="3"/>
        <v>1</v>
      </c>
      <c r="AB9" s="770">
        <f t="shared" si="4"/>
        <v>1</v>
      </c>
      <c r="AC9" s="770">
        <f t="shared" si="5"/>
        <v>1</v>
      </c>
    </row>
    <row r="10" spans="1:29" s="424" customFormat="1" ht="27">
      <c r="A10" s="638"/>
      <c r="B10" s="639" t="s">
        <v>2540</v>
      </c>
      <c r="C10" s="420"/>
      <c r="D10" s="134">
        <v>100</v>
      </c>
      <c r="E10" s="420"/>
      <c r="F10" s="134">
        <f>SUMIF(55:55,E10,56:56)-SUMIF(55:55,C10,56:56)+100</f>
        <v>100</v>
      </c>
      <c r="G10" s="421"/>
      <c r="H10" s="134">
        <f>SUMIF(55:55,G10,56:56)-SUMIF(55:55,C10,56:56)+100</f>
        <v>100</v>
      </c>
      <c r="I10" s="420"/>
      <c r="J10" s="134">
        <f>SUMIF(55:55,I10,56:56)-SUMIF(55:55,C10,56:56)+100</f>
        <v>100</v>
      </c>
      <c r="K10" s="609"/>
      <c r="L10" s="1124"/>
      <c r="M10" s="1125"/>
      <c r="N10" s="1125"/>
      <c r="O10" s="1125"/>
      <c r="P10" s="3247"/>
      <c r="Q10" s="1782" t="str">
        <f t="shared" si="6"/>
        <v>土地使用年限（年）</v>
      </c>
      <c r="R10" s="767" t="s">
        <v>17</v>
      </c>
      <c r="S10" s="768">
        <f t="shared" si="0"/>
        <v>100</v>
      </c>
      <c r="T10" s="767" t="s">
        <v>17</v>
      </c>
      <c r="U10" s="768">
        <f t="shared" si="1"/>
        <v>100</v>
      </c>
      <c r="V10" s="767" t="s">
        <v>17</v>
      </c>
      <c r="W10" s="768">
        <f t="shared" si="2"/>
        <v>100</v>
      </c>
      <c r="X10" s="769"/>
      <c r="Y10" s="3098"/>
      <c r="Z10" s="54" t="str">
        <f t="shared" si="7"/>
        <v>土地使用年限（年）</v>
      </c>
      <c r="AA10" s="770">
        <f t="shared" si="3"/>
        <v>1</v>
      </c>
      <c r="AB10" s="770">
        <f t="shared" si="4"/>
        <v>1</v>
      </c>
      <c r="AC10" s="770">
        <f t="shared" si="5"/>
        <v>1</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27"/>
      <c r="M11" s="1120"/>
      <c r="N11" s="1120"/>
      <c r="O11" s="1120"/>
      <c r="P11" s="3247"/>
      <c r="Q11" s="1782">
        <f t="shared" si="6"/>
        <v>111</v>
      </c>
      <c r="R11" s="767" t="s">
        <v>17</v>
      </c>
      <c r="S11" s="768">
        <f t="shared" si="0"/>
        <v>100</v>
      </c>
      <c r="T11" s="767" t="s">
        <v>17</v>
      </c>
      <c r="U11" s="768">
        <f t="shared" si="1"/>
        <v>100</v>
      </c>
      <c r="V11" s="767" t="s">
        <v>17</v>
      </c>
      <c r="W11" s="768">
        <f t="shared" si="2"/>
        <v>100</v>
      </c>
      <c r="X11" s="769"/>
      <c r="Y11" s="3098"/>
      <c r="Z11" s="54">
        <f t="shared" si="7"/>
        <v>111</v>
      </c>
      <c r="AA11" s="770">
        <f t="shared" si="3"/>
        <v>1</v>
      </c>
      <c r="AB11" s="770">
        <f t="shared" si="4"/>
        <v>1</v>
      </c>
      <c r="AC11" s="770">
        <f t="shared" si="5"/>
        <v>1</v>
      </c>
    </row>
    <row r="12" spans="1:29" s="115"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1"/>
      <c r="M12" s="1122"/>
      <c r="N12" s="1122"/>
      <c r="O12" s="1122"/>
      <c r="P12" s="3247"/>
      <c r="Q12" s="1782">
        <f t="shared" si="6"/>
        <v>111</v>
      </c>
      <c r="R12" s="767" t="s">
        <v>17</v>
      </c>
      <c r="S12" s="768">
        <f t="shared" si="0"/>
        <v>100</v>
      </c>
      <c r="T12" s="767" t="s">
        <v>17</v>
      </c>
      <c r="U12" s="768">
        <f t="shared" si="1"/>
        <v>100</v>
      </c>
      <c r="V12" s="767" t="s">
        <v>17</v>
      </c>
      <c r="W12" s="768">
        <f t="shared" si="2"/>
        <v>100</v>
      </c>
      <c r="X12" s="769"/>
      <c r="Y12" s="3098"/>
      <c r="Z12" s="54">
        <f t="shared" si="7"/>
        <v>111</v>
      </c>
      <c r="AA12" s="770">
        <f>D12/F12</f>
        <v>1</v>
      </c>
      <c r="AB12" s="770">
        <f>D12/H12</f>
        <v>1</v>
      </c>
      <c r="AC12" s="770">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29"/>
      <c r="M13" s="1120"/>
      <c r="N13" s="1120"/>
      <c r="O13" s="1120"/>
      <c r="P13" s="3247"/>
      <c r="Q13" s="1782">
        <f t="shared" si="6"/>
        <v>111</v>
      </c>
      <c r="R13" s="767" t="s">
        <v>17</v>
      </c>
      <c r="S13" s="768">
        <f t="shared" si="0"/>
        <v>100</v>
      </c>
      <c r="T13" s="767" t="s">
        <v>17</v>
      </c>
      <c r="U13" s="768">
        <f t="shared" si="1"/>
        <v>100</v>
      </c>
      <c r="V13" s="767" t="s">
        <v>17</v>
      </c>
      <c r="W13" s="768">
        <f t="shared" si="2"/>
        <v>100</v>
      </c>
      <c r="X13" s="769"/>
      <c r="Y13" s="3098"/>
      <c r="Z13" s="54">
        <f t="shared" si="7"/>
        <v>111</v>
      </c>
      <c r="AA13" s="770">
        <f t="shared" si="3"/>
        <v>1</v>
      </c>
      <c r="AB13" s="770">
        <f t="shared" si="4"/>
        <v>1</v>
      </c>
      <c r="AC13" s="770">
        <f t="shared" si="5"/>
        <v>1</v>
      </c>
    </row>
    <row r="14" spans="1:29" ht="15">
      <c r="A14" s="399" t="s">
        <v>2542</v>
      </c>
      <c r="B14" s="626" t="s">
        <v>2692</v>
      </c>
      <c r="C14" s="2671" t="str">
        <f>IF(B1="工业",估价对象房地状况!G4,估价对象房地状况!C6)</f>
        <v>一般</v>
      </c>
      <c r="D14" s="438">
        <v>100</v>
      </c>
      <c r="E14" s="439"/>
      <c r="F14" s="440">
        <f>SUMIF(63:63,E15,64:64)-SUMIF(63:63,C15,64:64)+100</f>
        <v>100</v>
      </c>
      <c r="G14" s="441"/>
      <c r="H14" s="438">
        <f>SUMIF(63:63,G15,64:64)-SUMIF(63:63,C15,64:64)+100</f>
        <v>100</v>
      </c>
      <c r="I14" s="439"/>
      <c r="J14" s="438">
        <f>SUMIF(63:63,I15,64:64)-SUMIF(63:63,C15,64:64)+100</f>
        <v>100</v>
      </c>
      <c r="K14" s="611"/>
      <c r="L14" s="1129"/>
      <c r="M14" s="1120"/>
      <c r="N14" s="1120"/>
      <c r="O14" s="1120"/>
      <c r="P14" s="3249" t="s">
        <v>2543</v>
      </c>
      <c r="Q14" s="1797" t="str">
        <f t="shared" si="6"/>
        <v>交通便捷度</v>
      </c>
      <c r="R14" s="771" t="s">
        <v>17</v>
      </c>
      <c r="S14" s="772">
        <f t="shared" si="0"/>
        <v>100</v>
      </c>
      <c r="T14" s="771" t="s">
        <v>17</v>
      </c>
      <c r="U14" s="772">
        <f t="shared" si="1"/>
        <v>100</v>
      </c>
      <c r="V14" s="771" t="s">
        <v>17</v>
      </c>
      <c r="W14" s="772">
        <f t="shared" si="2"/>
        <v>100</v>
      </c>
      <c r="X14" s="1800"/>
      <c r="Y14" s="3249" t="s">
        <v>2543</v>
      </c>
      <c r="Z14" s="1801" t="str">
        <f t="shared" si="7"/>
        <v>交通便捷度</v>
      </c>
      <c r="AA14" s="1798">
        <f t="shared" si="3"/>
        <v>1</v>
      </c>
      <c r="AB14" s="1798">
        <f t="shared" si="4"/>
        <v>1</v>
      </c>
      <c r="AC14" s="1798">
        <f t="shared" si="5"/>
        <v>1</v>
      </c>
    </row>
    <row r="15" spans="1:29" ht="15">
      <c r="A15" s="402"/>
      <c r="B15" s="644"/>
      <c r="C15" s="444"/>
      <c r="D15" s="445"/>
      <c r="E15" s="444"/>
      <c r="F15" s="446"/>
      <c r="G15" s="444"/>
      <c r="H15" s="447"/>
      <c r="I15" s="444"/>
      <c r="J15" s="445"/>
      <c r="K15" s="612"/>
      <c r="L15" s="1129"/>
      <c r="M15" s="1120"/>
      <c r="N15" s="1120"/>
      <c r="O15" s="1120"/>
      <c r="P15" s="3250"/>
      <c r="Q15" s="1797"/>
      <c r="R15" s="771"/>
      <c r="S15" s="772"/>
      <c r="T15" s="771"/>
      <c r="U15" s="772"/>
      <c r="V15" s="771"/>
      <c r="W15" s="772"/>
      <c r="X15" s="1800"/>
      <c r="Y15" s="3250"/>
      <c r="Z15" s="1801"/>
      <c r="AA15" s="1798">
        <v>1</v>
      </c>
      <c r="AB15" s="1798">
        <v>1</v>
      </c>
      <c r="AC15" s="1798">
        <v>1</v>
      </c>
    </row>
    <row r="16" spans="1:29" ht="15">
      <c r="A16" s="402"/>
      <c r="B16" s="628" t="s">
        <v>2671</v>
      </c>
      <c r="C16" s="2587" t="str">
        <f>IF(B1="工业",估价对象房地状况!G5,估价对象房地状况!C7)</f>
        <v>较差</v>
      </c>
      <c r="D16" s="452">
        <v>100</v>
      </c>
      <c r="E16" s="454"/>
      <c r="F16" s="455">
        <f>SUMIF(65:65,E17,66:66)-SUMIF(65:65,C17,66:66)+100</f>
        <v>100</v>
      </c>
      <c r="G16" s="456"/>
      <c r="H16" s="452">
        <f>SUMIF(65:65,G17,66:66)-SUMIF(65:65,C17,66:66)+100</f>
        <v>100</v>
      </c>
      <c r="I16" s="454"/>
      <c r="J16" s="452">
        <f>SUMIF(65:65,I17,66:66)-SUMIF(65:65,C17,66:66)+100</f>
        <v>100</v>
      </c>
      <c r="K16" s="611"/>
      <c r="L16" s="1129"/>
      <c r="M16" s="1120"/>
      <c r="N16" s="1120"/>
      <c r="O16" s="1120"/>
      <c r="P16" s="3250"/>
      <c r="Q16" s="1797" t="str">
        <f>B16</f>
        <v>公共配套设施</v>
      </c>
      <c r="R16" s="771" t="s">
        <v>17</v>
      </c>
      <c r="S16" s="772">
        <f>F16</f>
        <v>100</v>
      </c>
      <c r="T16" s="771" t="s">
        <v>17</v>
      </c>
      <c r="U16" s="772">
        <f>H16</f>
        <v>100</v>
      </c>
      <c r="V16" s="771" t="s">
        <v>17</v>
      </c>
      <c r="W16" s="772">
        <f>J16</f>
        <v>100</v>
      </c>
      <c r="X16" s="1800"/>
      <c r="Y16" s="3250"/>
      <c r="Z16" s="1801" t="str">
        <f>Q16</f>
        <v>公共配套设施</v>
      </c>
      <c r="AA16" s="1798">
        <f t="shared" si="3"/>
        <v>1</v>
      </c>
      <c r="AB16" s="1798">
        <f t="shared" si="4"/>
        <v>1</v>
      </c>
      <c r="AC16" s="1798">
        <f t="shared" si="5"/>
        <v>1</v>
      </c>
    </row>
    <row r="17" spans="1:29" ht="15">
      <c r="A17" s="402"/>
      <c r="B17" s="629"/>
      <c r="C17" s="2588"/>
      <c r="D17" s="445"/>
      <c r="E17" s="444"/>
      <c r="F17" s="446"/>
      <c r="G17" s="444"/>
      <c r="H17" s="445"/>
      <c r="I17" s="444"/>
      <c r="J17" s="445"/>
      <c r="K17" s="612"/>
      <c r="L17" s="1129"/>
      <c r="M17" s="1120"/>
      <c r="N17" s="1120"/>
      <c r="O17" s="1120"/>
      <c r="P17" s="3250"/>
      <c r="Q17" s="1797"/>
      <c r="R17" s="771"/>
      <c r="S17" s="772"/>
      <c r="T17" s="771"/>
      <c r="U17" s="772"/>
      <c r="V17" s="771"/>
      <c r="W17" s="772"/>
      <c r="X17" s="1800"/>
      <c r="Y17" s="3250"/>
      <c r="Z17" s="1801"/>
      <c r="AA17" s="1798">
        <v>1</v>
      </c>
      <c r="AB17" s="1798">
        <v>1</v>
      </c>
      <c r="AC17" s="1798">
        <v>1</v>
      </c>
    </row>
    <row r="18" spans="1:29" ht="15">
      <c r="A18" s="402"/>
      <c r="B18" s="630" t="s">
        <v>2672</v>
      </c>
      <c r="C18" s="2587" t="str">
        <f>IF(B1="工业",估价对象房地状况!G6,估价对象房地状况!C8)</f>
        <v>六通</v>
      </c>
      <c r="D18" s="447">
        <v>100</v>
      </c>
      <c r="E18" s="449"/>
      <c r="F18" s="455">
        <f>SUMIF(67:67,E19,68:68)-SUMIF(67:67,C19,68:68)+100</f>
        <v>100</v>
      </c>
      <c r="G18" s="451"/>
      <c r="H18" s="452">
        <f>SUMIF(67:67,G19,68:68)-SUMIF(67:67,C19,68:68)+100</f>
        <v>100</v>
      </c>
      <c r="I18" s="449"/>
      <c r="J18" s="452">
        <f>SUMIF(67:67,I19,68:68)-SUMIF(67:67,C19,68:68)+100</f>
        <v>100</v>
      </c>
      <c r="K18" s="611"/>
      <c r="L18" s="1129"/>
      <c r="M18" s="1120"/>
      <c r="N18" s="1120"/>
      <c r="O18" s="1120"/>
      <c r="P18" s="3250"/>
      <c r="Q18" s="1797" t="str">
        <f>B18</f>
        <v>基础设施水平</v>
      </c>
      <c r="R18" s="771" t="s">
        <v>17</v>
      </c>
      <c r="S18" s="772">
        <f>F18</f>
        <v>100</v>
      </c>
      <c r="T18" s="771" t="s">
        <v>17</v>
      </c>
      <c r="U18" s="772">
        <f>H18</f>
        <v>100</v>
      </c>
      <c r="V18" s="771" t="s">
        <v>17</v>
      </c>
      <c r="W18" s="772">
        <f>J18</f>
        <v>100</v>
      </c>
      <c r="X18" s="1800"/>
      <c r="Y18" s="3250"/>
      <c r="Z18" s="1801" t="str">
        <f>Q18</f>
        <v>基础设施水平</v>
      </c>
      <c r="AA18" s="1798">
        <f t="shared" ref="AA18" si="8">D18/F18</f>
        <v>1</v>
      </c>
      <c r="AB18" s="1798">
        <f t="shared" ref="AB18" si="9">D18/H18</f>
        <v>1</v>
      </c>
      <c r="AC18" s="1798">
        <f t="shared" ref="AC18" si="10">D18/J18</f>
        <v>1</v>
      </c>
    </row>
    <row r="19" spans="1:29" ht="15">
      <c r="A19" s="402"/>
      <c r="B19" s="630"/>
      <c r="C19" s="2588"/>
      <c r="D19" s="447"/>
      <c r="E19" s="2588"/>
      <c r="F19" s="450"/>
      <c r="G19" s="2588"/>
      <c r="H19" s="445"/>
      <c r="I19" s="444"/>
      <c r="J19" s="445"/>
      <c r="K19" s="1372"/>
      <c r="L19" s="1129"/>
      <c r="M19" s="1120"/>
      <c r="N19" s="1120"/>
      <c r="O19" s="1120"/>
      <c r="P19" s="3250"/>
      <c r="Q19" s="1797"/>
      <c r="R19" s="771"/>
      <c r="S19" s="772"/>
      <c r="T19" s="771"/>
      <c r="U19" s="772"/>
      <c r="V19" s="771"/>
      <c r="W19" s="772"/>
      <c r="X19" s="1800"/>
      <c r="Y19" s="3250"/>
      <c r="Z19" s="1801"/>
      <c r="AA19" s="1798">
        <v>1</v>
      </c>
      <c r="AB19" s="1798">
        <v>1</v>
      </c>
      <c r="AC19" s="1798">
        <v>1</v>
      </c>
    </row>
    <row r="20" spans="1:29" ht="15">
      <c r="A20" s="402"/>
      <c r="B20" s="628" t="s">
        <v>2693</v>
      </c>
      <c r="C20" s="2587"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29"/>
      <c r="M20" s="1120"/>
      <c r="N20" s="1120"/>
      <c r="O20" s="1120"/>
      <c r="P20" s="3250"/>
      <c r="Q20" s="1797" t="str">
        <f>B20</f>
        <v>自然及人文环境</v>
      </c>
      <c r="R20" s="771" t="s">
        <v>17</v>
      </c>
      <c r="S20" s="772">
        <f>F20</f>
        <v>100</v>
      </c>
      <c r="T20" s="771" t="s">
        <v>17</v>
      </c>
      <c r="U20" s="772">
        <f>H20</f>
        <v>100</v>
      </c>
      <c r="V20" s="771" t="s">
        <v>17</v>
      </c>
      <c r="W20" s="772">
        <f>J20</f>
        <v>100</v>
      </c>
      <c r="X20" s="1800"/>
      <c r="Y20" s="3250"/>
      <c r="Z20" s="1801" t="str">
        <f>Q20</f>
        <v>自然及人文环境</v>
      </c>
      <c r="AA20" s="1798">
        <f t="shared" si="3"/>
        <v>1</v>
      </c>
      <c r="AB20" s="1798">
        <f t="shared" si="4"/>
        <v>1</v>
      </c>
      <c r="AC20" s="1798">
        <f t="shared" si="5"/>
        <v>1</v>
      </c>
    </row>
    <row r="21" spans="1:29" ht="15">
      <c r="A21" s="402"/>
      <c r="B21" s="629"/>
      <c r="C21" s="444"/>
      <c r="D21" s="445"/>
      <c r="E21" s="444"/>
      <c r="F21" s="446"/>
      <c r="G21" s="444"/>
      <c r="H21" s="445"/>
      <c r="I21" s="444"/>
      <c r="J21" s="445"/>
      <c r="K21" s="612"/>
      <c r="L21" s="1129"/>
      <c r="M21" s="1120"/>
      <c r="N21" s="1120"/>
      <c r="O21" s="1120"/>
      <c r="P21" s="3250"/>
      <c r="Q21" s="1797"/>
      <c r="R21" s="771"/>
      <c r="S21" s="772"/>
      <c r="T21" s="771"/>
      <c r="U21" s="772"/>
      <c r="V21" s="771"/>
      <c r="W21" s="772"/>
      <c r="X21" s="1800"/>
      <c r="Y21" s="3250"/>
      <c r="Z21" s="1801"/>
      <c r="AA21" s="1798">
        <v>1</v>
      </c>
      <c r="AB21" s="1798">
        <v>1</v>
      </c>
      <c r="AC21" s="1798">
        <v>1</v>
      </c>
    </row>
    <row r="22" spans="1:29" ht="15">
      <c r="A22" s="402"/>
      <c r="B22" s="628" t="s">
        <v>2694</v>
      </c>
      <c r="C22" s="613"/>
      <c r="D22" s="447">
        <v>100</v>
      </c>
      <c r="E22" s="613"/>
      <c r="F22" s="458">
        <f>SUMIF(71:71,E22,72:72)-SUMIF(71:71,C22,72:72)+100</f>
        <v>100</v>
      </c>
      <c r="G22" s="613"/>
      <c r="H22" s="432">
        <f>SUMIF(71:71,G22,72:72)-SUMIF(71:71,C22,72:72)+100</f>
        <v>100</v>
      </c>
      <c r="I22" s="613"/>
      <c r="J22" s="432">
        <f>SUMIF(71:71,I22,72:72)-SUMIF(71:71,C22,72:72)+100</f>
        <v>100</v>
      </c>
      <c r="K22" s="609"/>
      <c r="L22" s="1129"/>
      <c r="M22" s="1120"/>
      <c r="N22" s="1120"/>
      <c r="O22" s="1120"/>
      <c r="P22" s="3250"/>
      <c r="Q22" s="1797" t="str">
        <f>B22</f>
        <v>楼层</v>
      </c>
      <c r="R22" s="771" t="s">
        <v>17</v>
      </c>
      <c r="S22" s="772">
        <f>F22</f>
        <v>100</v>
      </c>
      <c r="T22" s="771" t="s">
        <v>17</v>
      </c>
      <c r="U22" s="772">
        <f>H22</f>
        <v>100</v>
      </c>
      <c r="V22" s="771" t="s">
        <v>17</v>
      </c>
      <c r="W22" s="772">
        <f>J22</f>
        <v>100</v>
      </c>
      <c r="X22" s="1800"/>
      <c r="Y22" s="3250"/>
      <c r="Z22" s="1801" t="str">
        <f>Q22</f>
        <v>楼层</v>
      </c>
      <c r="AA22" s="1798">
        <f t="shared" si="3"/>
        <v>1</v>
      </c>
      <c r="AB22" s="1798">
        <f t="shared" si="4"/>
        <v>1</v>
      </c>
      <c r="AC22" s="1798">
        <f t="shared" si="5"/>
        <v>1</v>
      </c>
    </row>
    <row r="23" spans="1:29" ht="15">
      <c r="A23" s="402"/>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29"/>
      <c r="M23" s="1120"/>
      <c r="N23" s="1120"/>
      <c r="O23" s="1120"/>
      <c r="P23" s="3250"/>
      <c r="Q23" s="1797">
        <f>B23</f>
        <v>111</v>
      </c>
      <c r="R23" s="771" t="s">
        <v>17</v>
      </c>
      <c r="S23" s="772">
        <f>F23</f>
        <v>100</v>
      </c>
      <c r="T23" s="771" t="s">
        <v>17</v>
      </c>
      <c r="U23" s="772">
        <f>H23</f>
        <v>100</v>
      </c>
      <c r="V23" s="771" t="s">
        <v>17</v>
      </c>
      <c r="W23" s="772">
        <f>J23</f>
        <v>100</v>
      </c>
      <c r="X23" s="1800"/>
      <c r="Y23" s="3250"/>
      <c r="Z23" s="1801">
        <f>Q23</f>
        <v>111</v>
      </c>
      <c r="AA23" s="1798">
        <f t="shared" si="3"/>
        <v>1</v>
      </c>
      <c r="AB23" s="1798">
        <f t="shared" si="4"/>
        <v>1</v>
      </c>
      <c r="AC23" s="1798">
        <f t="shared" si="5"/>
        <v>1</v>
      </c>
    </row>
    <row r="24" spans="1:29" ht="15">
      <c r="A24" s="402"/>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29"/>
      <c r="M24" s="1120"/>
      <c r="N24" s="1120"/>
      <c r="O24" s="1120"/>
      <c r="P24" s="3250"/>
      <c r="Q24" s="1797">
        <f t="shared" ref="Q24:Q36" si="11">B24</f>
        <v>111</v>
      </c>
      <c r="R24" s="771" t="s">
        <v>17</v>
      </c>
      <c r="S24" s="772">
        <f>F24</f>
        <v>100</v>
      </c>
      <c r="T24" s="771" t="s">
        <v>17</v>
      </c>
      <c r="U24" s="772">
        <f>H24</f>
        <v>100</v>
      </c>
      <c r="V24" s="771" t="s">
        <v>17</v>
      </c>
      <c r="W24" s="772">
        <f>J24</f>
        <v>100</v>
      </c>
      <c r="X24" s="1800"/>
      <c r="Y24" s="3250"/>
      <c r="Z24" s="1801">
        <f>Q24</f>
        <v>111</v>
      </c>
      <c r="AA24" s="1798">
        <f t="shared" si="3"/>
        <v>1</v>
      </c>
      <c r="AB24" s="1798">
        <f t="shared" si="4"/>
        <v>1</v>
      </c>
      <c r="AC24" s="1798">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1"/>
      <c r="M25" s="1122"/>
      <c r="N25" s="1122"/>
      <c r="O25" s="1122"/>
      <c r="P25" s="3250"/>
      <c r="Q25" s="1782">
        <f t="shared" si="11"/>
        <v>111</v>
      </c>
      <c r="R25" s="767" t="s">
        <v>17</v>
      </c>
      <c r="S25" s="768">
        <f>F25</f>
        <v>100</v>
      </c>
      <c r="T25" s="767" t="s">
        <v>17</v>
      </c>
      <c r="U25" s="768">
        <f>H25</f>
        <v>100</v>
      </c>
      <c r="V25" s="767" t="s">
        <v>17</v>
      </c>
      <c r="W25" s="768">
        <f>J25</f>
        <v>100</v>
      </c>
      <c r="X25" s="769"/>
      <c r="Y25" s="3250"/>
      <c r="Z25" s="54">
        <f>Q25</f>
        <v>111</v>
      </c>
      <c r="AA25" s="1798">
        <f>D25/F25</f>
        <v>1</v>
      </c>
      <c r="AB25" s="1798">
        <f>D25/H25</f>
        <v>1</v>
      </c>
      <c r="AC25" s="1798">
        <f>D25/J25</f>
        <v>1</v>
      </c>
    </row>
    <row r="26" spans="1:29" ht="28.5">
      <c r="A26" s="649" t="s">
        <v>2546</v>
      </c>
      <c r="B26" s="69" t="s">
        <v>2695</v>
      </c>
      <c r="C26" s="2672">
        <f>B1</f>
        <v>0</v>
      </c>
      <c r="D26" s="445">
        <v>100</v>
      </c>
      <c r="E26" s="444"/>
      <c r="F26" s="446">
        <f>SUMIF(79:79,E26,80:80)-SUMIF(79:79,C26,80:80)+100</f>
        <v>100</v>
      </c>
      <c r="G26" s="444"/>
      <c r="H26" s="445">
        <f>SUMIF(79:79,G26,80:80)-SUMIF(79:79,C26,80:80)+100</f>
        <v>100</v>
      </c>
      <c r="I26" s="444"/>
      <c r="J26" s="445">
        <f>SUMIF(79:79,I26,80:80)-SUMIF(79:79,C26,80:80)+100</f>
        <v>100</v>
      </c>
      <c r="K26" s="609"/>
      <c r="L26" s="1129"/>
      <c r="M26" s="1120"/>
      <c r="N26" s="1120"/>
      <c r="O26" s="1120"/>
      <c r="P26" s="3251" t="s">
        <v>2548</v>
      </c>
      <c r="Q26" s="1797" t="str">
        <f t="shared" si="11"/>
        <v>配套类型</v>
      </c>
      <c r="R26" s="771" t="s">
        <v>17</v>
      </c>
      <c r="S26" s="772">
        <f t="shared" ref="S26:S36" si="12">F26</f>
        <v>100</v>
      </c>
      <c r="T26" s="771" t="s">
        <v>17</v>
      </c>
      <c r="U26" s="772">
        <f t="shared" ref="U26:U36" si="13">H26</f>
        <v>100</v>
      </c>
      <c r="V26" s="771" t="s">
        <v>17</v>
      </c>
      <c r="W26" s="772">
        <f t="shared" ref="W26:W36" si="14">J26</f>
        <v>100</v>
      </c>
      <c r="X26" s="1800"/>
      <c r="Y26" s="3252" t="s">
        <v>2548</v>
      </c>
      <c r="Z26" s="1801" t="str">
        <f t="shared" ref="Z26:Z36" si="15">Q26</f>
        <v>配套类型</v>
      </c>
      <c r="AA26" s="1798">
        <f t="shared" si="3"/>
        <v>1</v>
      </c>
      <c r="AB26" s="1798">
        <f t="shared" si="4"/>
        <v>1</v>
      </c>
      <c r="AC26" s="1798">
        <f t="shared" si="5"/>
        <v>1</v>
      </c>
    </row>
    <row r="27" spans="1:29" s="468" customFormat="1" ht="15">
      <c r="A27" s="650"/>
      <c r="B27" s="651" t="s">
        <v>2696</v>
      </c>
      <c r="C27" s="652"/>
      <c r="D27" s="134">
        <v>100</v>
      </c>
      <c r="E27" s="652"/>
      <c r="F27" s="458">
        <f>SUMIF(81:81,E27,82:82)-SUMIF(81:81,C27,82:82)+100</f>
        <v>100</v>
      </c>
      <c r="G27" s="652"/>
      <c r="H27" s="432">
        <f>SUMIF(81:81,G27,82:82)-SUMIF(81:81,C27,82:82)+100</f>
        <v>100</v>
      </c>
      <c r="I27" s="652"/>
      <c r="J27" s="432">
        <f>SUMIF(81:81,I27,82:82)-SUMIF(81:81,C27,82:82)+100</f>
        <v>100</v>
      </c>
      <c r="K27" s="610"/>
      <c r="L27" s="1127"/>
      <c r="M27" s="1130"/>
      <c r="N27" s="1130"/>
      <c r="O27" s="1130"/>
      <c r="P27" s="3252"/>
      <c r="Q27" s="773" t="str">
        <f t="shared" si="11"/>
        <v>项目停车位配比</v>
      </c>
      <c r="R27" s="774" t="s">
        <v>17</v>
      </c>
      <c r="S27" s="775">
        <f t="shared" si="12"/>
        <v>100</v>
      </c>
      <c r="T27" s="774" t="s">
        <v>17</v>
      </c>
      <c r="U27" s="775">
        <f t="shared" si="13"/>
        <v>100</v>
      </c>
      <c r="V27" s="774" t="s">
        <v>17</v>
      </c>
      <c r="W27" s="775">
        <f t="shared" si="14"/>
        <v>100</v>
      </c>
      <c r="X27" s="776"/>
      <c r="Y27" s="3252"/>
      <c r="Z27" s="777" t="str">
        <f t="shared" si="15"/>
        <v>项目停车位配比</v>
      </c>
      <c r="AA27" s="1798">
        <f t="shared" si="3"/>
        <v>1</v>
      </c>
      <c r="AB27" s="1798">
        <f t="shared" si="4"/>
        <v>1</v>
      </c>
      <c r="AC27" s="1798">
        <f t="shared" si="5"/>
        <v>1</v>
      </c>
    </row>
    <row r="28" spans="1:29" ht="15">
      <c r="A28" s="653"/>
      <c r="B28" s="651" t="s">
        <v>2697</v>
      </c>
      <c r="C28" s="457"/>
      <c r="D28" s="432">
        <v>100</v>
      </c>
      <c r="E28" s="457"/>
      <c r="F28" s="458">
        <f>SUMIF(83:83,E28,84:84)-SUMIF(83:83,C28,84:84)+100</f>
        <v>100</v>
      </c>
      <c r="G28" s="457"/>
      <c r="H28" s="432">
        <f>SUMIF(83:83,G28,84:84)-SUMIF(83:83,C28,84:84)+100</f>
        <v>100</v>
      </c>
      <c r="I28" s="457"/>
      <c r="J28" s="432">
        <f>SUMIF(83:83,I28,84:84)-SUMIF(83:83,C28,84:84)+100</f>
        <v>100</v>
      </c>
      <c r="K28" s="609"/>
      <c r="L28" s="1129"/>
      <c r="M28" s="1120"/>
      <c r="N28" s="1120"/>
      <c r="O28" s="1120"/>
      <c r="P28" s="3252"/>
      <c r="Q28" s="1797" t="str">
        <f t="shared" si="11"/>
        <v>公共部分装修</v>
      </c>
      <c r="R28" s="771" t="s">
        <v>17</v>
      </c>
      <c r="S28" s="772">
        <f t="shared" si="12"/>
        <v>100</v>
      </c>
      <c r="T28" s="771" t="s">
        <v>17</v>
      </c>
      <c r="U28" s="772">
        <f t="shared" si="13"/>
        <v>100</v>
      </c>
      <c r="V28" s="771" t="s">
        <v>17</v>
      </c>
      <c r="W28" s="772">
        <f t="shared" si="14"/>
        <v>100</v>
      </c>
      <c r="X28" s="1800"/>
      <c r="Y28" s="3252"/>
      <c r="Z28" s="1801" t="str">
        <f t="shared" si="15"/>
        <v>公共部分装修</v>
      </c>
      <c r="AA28" s="1798">
        <f t="shared" si="3"/>
        <v>1</v>
      </c>
      <c r="AB28" s="1798">
        <f t="shared" si="4"/>
        <v>1</v>
      </c>
      <c r="AC28" s="1798">
        <f t="shared" si="5"/>
        <v>1</v>
      </c>
    </row>
    <row r="29" spans="1:29" ht="15">
      <c r="A29" s="653"/>
      <c r="B29" s="651" t="s">
        <v>2698</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29"/>
      <c r="M29" s="1120"/>
      <c r="N29" s="1120"/>
      <c r="O29" s="1120"/>
      <c r="P29" s="3252"/>
      <c r="Q29" s="1797" t="str">
        <f t="shared" si="11"/>
        <v>成新率</v>
      </c>
      <c r="R29" s="771" t="s">
        <v>17</v>
      </c>
      <c r="S29" s="772" t="e">
        <f t="shared" si="12"/>
        <v>#N/A</v>
      </c>
      <c r="T29" s="771" t="s">
        <v>17</v>
      </c>
      <c r="U29" s="772" t="e">
        <f t="shared" si="13"/>
        <v>#N/A</v>
      </c>
      <c r="V29" s="771" t="s">
        <v>17</v>
      </c>
      <c r="W29" s="772" t="e">
        <f t="shared" si="14"/>
        <v>#N/A</v>
      </c>
      <c r="X29" s="1800"/>
      <c r="Y29" s="3252"/>
      <c r="Z29" s="1801" t="str">
        <f t="shared" si="15"/>
        <v>成新率</v>
      </c>
      <c r="AA29" s="1798" t="e">
        <f t="shared" si="3"/>
        <v>#N/A</v>
      </c>
      <c r="AB29" s="1798" t="e">
        <f t="shared" si="4"/>
        <v>#N/A</v>
      </c>
      <c r="AC29" s="1798" t="e">
        <f t="shared" si="5"/>
        <v>#N/A</v>
      </c>
    </row>
    <row r="30" spans="1:29" ht="15">
      <c r="A30" s="653"/>
      <c r="B30" s="651" t="s">
        <v>2699</v>
      </c>
      <c r="C30" s="654"/>
      <c r="D30" s="432">
        <v>100</v>
      </c>
      <c r="E30" s="654"/>
      <c r="F30" s="458">
        <f>SUMIF(88:88,E30,89:89)-SUMIF(88:88,C30,89:89)+100</f>
        <v>100</v>
      </c>
      <c r="G30" s="654"/>
      <c r="H30" s="432">
        <f>SUMIF(88:88,E30,89:89)-SUMIF(88:88,C30,89:89)+100</f>
        <v>100</v>
      </c>
      <c r="I30" s="654"/>
      <c r="J30" s="432">
        <f>SUMIF(88:88,E30,89:89)-SUMIF(88:88,C30,89:89)+100</f>
        <v>100</v>
      </c>
      <c r="K30" s="609"/>
      <c r="L30" s="1129"/>
      <c r="M30" s="1120"/>
      <c r="N30" s="1120"/>
      <c r="O30" s="1120"/>
      <c r="P30" s="3252"/>
      <c r="Q30" s="1797" t="str">
        <f t="shared" si="11"/>
        <v>物业等级</v>
      </c>
      <c r="R30" s="771" t="s">
        <v>17</v>
      </c>
      <c r="S30" s="772">
        <f t="shared" si="12"/>
        <v>100</v>
      </c>
      <c r="T30" s="771" t="s">
        <v>17</v>
      </c>
      <c r="U30" s="772">
        <f t="shared" si="13"/>
        <v>100</v>
      </c>
      <c r="V30" s="771" t="s">
        <v>17</v>
      </c>
      <c r="W30" s="772">
        <f t="shared" si="14"/>
        <v>100</v>
      </c>
      <c r="X30" s="1800"/>
      <c r="Y30" s="3252"/>
      <c r="Z30" s="1801" t="str">
        <f t="shared" si="15"/>
        <v>物业等级</v>
      </c>
      <c r="AA30" s="1798">
        <f t="shared" si="3"/>
        <v>1</v>
      </c>
      <c r="AB30" s="1798">
        <f t="shared" si="4"/>
        <v>1</v>
      </c>
      <c r="AC30" s="1798">
        <f t="shared" si="5"/>
        <v>1</v>
      </c>
    </row>
    <row r="31" spans="1:29" s="115" customFormat="1" ht="15">
      <c r="A31" s="655"/>
      <c r="B31" s="651" t="s">
        <v>2700</v>
      </c>
      <c r="C31" s="466"/>
      <c r="D31" s="134">
        <v>100</v>
      </c>
      <c r="E31" s="466"/>
      <c r="F31" s="458" t="e">
        <f>LOOKUP(E31,91:91,92:92)-LOOKUP(C31,91:91,92:92)+100</f>
        <v>#N/A</v>
      </c>
      <c r="G31" s="466"/>
      <c r="H31" s="432" t="e">
        <f>LOOKUP(G31,91:91,92:92)-LOOKUP(C31,91:91,92:92)+100</f>
        <v>#N/A</v>
      </c>
      <c r="I31" s="466"/>
      <c r="J31" s="432" t="e">
        <f>LOOKUP(I31,91:91,92:92)-LOOKUP(C31,91:91,92:92)+100</f>
        <v>#N/A</v>
      </c>
      <c r="K31" s="609"/>
      <c r="L31" s="1121"/>
      <c r="M31" s="1122"/>
      <c r="N31" s="1122"/>
      <c r="O31" s="1122"/>
      <c r="P31" s="3252"/>
      <c r="Q31" s="1782" t="str">
        <f t="shared" si="11"/>
        <v>停车位面积</v>
      </c>
      <c r="R31" s="767" t="s">
        <v>17</v>
      </c>
      <c r="S31" s="768" t="e">
        <f t="shared" si="12"/>
        <v>#N/A</v>
      </c>
      <c r="T31" s="767" t="s">
        <v>17</v>
      </c>
      <c r="U31" s="768" t="e">
        <f t="shared" si="13"/>
        <v>#N/A</v>
      </c>
      <c r="V31" s="767" t="s">
        <v>17</v>
      </c>
      <c r="W31" s="768" t="e">
        <f t="shared" si="14"/>
        <v>#N/A</v>
      </c>
      <c r="X31" s="769"/>
      <c r="Y31" s="3252"/>
      <c r="Z31" s="54" t="str">
        <f t="shared" si="15"/>
        <v>停车位面积</v>
      </c>
      <c r="AA31" s="770" t="e">
        <f t="shared" si="3"/>
        <v>#N/A</v>
      </c>
      <c r="AB31" s="770" t="e">
        <f t="shared" si="4"/>
        <v>#N/A</v>
      </c>
      <c r="AC31" s="770" t="e">
        <f t="shared" si="5"/>
        <v>#N/A</v>
      </c>
    </row>
    <row r="32" spans="1:29" ht="15">
      <c r="A32" s="653"/>
      <c r="B32" s="651" t="s">
        <v>2701</v>
      </c>
      <c r="C32" s="457"/>
      <c r="D32" s="432">
        <v>100</v>
      </c>
      <c r="E32" s="457"/>
      <c r="F32" s="458">
        <f>SUMIF(93:93,E32,94:94)-SUMIF(93:93,C32,94:94)+100</f>
        <v>100</v>
      </c>
      <c r="G32" s="457"/>
      <c r="H32" s="432">
        <f>SUMIF(93:93,G32,94:94)-SUMIF(93:93,C32,94:94)+100</f>
        <v>100</v>
      </c>
      <c r="I32" s="457"/>
      <c r="J32" s="432">
        <f>SUMIF(93:93,I32,94:94)-SUMIF(93:93,C32,94:94)+100</f>
        <v>100</v>
      </c>
      <c r="K32" s="609"/>
      <c r="L32" s="1129"/>
      <c r="M32" s="1120"/>
      <c r="N32" s="1120"/>
      <c r="O32" s="1120"/>
      <c r="P32" s="3252" t="s">
        <v>2548</v>
      </c>
      <c r="Q32" s="1797" t="str">
        <f t="shared" si="11"/>
        <v>车位类型</v>
      </c>
      <c r="R32" s="771" t="s">
        <v>17</v>
      </c>
      <c r="S32" s="772">
        <f t="shared" si="12"/>
        <v>100</v>
      </c>
      <c r="T32" s="771" t="s">
        <v>17</v>
      </c>
      <c r="U32" s="772">
        <f t="shared" si="13"/>
        <v>100</v>
      </c>
      <c r="V32" s="771" t="s">
        <v>17</v>
      </c>
      <c r="W32" s="772">
        <f t="shared" si="14"/>
        <v>100</v>
      </c>
      <c r="X32" s="1800"/>
      <c r="Y32" s="3252" t="s">
        <v>2548</v>
      </c>
      <c r="Z32" s="1801" t="str">
        <f t="shared" si="15"/>
        <v>车位类型</v>
      </c>
      <c r="AA32" s="1798">
        <f t="shared" si="3"/>
        <v>1</v>
      </c>
      <c r="AB32" s="1798">
        <f t="shared" si="4"/>
        <v>1</v>
      </c>
      <c r="AC32" s="1798">
        <f t="shared" si="5"/>
        <v>1</v>
      </c>
    </row>
    <row r="33" spans="1:29" ht="15">
      <c r="A33" s="653"/>
      <c r="B33" s="651" t="s">
        <v>2702</v>
      </c>
      <c r="C33" s="457"/>
      <c r="D33" s="432">
        <v>100</v>
      </c>
      <c r="E33" s="457"/>
      <c r="F33" s="458">
        <f>SUMIF(95:95,E33,96:96)-SUMIF(95:95,C33,96:96)+100</f>
        <v>100</v>
      </c>
      <c r="G33" s="457"/>
      <c r="H33" s="432">
        <f>SUMIF(95:95,G33,96:96)-SUMIF(95:95,C33,96:96)+100</f>
        <v>100</v>
      </c>
      <c r="I33" s="457"/>
      <c r="J33" s="432">
        <f>SUMIF(95:95,I33,96:96)-SUMIF(95:95,C33,96:96)+100</f>
        <v>100</v>
      </c>
      <c r="K33" s="609"/>
      <c r="L33" s="1129"/>
      <c r="M33" s="1120"/>
      <c r="N33" s="1120"/>
      <c r="O33" s="1120"/>
      <c r="P33" s="3252"/>
      <c r="Q33" s="1797" t="str">
        <f t="shared" si="11"/>
        <v>是否直接入户</v>
      </c>
      <c r="R33" s="771" t="s">
        <v>17</v>
      </c>
      <c r="S33" s="772">
        <f t="shared" si="12"/>
        <v>100</v>
      </c>
      <c r="T33" s="771" t="s">
        <v>17</v>
      </c>
      <c r="U33" s="772">
        <f t="shared" si="13"/>
        <v>100</v>
      </c>
      <c r="V33" s="771" t="s">
        <v>17</v>
      </c>
      <c r="W33" s="772">
        <f t="shared" si="14"/>
        <v>100</v>
      </c>
      <c r="X33" s="1800"/>
      <c r="Y33" s="3252"/>
      <c r="Z33" s="1801" t="str">
        <f t="shared" si="15"/>
        <v>是否直接入户</v>
      </c>
      <c r="AA33" s="1798">
        <f t="shared" si="3"/>
        <v>1</v>
      </c>
      <c r="AB33" s="1798">
        <f t="shared" si="4"/>
        <v>1</v>
      </c>
      <c r="AC33" s="1798">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29"/>
      <c r="M34" s="1120"/>
      <c r="N34" s="1120"/>
      <c r="O34" s="1120"/>
      <c r="P34" s="3252"/>
      <c r="Q34" s="1797">
        <f t="shared" si="11"/>
        <v>111</v>
      </c>
      <c r="R34" s="771" t="s">
        <v>17</v>
      </c>
      <c r="S34" s="772">
        <f t="shared" si="12"/>
        <v>100</v>
      </c>
      <c r="T34" s="771" t="s">
        <v>17</v>
      </c>
      <c r="U34" s="772">
        <f t="shared" si="13"/>
        <v>100</v>
      </c>
      <c r="V34" s="771" t="s">
        <v>17</v>
      </c>
      <c r="W34" s="772">
        <f t="shared" si="14"/>
        <v>100</v>
      </c>
      <c r="X34" s="1800"/>
      <c r="Y34" s="3252"/>
      <c r="Z34" s="1801">
        <f t="shared" si="15"/>
        <v>111</v>
      </c>
      <c r="AA34" s="1798">
        <f t="shared" si="3"/>
        <v>1</v>
      </c>
      <c r="AB34" s="1798">
        <f t="shared" si="4"/>
        <v>1</v>
      </c>
      <c r="AC34" s="1798">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7"/>
      <c r="M35" s="1130"/>
      <c r="N35" s="1130"/>
      <c r="O35" s="1130"/>
      <c r="P35" s="3252"/>
      <c r="Q35" s="773">
        <f t="shared" si="11"/>
        <v>111</v>
      </c>
      <c r="R35" s="774" t="s">
        <v>17</v>
      </c>
      <c r="S35" s="775">
        <f t="shared" si="12"/>
        <v>100</v>
      </c>
      <c r="T35" s="774" t="s">
        <v>17</v>
      </c>
      <c r="U35" s="775">
        <f t="shared" si="13"/>
        <v>100</v>
      </c>
      <c r="V35" s="774" t="s">
        <v>17</v>
      </c>
      <c r="W35" s="775">
        <f t="shared" si="14"/>
        <v>100</v>
      </c>
      <c r="X35" s="776"/>
      <c r="Y35" s="3252"/>
      <c r="Z35" s="777">
        <f t="shared" si="15"/>
        <v>111</v>
      </c>
      <c r="AA35" s="1798">
        <f t="shared" si="3"/>
        <v>1</v>
      </c>
      <c r="AB35" s="1798">
        <f t="shared" si="4"/>
        <v>1</v>
      </c>
      <c r="AC35" s="1798">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29"/>
      <c r="M36" s="1120"/>
      <c r="N36" s="1120"/>
      <c r="O36" s="1120"/>
      <c r="P36" s="3252"/>
      <c r="Q36" s="1797">
        <f t="shared" si="11"/>
        <v>111</v>
      </c>
      <c r="R36" s="771" t="s">
        <v>17</v>
      </c>
      <c r="S36" s="772">
        <f t="shared" si="12"/>
        <v>100</v>
      </c>
      <c r="T36" s="771" t="s">
        <v>17</v>
      </c>
      <c r="U36" s="772">
        <f t="shared" si="13"/>
        <v>100</v>
      </c>
      <c r="V36" s="771" t="s">
        <v>17</v>
      </c>
      <c r="W36" s="772">
        <f t="shared" si="14"/>
        <v>100</v>
      </c>
      <c r="X36" s="1800"/>
      <c r="Y36" s="3252"/>
      <c r="Z36" s="1801">
        <f t="shared" si="15"/>
        <v>111</v>
      </c>
      <c r="AA36" s="1798">
        <f t="shared" si="3"/>
        <v>1</v>
      </c>
      <c r="AB36" s="1798">
        <f t="shared" si="4"/>
        <v>1</v>
      </c>
      <c r="AC36" s="1798">
        <f t="shared" si="5"/>
        <v>1</v>
      </c>
    </row>
    <row r="37" spans="1:29" ht="15">
      <c r="A37" s="476" t="s">
        <v>2703</v>
      </c>
      <c r="B37" s="2673" t="s">
        <v>2704</v>
      </c>
      <c r="C37" s="1396" t="s">
        <v>1</v>
      </c>
      <c r="D37" s="1397"/>
      <c r="E37" s="1398"/>
      <c r="F37" s="1399"/>
      <c r="G37" s="1400"/>
      <c r="H37" s="1401"/>
      <c r="I37" s="1398"/>
      <c r="J37" s="1401"/>
      <c r="K37" s="616"/>
      <c r="L37" s="1132"/>
      <c r="M37" s="1133"/>
      <c r="N37" s="1120"/>
      <c r="O37" s="1133"/>
      <c r="P37" s="3247" t="str">
        <f>A37</f>
        <v>成交单价</v>
      </c>
      <c r="Q37" s="3247"/>
      <c r="R37" s="3287">
        <f>E37</f>
        <v>0</v>
      </c>
      <c r="S37" s="3287"/>
      <c r="T37" s="3287">
        <f>G37</f>
        <v>0</v>
      </c>
      <c r="U37" s="3287"/>
      <c r="V37" s="3287">
        <f>I37</f>
        <v>0</v>
      </c>
      <c r="W37" s="3287"/>
      <c r="X37" s="756"/>
      <c r="Y37" s="778"/>
      <c r="Z37" s="756"/>
      <c r="AA37" s="756"/>
      <c r="AB37" s="756"/>
      <c r="AC37" s="756"/>
    </row>
    <row r="38" spans="1:29" ht="15.75" thickBot="1">
      <c r="A38" s="483" t="s">
        <v>2705</v>
      </c>
      <c r="B38" s="484" t="str">
        <f>B37</f>
        <v>元/车位</v>
      </c>
      <c r="C38" s="1402" t="e">
        <f>R39</f>
        <v>#DIV/0!</v>
      </c>
      <c r="D38" s="1403"/>
      <c r="E38" s="1404" t="e">
        <f>R38</f>
        <v>#DIV/0!</v>
      </c>
      <c r="F38" s="1404"/>
      <c r="G38" s="1402" t="e">
        <f>T38</f>
        <v>#DIV/0!</v>
      </c>
      <c r="H38" s="1403"/>
      <c r="I38" s="1404" t="e">
        <f>V38</f>
        <v>#DIV/0!</v>
      </c>
      <c r="J38" s="1403"/>
      <c r="K38" s="617"/>
      <c r="L38" s="1132"/>
      <c r="M38" s="1133"/>
      <c r="N38" s="1133"/>
      <c r="O38" s="1133"/>
      <c r="P38" s="3247" t="str">
        <f>A38</f>
        <v>比较价值（元/平方米）</v>
      </c>
      <c r="Q38" s="3247"/>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756"/>
      <c r="Y38" s="756"/>
      <c r="Z38" s="756"/>
      <c r="AA38" s="756"/>
      <c r="AB38" s="756"/>
      <c r="AC38" s="756"/>
    </row>
    <row r="39" spans="1:29" ht="15.75" thickBot="1">
      <c r="A39" s="489" t="s">
        <v>2706</v>
      </c>
      <c r="B39" s="490"/>
      <c r="C39" s="1406" t="e">
        <f>R39</f>
        <v>#DIV/0!</v>
      </c>
      <c r="D39" s="1406"/>
      <c r="E39" s="1406"/>
      <c r="F39" s="1406"/>
      <c r="G39" s="1406"/>
      <c r="H39" s="1406"/>
      <c r="I39" s="1406"/>
      <c r="J39" s="1406"/>
      <c r="K39" s="618"/>
      <c r="L39" s="1132"/>
      <c r="M39" s="1133"/>
      <c r="N39" s="1133"/>
      <c r="O39" s="1133"/>
      <c r="P39" s="3241" t="str">
        <f>A39</f>
        <v>估价对象XX用房的比较价值（楼面单价，元/平方米）</v>
      </c>
      <c r="Q39" s="3242"/>
      <c r="R39" s="3286" t="e">
        <f>IF(F1="售价",ROUND(AVERAGE(R38:V38),0),ROUND(AVERAGE(R38:V38),1))</f>
        <v>#DIV/0!</v>
      </c>
      <c r="S39" s="3286"/>
      <c r="T39" s="3286"/>
      <c r="U39" s="3286"/>
      <c r="V39" s="3286"/>
      <c r="W39" s="3286"/>
      <c r="X39" s="756"/>
      <c r="Y39" s="756"/>
      <c r="Z39" s="756"/>
      <c r="AA39" s="756"/>
      <c r="AB39" s="756"/>
      <c r="AC39" s="756"/>
    </row>
    <row r="40" spans="1:29">
      <c r="A40" s="1133"/>
      <c r="B40" s="1133"/>
      <c r="C40" s="1133"/>
      <c r="D40" s="1133"/>
      <c r="E40" s="1133"/>
      <c r="F40" s="1133"/>
      <c r="G40" s="1136"/>
      <c r="H40" s="1133"/>
      <c r="I40" s="1133"/>
      <c r="J40" s="1133"/>
      <c r="K40" s="1094"/>
      <c r="L40" s="1095"/>
      <c r="M40" s="1133"/>
      <c r="N40" s="1133"/>
      <c r="O40" s="1133"/>
      <c r="P40" s="1409"/>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9"/>
      <c r="Q41" s="1133"/>
      <c r="R41" s="1133"/>
      <c r="S41" s="1133"/>
      <c r="T41" s="1133"/>
      <c r="U41" s="1133"/>
      <c r="V41" s="1133"/>
      <c r="W41" s="1133"/>
      <c r="X41" s="1133"/>
      <c r="Y41" s="1133"/>
      <c r="Z41" s="1133"/>
      <c r="AA41" s="1133"/>
      <c r="AB41" s="1133"/>
      <c r="AC41" s="1133"/>
    </row>
    <row r="42" spans="1:29" ht="13.5" customHeight="1">
      <c r="A42" s="1133"/>
      <c r="B42" s="1133"/>
      <c r="C42" s="494" t="s">
        <v>2707</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4"/>
      <c r="L42" s="1095"/>
      <c r="M42" s="1133"/>
      <c r="N42" s="1133"/>
      <c r="O42" s="1133"/>
      <c r="P42" s="1409"/>
      <c r="Q42" s="1133"/>
      <c r="R42" s="1133"/>
      <c r="S42" s="1133"/>
      <c r="T42" s="1133"/>
      <c r="U42" s="1133"/>
      <c r="V42" s="1133"/>
      <c r="W42" s="1133"/>
      <c r="X42" s="1133"/>
      <c r="Y42" s="1133"/>
      <c r="Z42" s="1133"/>
      <c r="AA42" s="1133"/>
      <c r="AB42" s="1133"/>
      <c r="AC42" s="1133"/>
    </row>
    <row r="43" spans="1:29" ht="13.5" customHeight="1">
      <c r="A43" s="1133"/>
      <c r="B43" s="1133"/>
      <c r="C43" s="494" t="s">
        <v>2708</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4"/>
      <c r="L43" s="1095"/>
      <c r="M43" s="1133"/>
      <c r="N43" s="1133"/>
      <c r="O43" s="1133"/>
      <c r="P43" s="1409"/>
      <c r="Q43" s="1133"/>
      <c r="R43" s="1133"/>
      <c r="S43" s="1133"/>
      <c r="T43" s="1133"/>
      <c r="U43" s="1133"/>
      <c r="V43" s="1133"/>
      <c r="W43" s="1133"/>
      <c r="X43" s="1133"/>
      <c r="Y43" s="1133"/>
      <c r="Z43" s="1133"/>
      <c r="AA43" s="1133"/>
      <c r="AB43" s="1133"/>
      <c r="AC43" s="1133"/>
    </row>
    <row r="44" spans="1:29" s="499" customFormat="1" ht="13.5" customHeight="1">
      <c r="A44" s="1134"/>
      <c r="B44" s="1134"/>
      <c r="C44" s="494" t="s">
        <v>2709</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37"/>
      <c r="L44" s="1138"/>
      <c r="M44" s="1134"/>
      <c r="N44" s="1134"/>
      <c r="O44" s="1134"/>
      <c r="P44" s="1410"/>
      <c r="Q44" s="1134"/>
      <c r="R44" s="1134"/>
      <c r="S44" s="1134"/>
      <c r="T44" s="1134"/>
      <c r="U44" s="1134"/>
      <c r="V44" s="1134"/>
      <c r="W44" s="1134"/>
      <c r="X44" s="1134"/>
      <c r="Y44" s="1134"/>
      <c r="Z44" s="1134"/>
      <c r="AA44" s="1134"/>
      <c r="AB44" s="1134"/>
      <c r="AC44" s="1134"/>
    </row>
    <row r="45" spans="1:29" s="499" customFormat="1">
      <c r="A45" s="1134"/>
      <c r="B45" s="1135"/>
      <c r="C45" s="1139"/>
      <c r="D45" s="1134"/>
      <c r="E45" s="1134"/>
      <c r="F45" s="1134"/>
      <c r="G45" s="1134"/>
      <c r="H45" s="1134"/>
      <c r="I45" s="1134"/>
      <c r="J45" s="1134"/>
      <c r="K45" s="1137"/>
      <c r="L45" s="1138"/>
      <c r="M45" s="1134"/>
      <c r="N45" s="1134"/>
      <c r="O45" s="1134"/>
      <c r="P45" s="1410"/>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9"/>
      <c r="Q46" s="1133"/>
      <c r="R46" s="1133"/>
      <c r="S46" s="1133"/>
      <c r="T46" s="1133"/>
      <c r="U46" s="1133"/>
      <c r="V46" s="1133"/>
      <c r="W46" s="1133"/>
      <c r="X46" s="1133"/>
      <c r="Y46" s="1133"/>
      <c r="Z46" s="1133"/>
      <c r="AA46" s="1133"/>
      <c r="AB46" s="1133"/>
      <c r="AC46" s="1133"/>
    </row>
    <row r="47" spans="1:29" ht="21.75" thickBot="1">
      <c r="A47" s="1413" t="s">
        <v>2710</v>
      </c>
      <c r="B47" s="1133"/>
      <c r="C47" s="1148"/>
      <c r="D47" s="1148"/>
      <c r="E47" s="1148"/>
      <c r="F47" s="1414"/>
      <c r="G47" s="1414"/>
      <c r="H47" s="1148"/>
      <c r="I47" s="1148"/>
      <c r="J47" s="1148"/>
      <c r="K47" s="1149"/>
      <c r="L47" s="1150"/>
      <c r="M47" s="1148"/>
      <c r="N47" s="1148"/>
      <c r="O47" s="1148"/>
      <c r="P47" s="1411"/>
      <c r="Q47" s="1412"/>
      <c r="R47" s="1133"/>
      <c r="S47" s="1133"/>
      <c r="T47" s="1133"/>
      <c r="U47" s="1133"/>
      <c r="V47" s="1133"/>
      <c r="W47" s="1133"/>
      <c r="X47" s="1133"/>
      <c r="Y47" s="1133"/>
      <c r="Z47" s="1133"/>
      <c r="AA47" s="1133"/>
      <c r="AB47" s="1133"/>
      <c r="AC47" s="1133"/>
    </row>
    <row r="48" spans="1:29" s="505" customFormat="1" ht="15">
      <c r="A48" s="502" t="s">
        <v>2711</v>
      </c>
      <c r="B48" s="503"/>
      <c r="C48" s="1562" t="str">
        <f>YEAR(C7)&amp;"-"&amp;MONTH(C7)</f>
        <v>2020-5</v>
      </c>
      <c r="D48" s="1563">
        <f>EDATE(C48,-1)</f>
        <v>43922</v>
      </c>
      <c r="E48" s="1563">
        <f t="shared" ref="E48:O48" si="16">EDATE(D48,-1)</f>
        <v>43891</v>
      </c>
      <c r="F48" s="1563">
        <f t="shared" si="16"/>
        <v>43862</v>
      </c>
      <c r="G48" s="1563">
        <f t="shared" si="16"/>
        <v>43831</v>
      </c>
      <c r="H48" s="1563">
        <f t="shared" si="16"/>
        <v>43800</v>
      </c>
      <c r="I48" s="1563">
        <f t="shared" si="16"/>
        <v>43770</v>
      </c>
      <c r="J48" s="1563">
        <f t="shared" si="16"/>
        <v>43739</v>
      </c>
      <c r="K48" s="1563">
        <f t="shared" si="16"/>
        <v>43709</v>
      </c>
      <c r="L48" s="1563">
        <f t="shared" si="16"/>
        <v>43678</v>
      </c>
      <c r="M48" s="1563">
        <f t="shared" si="16"/>
        <v>43647</v>
      </c>
      <c r="N48" s="1563">
        <f t="shared" si="16"/>
        <v>43617</v>
      </c>
      <c r="O48" s="1563">
        <f t="shared" si="16"/>
        <v>43586</v>
      </c>
      <c r="P48" s="1427"/>
      <c r="Q48" s="1428"/>
      <c r="R48" s="1428"/>
      <c r="S48" s="1428"/>
      <c r="T48" s="1428"/>
      <c r="U48" s="1428"/>
      <c r="V48" s="1428"/>
      <c r="W48" s="1428"/>
      <c r="X48" s="1428"/>
      <c r="Y48" s="1428"/>
      <c r="Z48" s="1428"/>
      <c r="AA48" s="1428"/>
      <c r="AB48" s="1428"/>
      <c r="AC48" s="1428"/>
    </row>
    <row r="49" spans="1:29" s="115" customFormat="1" ht="15">
      <c r="A49" s="506"/>
      <c r="B49" s="507"/>
      <c r="C49" s="1555">
        <v>100</v>
      </c>
      <c r="D49" s="509"/>
      <c r="E49" s="509"/>
      <c r="F49" s="509"/>
      <c r="G49" s="509"/>
      <c r="H49" s="509"/>
      <c r="I49" s="509"/>
      <c r="J49" s="509"/>
      <c r="K49" s="509"/>
      <c r="L49" s="509"/>
      <c r="M49" s="510"/>
      <c r="N49" s="509"/>
      <c r="O49" s="510"/>
      <c r="P49" s="1417"/>
      <c r="Q49" s="1416"/>
      <c r="R49" s="1416"/>
      <c r="S49" s="1416"/>
      <c r="T49" s="1416"/>
      <c r="U49" s="1416"/>
      <c r="V49" s="1416"/>
      <c r="W49" s="1416"/>
      <c r="X49" s="1416"/>
      <c r="Y49" s="1416"/>
      <c r="Z49" s="1416"/>
      <c r="AA49" s="1416"/>
      <c r="AB49" s="1416"/>
      <c r="AC49" s="1416"/>
    </row>
    <row r="50" spans="1:29" s="115" customFormat="1" ht="15.75" thickBot="1">
      <c r="A50" s="512" t="s">
        <v>2568</v>
      </c>
      <c r="B50" s="513"/>
      <c r="C50" s="514"/>
      <c r="D50" s="515"/>
      <c r="E50" s="515"/>
      <c r="F50" s="515"/>
      <c r="G50" s="515"/>
      <c r="H50" s="515"/>
      <c r="I50" s="515"/>
      <c r="J50" s="515"/>
      <c r="K50" s="515"/>
      <c r="L50" s="515"/>
      <c r="M50" s="516"/>
      <c r="N50" s="515"/>
      <c r="O50" s="516"/>
      <c r="P50" s="1417"/>
      <c r="Q50" s="1412"/>
      <c r="R50" s="1416"/>
      <c r="S50" s="1416"/>
      <c r="T50" s="1416"/>
      <c r="U50" s="1416"/>
      <c r="V50" s="1416"/>
      <c r="W50" s="1416"/>
      <c r="X50" s="1416"/>
      <c r="Y50" s="1416"/>
      <c r="Z50" s="1416"/>
      <c r="AA50" s="1416"/>
      <c r="AB50" s="1416"/>
      <c r="AC50" s="1416"/>
    </row>
    <row r="51" spans="1:29" s="115" customFormat="1" ht="15">
      <c r="A51" s="518" t="s">
        <v>2533</v>
      </c>
      <c r="B51" s="507"/>
      <c r="C51" s="519" t="s">
        <v>2635</v>
      </c>
      <c r="D51" s="520"/>
      <c r="E51" s="520"/>
      <c r="F51" s="520"/>
      <c r="G51" s="520"/>
      <c r="H51" s="520"/>
      <c r="I51" s="520"/>
      <c r="J51" s="520"/>
      <c r="K51" s="520"/>
      <c r="L51" s="521"/>
      <c r="M51" s="522"/>
      <c r="N51" s="1140"/>
      <c r="O51" s="1140"/>
      <c r="P51" s="1415"/>
      <c r="Q51" s="1412"/>
      <c r="R51" s="1416"/>
      <c r="S51" s="1416"/>
      <c r="T51" s="1416"/>
      <c r="U51" s="1416"/>
      <c r="V51" s="1416"/>
      <c r="W51" s="1416"/>
      <c r="X51" s="1416"/>
      <c r="Y51" s="1416"/>
      <c r="Z51" s="1416"/>
      <c r="AA51" s="1416"/>
      <c r="AB51" s="1416"/>
      <c r="AC51" s="1416"/>
    </row>
    <row r="52" spans="1:29" s="115" customFormat="1" ht="15.75" thickBot="1">
      <c r="A52" s="518"/>
      <c r="B52" s="507"/>
      <c r="C52" s="636">
        <v>100</v>
      </c>
      <c r="D52" s="509"/>
      <c r="E52" s="509"/>
      <c r="F52" s="509"/>
      <c r="G52" s="509"/>
      <c r="H52" s="509"/>
      <c r="I52" s="509"/>
      <c r="J52" s="509"/>
      <c r="K52" s="509"/>
      <c r="L52" s="509"/>
      <c r="M52" s="511"/>
      <c r="N52" s="1140"/>
      <c r="O52" s="1140"/>
      <c r="P52" s="1417"/>
      <c r="Q52" s="1412"/>
      <c r="R52" s="1416"/>
      <c r="S52" s="1416"/>
      <c r="T52" s="1416"/>
      <c r="U52" s="1416"/>
      <c r="V52" s="1416"/>
      <c r="W52" s="1416"/>
      <c r="X52" s="1416"/>
      <c r="Y52" s="1416"/>
      <c r="Z52" s="1416"/>
      <c r="AA52" s="1416"/>
      <c r="AB52" s="1416"/>
      <c r="AC52" s="1416"/>
    </row>
    <row r="53" spans="1:29">
      <c r="A53" s="524" t="s">
        <v>2571</v>
      </c>
      <c r="B53" s="525" t="s">
        <v>2537</v>
      </c>
      <c r="C53" s="526">
        <f>C9</f>
        <v>0</v>
      </c>
      <c r="D53" s="527"/>
      <c r="E53" s="527"/>
      <c r="F53" s="527"/>
      <c r="G53" s="527"/>
      <c r="H53" s="527"/>
      <c r="I53" s="527"/>
      <c r="J53" s="527"/>
      <c r="K53" s="528"/>
      <c r="L53" s="529"/>
      <c r="M53" s="530"/>
      <c r="N53" s="1141"/>
      <c r="O53" s="1141"/>
      <c r="P53" s="1418"/>
      <c r="Q53" s="1412"/>
      <c r="R53" s="1133"/>
      <c r="S53" s="1133"/>
      <c r="T53" s="1133"/>
      <c r="U53" s="1133"/>
      <c r="V53" s="1133"/>
      <c r="W53" s="1133"/>
      <c r="X53" s="1133"/>
      <c r="Y53" s="1133"/>
      <c r="Z53" s="1133"/>
      <c r="AA53" s="1133"/>
      <c r="AB53" s="1133"/>
      <c r="AC53" s="1133"/>
    </row>
    <row r="54" spans="1:29" ht="15.75" thickBot="1">
      <c r="A54" s="531"/>
      <c r="B54" s="532"/>
      <c r="C54" s="533">
        <v>100</v>
      </c>
      <c r="D54" s="533"/>
      <c r="E54" s="533"/>
      <c r="F54" s="533"/>
      <c r="G54" s="533"/>
      <c r="H54" s="533"/>
      <c r="I54" s="533"/>
      <c r="J54" s="533"/>
      <c r="K54" s="533"/>
      <c r="L54" s="533"/>
      <c r="M54" s="534"/>
      <c r="N54" s="1142"/>
      <c r="O54" s="1142"/>
      <c r="P54" s="1418"/>
      <c r="Q54" s="1412"/>
      <c r="R54" s="1133"/>
      <c r="S54" s="1133"/>
      <c r="T54" s="1133"/>
      <c r="U54" s="1133"/>
      <c r="V54" s="1133"/>
      <c r="W54" s="1133"/>
      <c r="X54" s="1133"/>
      <c r="Y54" s="1133"/>
      <c r="Z54" s="1133"/>
      <c r="AA54" s="1133"/>
      <c r="AB54" s="1133"/>
      <c r="AC54" s="1133"/>
    </row>
    <row r="55" spans="1:29" ht="27.75" thickTop="1">
      <c r="A55" s="531"/>
      <c r="B55" s="535" t="s">
        <v>2540</v>
      </c>
      <c r="C55" s="536" t="s">
        <v>2572</v>
      </c>
      <c r="D55" s="536" t="s">
        <v>2573</v>
      </c>
      <c r="E55" s="536" t="s">
        <v>2574</v>
      </c>
      <c r="F55" s="536" t="s">
        <v>2575</v>
      </c>
      <c r="G55" s="536" t="s">
        <v>2576</v>
      </c>
      <c r="H55" s="536" t="s">
        <v>2577</v>
      </c>
      <c r="I55" s="536" t="s">
        <v>2578</v>
      </c>
      <c r="J55" s="536"/>
      <c r="K55" s="537"/>
      <c r="L55" s="538"/>
      <c r="M55" s="539"/>
      <c r="N55" s="1141"/>
      <c r="O55" s="1141"/>
      <c r="P55" s="1418"/>
      <c r="Q55" s="1412"/>
      <c r="R55" s="1133"/>
      <c r="S55" s="1133"/>
      <c r="T55" s="1133"/>
      <c r="U55" s="1133"/>
      <c r="V55" s="1133"/>
      <c r="W55" s="1133"/>
      <c r="X55" s="1133"/>
      <c r="Y55" s="1133"/>
      <c r="Z55" s="1133"/>
      <c r="AA55" s="1133"/>
      <c r="AB55" s="1133"/>
      <c r="AC55" s="1133"/>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2"/>
      <c r="O56" s="1142"/>
      <c r="P56" s="1418"/>
      <c r="Q56" s="1412"/>
      <c r="R56" s="1133"/>
      <c r="S56" s="1133"/>
      <c r="T56" s="1133"/>
      <c r="U56" s="1133"/>
      <c r="V56" s="1133"/>
      <c r="W56" s="1133"/>
      <c r="X56" s="1133"/>
      <c r="Y56" s="1133"/>
      <c r="Z56" s="1133"/>
      <c r="AA56" s="1133"/>
      <c r="AB56" s="1133"/>
      <c r="AC56" s="1133"/>
    </row>
    <row r="57" spans="1:29" ht="15.75" thickTop="1">
      <c r="A57" s="531"/>
      <c r="B57" s="657">
        <f>B11</f>
        <v>111</v>
      </c>
      <c r="C57" s="546"/>
      <c r="D57" s="546"/>
      <c r="E57" s="546"/>
      <c r="F57" s="546"/>
      <c r="G57" s="546"/>
      <c r="H57" s="546"/>
      <c r="I57" s="546"/>
      <c r="J57" s="546"/>
      <c r="K57" s="547"/>
      <c r="L57" s="548"/>
      <c r="M57" s="549"/>
      <c r="N57" s="1141"/>
      <c r="O57" s="1141"/>
      <c r="P57" s="1418"/>
      <c r="Q57" s="1412"/>
      <c r="R57" s="1133"/>
      <c r="S57" s="1133"/>
      <c r="T57" s="1133"/>
      <c r="U57" s="1133"/>
      <c r="V57" s="1133"/>
      <c r="W57" s="1133"/>
      <c r="X57" s="1133"/>
      <c r="Y57" s="1133"/>
      <c r="Z57" s="1133"/>
      <c r="AA57" s="1133"/>
      <c r="AB57" s="1133"/>
      <c r="AC57" s="1133"/>
    </row>
    <row r="58" spans="1:29" ht="15.75" thickBot="1">
      <c r="A58" s="531"/>
      <c r="B58" s="532"/>
      <c r="C58" s="557"/>
      <c r="D58" s="533"/>
      <c r="E58" s="533"/>
      <c r="F58" s="533"/>
      <c r="G58" s="533"/>
      <c r="H58" s="533"/>
      <c r="I58" s="533"/>
      <c r="J58" s="533"/>
      <c r="K58" s="533"/>
      <c r="L58" s="533"/>
      <c r="M58" s="534"/>
      <c r="N58" s="1142"/>
      <c r="O58" s="1142"/>
      <c r="P58" s="1418"/>
      <c r="Q58" s="1412"/>
      <c r="R58" s="1133"/>
      <c r="S58" s="1133"/>
      <c r="T58" s="1133"/>
      <c r="U58" s="1133"/>
      <c r="V58" s="1133"/>
      <c r="W58" s="1133"/>
      <c r="X58" s="1133"/>
      <c r="Y58" s="1133"/>
      <c r="Z58" s="1133"/>
      <c r="AA58" s="1133"/>
      <c r="AB58" s="1133"/>
      <c r="AC58" s="1133"/>
    </row>
    <row r="59" spans="1:29" s="468" customFormat="1" ht="15.75" thickTop="1">
      <c r="A59" s="550"/>
      <c r="B59" s="535">
        <f>B12</f>
        <v>111</v>
      </c>
      <c r="C59" s="546"/>
      <c r="D59" s="546"/>
      <c r="E59" s="546"/>
      <c r="F59" s="546"/>
      <c r="G59" s="551"/>
      <c r="H59" s="552"/>
      <c r="I59" s="552"/>
      <c r="J59" s="552"/>
      <c r="K59" s="552"/>
      <c r="L59" s="553"/>
      <c r="M59" s="554"/>
      <c r="N59" s="1143"/>
      <c r="O59" s="1143"/>
      <c r="P59" s="1419"/>
      <c r="Q59" s="1420"/>
      <c r="R59" s="1421"/>
      <c r="S59" s="1421"/>
      <c r="T59" s="1421"/>
      <c r="U59" s="1421"/>
      <c r="V59" s="1421"/>
      <c r="W59" s="1421"/>
      <c r="X59" s="1421"/>
      <c r="Y59" s="1421"/>
      <c r="Z59" s="1421"/>
      <c r="AA59" s="1421"/>
      <c r="AB59" s="1421"/>
      <c r="AC59" s="1421"/>
    </row>
    <row r="60" spans="1:29" s="468" customFormat="1" ht="15.75" thickBot="1">
      <c r="A60" s="550"/>
      <c r="B60" s="540"/>
      <c r="C60" s="557"/>
      <c r="D60" s="533"/>
      <c r="E60" s="533"/>
      <c r="F60" s="533"/>
      <c r="G60" s="533"/>
      <c r="H60" s="533"/>
      <c r="I60" s="533"/>
      <c r="J60" s="533"/>
      <c r="K60" s="533"/>
      <c r="L60" s="533"/>
      <c r="M60" s="534"/>
      <c r="N60" s="1142"/>
      <c r="O60" s="1142"/>
      <c r="P60" s="1419"/>
      <c r="Q60" s="1420"/>
      <c r="R60" s="1421"/>
      <c r="S60" s="1421"/>
      <c r="T60" s="1421"/>
      <c r="U60" s="1421"/>
      <c r="V60" s="1421"/>
      <c r="W60" s="1421"/>
      <c r="X60" s="1421"/>
      <c r="Y60" s="1421"/>
      <c r="Z60" s="1421"/>
      <c r="AA60" s="1421"/>
      <c r="AB60" s="1421"/>
      <c r="AC60" s="1421"/>
    </row>
    <row r="61" spans="1:29" s="468" customFormat="1" ht="15.75" thickTop="1">
      <c r="A61" s="550"/>
      <c r="B61" s="535">
        <f>B13</f>
        <v>111</v>
      </c>
      <c r="C61" s="551"/>
      <c r="D61" s="551"/>
      <c r="E61" s="551"/>
      <c r="F61" s="551"/>
      <c r="G61" s="551"/>
      <c r="H61" s="552"/>
      <c r="I61" s="552"/>
      <c r="J61" s="552"/>
      <c r="K61" s="552"/>
      <c r="L61" s="553"/>
      <c r="M61" s="554"/>
      <c r="N61" s="1143"/>
      <c r="O61" s="1143"/>
      <c r="P61" s="1422"/>
      <c r="Q61" s="1423"/>
      <c r="R61" s="1421"/>
      <c r="S61" s="1421"/>
      <c r="T61" s="1421"/>
      <c r="U61" s="1421"/>
      <c r="V61" s="1421"/>
      <c r="W61" s="1421"/>
      <c r="X61" s="1421"/>
      <c r="Y61" s="1421"/>
      <c r="Z61" s="1421"/>
      <c r="AA61" s="1421"/>
      <c r="AB61" s="1421"/>
      <c r="AC61" s="1421"/>
    </row>
    <row r="62" spans="1:29" s="468" customFormat="1" ht="15.75" thickBot="1">
      <c r="A62" s="550"/>
      <c r="B62" s="540"/>
      <c r="C62" s="557"/>
      <c r="D62" s="557"/>
      <c r="E62" s="557"/>
      <c r="F62" s="557"/>
      <c r="G62" s="557"/>
      <c r="H62" s="559"/>
      <c r="I62" s="559"/>
      <c r="J62" s="559"/>
      <c r="K62" s="559"/>
      <c r="L62" s="559"/>
      <c r="M62" s="560"/>
      <c r="N62" s="1143"/>
      <c r="O62" s="1143"/>
      <c r="P62" s="1419"/>
      <c r="Q62" s="1420"/>
      <c r="R62" s="1421"/>
      <c r="S62" s="1421"/>
      <c r="T62" s="1421"/>
      <c r="U62" s="1421"/>
      <c r="V62" s="1421"/>
      <c r="W62" s="1421"/>
      <c r="X62" s="1421"/>
      <c r="Y62" s="1421"/>
      <c r="Z62" s="1421"/>
      <c r="AA62" s="1421"/>
      <c r="AB62" s="1421"/>
      <c r="AC62" s="1421"/>
    </row>
    <row r="63" spans="1:29" ht="15" thickTop="1">
      <c r="A63" s="524" t="s">
        <v>2542</v>
      </c>
      <c r="B63" s="525" t="s">
        <v>2585</v>
      </c>
      <c r="C63" s="570" t="s">
        <v>2580</v>
      </c>
      <c r="D63" s="570" t="s">
        <v>2581</v>
      </c>
      <c r="E63" s="570" t="s">
        <v>2582</v>
      </c>
      <c r="F63" s="570" t="s">
        <v>2583</v>
      </c>
      <c r="G63" s="570" t="s">
        <v>2584</v>
      </c>
      <c r="H63" s="526"/>
      <c r="I63" s="526"/>
      <c r="J63" s="526"/>
      <c r="K63" s="571"/>
      <c r="L63" s="572"/>
      <c r="M63" s="573"/>
      <c r="N63" s="1141"/>
      <c r="O63" s="1141"/>
      <c r="P63" s="1424"/>
      <c r="Q63" s="1412"/>
      <c r="R63" s="1133"/>
      <c r="S63" s="1133"/>
      <c r="T63" s="1133"/>
      <c r="U63" s="1133"/>
      <c r="V63" s="1133"/>
      <c r="W63" s="1133"/>
      <c r="X63" s="1133"/>
      <c r="Y63" s="1133"/>
      <c r="Z63" s="1133"/>
      <c r="AA63" s="1133"/>
      <c r="AB63" s="1133"/>
      <c r="AC63" s="1133"/>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2"/>
      <c r="O64" s="1142"/>
      <c r="P64" s="1418"/>
      <c r="Q64" s="1412"/>
      <c r="R64" s="1133"/>
      <c r="S64" s="1133"/>
      <c r="T64" s="1133"/>
      <c r="U64" s="1133"/>
      <c r="V64" s="1133"/>
      <c r="W64" s="1133"/>
      <c r="X64" s="1133"/>
      <c r="Y64" s="1133"/>
      <c r="Z64" s="1133"/>
      <c r="AA64" s="1133"/>
      <c r="AB64" s="1133"/>
      <c r="AC64" s="1133"/>
    </row>
    <row r="65" spans="1:29" ht="15.75" thickTop="1">
      <c r="A65" s="531"/>
      <c r="B65" s="535" t="s">
        <v>2586</v>
      </c>
      <c r="C65" s="575" t="s">
        <v>2580</v>
      </c>
      <c r="D65" s="575" t="s">
        <v>2581</v>
      </c>
      <c r="E65" s="575" t="s">
        <v>2582</v>
      </c>
      <c r="F65" s="575" t="s">
        <v>2583</v>
      </c>
      <c r="G65" s="575" t="s">
        <v>2584</v>
      </c>
      <c r="H65" s="536"/>
      <c r="I65" s="536"/>
      <c r="J65" s="536"/>
      <c r="K65" s="537"/>
      <c r="L65" s="538"/>
      <c r="M65" s="539"/>
      <c r="N65" s="1141"/>
      <c r="O65" s="1141"/>
      <c r="P65" s="1418"/>
      <c r="Q65" s="1412"/>
      <c r="R65" s="1133"/>
      <c r="S65" s="1133"/>
      <c r="T65" s="1133"/>
      <c r="U65" s="1133"/>
      <c r="V65" s="1133"/>
      <c r="W65" s="1133"/>
      <c r="X65" s="1133"/>
      <c r="Y65" s="1133"/>
      <c r="Z65" s="1133"/>
      <c r="AA65" s="1133"/>
      <c r="AB65" s="1133"/>
      <c r="AC65" s="1133"/>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2"/>
      <c r="O66" s="1142"/>
      <c r="P66" s="1418"/>
      <c r="Q66" s="1412"/>
      <c r="R66" s="1133"/>
      <c r="S66" s="1133"/>
      <c r="T66" s="1133"/>
      <c r="U66" s="1133"/>
      <c r="V66" s="1133"/>
      <c r="W66" s="1133"/>
      <c r="X66" s="1133"/>
      <c r="Y66" s="1133"/>
      <c r="Z66" s="1133"/>
      <c r="AA66" s="1133"/>
      <c r="AB66" s="1133"/>
      <c r="AC66" s="1133"/>
    </row>
    <row r="67" spans="1:29" ht="15.75" thickTop="1">
      <c r="A67" s="531"/>
      <c r="B67" s="543" t="s">
        <v>2672</v>
      </c>
      <c r="C67" s="657" t="s">
        <v>2658</v>
      </c>
      <c r="D67" s="657" t="s">
        <v>2659</v>
      </c>
      <c r="E67" s="657" t="s">
        <v>2660</v>
      </c>
      <c r="F67" s="657" t="s">
        <v>2661</v>
      </c>
      <c r="G67" s="657" t="s">
        <v>2662</v>
      </c>
      <c r="H67" s="536"/>
      <c r="I67" s="536"/>
      <c r="J67" s="536"/>
      <c r="K67" s="536"/>
      <c r="L67" s="536"/>
      <c r="M67" s="1371"/>
      <c r="N67" s="1142"/>
      <c r="O67" s="1142"/>
      <c r="P67" s="1418"/>
      <c r="Q67" s="1412"/>
      <c r="R67" s="1133"/>
      <c r="S67" s="1133"/>
      <c r="T67" s="1133"/>
      <c r="U67" s="1133"/>
      <c r="V67" s="1133"/>
      <c r="W67" s="1133"/>
      <c r="X67" s="1133"/>
      <c r="Y67" s="1133"/>
      <c r="Z67" s="1133"/>
      <c r="AA67" s="1133"/>
      <c r="AB67" s="1133"/>
      <c r="AC67" s="1133"/>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2"/>
      <c r="O68" s="1142"/>
      <c r="P68" s="1418"/>
      <c r="Q68" s="1412"/>
      <c r="R68" s="1133"/>
      <c r="S68" s="1133"/>
      <c r="T68" s="1133"/>
      <c r="U68" s="1133"/>
      <c r="V68" s="1133"/>
      <c r="W68" s="1133"/>
      <c r="X68" s="1133"/>
      <c r="Y68" s="1133"/>
      <c r="Z68" s="1133"/>
      <c r="AA68" s="1133"/>
      <c r="AB68" s="1133"/>
      <c r="AC68" s="1133"/>
    </row>
    <row r="69" spans="1:29" ht="15.75" thickTop="1">
      <c r="A69" s="531"/>
      <c r="B69" s="535" t="s">
        <v>2592</v>
      </c>
      <c r="C69" s="575" t="s">
        <v>2580</v>
      </c>
      <c r="D69" s="575" t="s">
        <v>2581</v>
      </c>
      <c r="E69" s="575" t="s">
        <v>2582</v>
      </c>
      <c r="F69" s="575" t="s">
        <v>2583</v>
      </c>
      <c r="G69" s="575" t="s">
        <v>2584</v>
      </c>
      <c r="H69" s="536"/>
      <c r="I69" s="536"/>
      <c r="J69" s="536"/>
      <c r="K69" s="537"/>
      <c r="L69" s="538"/>
      <c r="M69" s="539"/>
      <c r="N69" s="1141"/>
      <c r="O69" s="1141"/>
      <c r="P69" s="1418"/>
      <c r="Q69" s="1412"/>
      <c r="R69" s="1133"/>
      <c r="S69" s="1133"/>
      <c r="T69" s="1133"/>
      <c r="U69" s="1133"/>
      <c r="V69" s="1133"/>
      <c r="W69" s="1133"/>
      <c r="X69" s="1133"/>
      <c r="Y69" s="1133"/>
      <c r="Z69" s="1133"/>
      <c r="AA69" s="1133"/>
      <c r="AB69" s="1133"/>
      <c r="AC69" s="1133"/>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2"/>
      <c r="O70" s="1142"/>
      <c r="P70" s="1418"/>
      <c r="Q70" s="1412"/>
      <c r="R70" s="1133"/>
      <c r="S70" s="1133"/>
      <c r="T70" s="1133"/>
      <c r="U70" s="1133"/>
      <c r="V70" s="1133"/>
      <c r="W70" s="1133"/>
      <c r="X70" s="1133"/>
      <c r="Y70" s="1133"/>
      <c r="Z70" s="1133"/>
      <c r="AA70" s="1133"/>
      <c r="AB70" s="1133"/>
      <c r="AC70" s="1133"/>
    </row>
    <row r="71" spans="1:29" ht="15.75" thickTop="1">
      <c r="A71" s="531"/>
      <c r="B71" s="535" t="s">
        <v>2712</v>
      </c>
      <c r="C71" s="551"/>
      <c r="D71" s="551"/>
      <c r="E71" s="551"/>
      <c r="F71" s="551"/>
      <c r="G71" s="551"/>
      <c r="H71" s="580"/>
      <c r="I71" s="580"/>
      <c r="J71" s="580"/>
      <c r="K71" s="581"/>
      <c r="L71" s="582"/>
      <c r="M71" s="583"/>
      <c r="N71" s="1141"/>
      <c r="O71" s="1141"/>
      <c r="P71" s="1418"/>
      <c r="Q71" s="1412"/>
      <c r="R71" s="1133"/>
      <c r="S71" s="1133"/>
      <c r="T71" s="1133"/>
      <c r="U71" s="1133"/>
      <c r="V71" s="1133"/>
      <c r="W71" s="1133"/>
      <c r="X71" s="1133"/>
      <c r="Y71" s="1133"/>
      <c r="Z71" s="1133"/>
      <c r="AA71" s="1133"/>
      <c r="AB71" s="1133"/>
      <c r="AC71" s="1133"/>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2"/>
      <c r="O72" s="1142"/>
      <c r="P72" s="1418"/>
      <c r="Q72" s="1412"/>
      <c r="R72" s="1133"/>
      <c r="S72" s="1133"/>
      <c r="T72" s="1133"/>
      <c r="U72" s="1133"/>
      <c r="V72" s="1133"/>
      <c r="W72" s="1133"/>
      <c r="X72" s="1133"/>
      <c r="Y72" s="1133"/>
      <c r="Z72" s="1133"/>
      <c r="AA72" s="1133"/>
      <c r="AB72" s="1133"/>
      <c r="AC72" s="1133"/>
    </row>
    <row r="73" spans="1:29" s="115" customFormat="1" ht="15.75" thickTop="1">
      <c r="A73" s="576"/>
      <c r="B73" s="535">
        <f>B23</f>
        <v>111</v>
      </c>
      <c r="C73" s="546"/>
      <c r="D73" s="546"/>
      <c r="E73" s="546"/>
      <c r="F73" s="546"/>
      <c r="G73" s="551"/>
      <c r="H73" s="551"/>
      <c r="I73" s="551"/>
      <c r="J73" s="551"/>
      <c r="K73" s="551"/>
      <c r="L73" s="577"/>
      <c r="M73" s="578"/>
      <c r="N73" s="1140"/>
      <c r="O73" s="1140"/>
      <c r="P73" s="1418"/>
      <c r="Q73" s="1412"/>
      <c r="R73" s="1416"/>
      <c r="S73" s="1416"/>
      <c r="T73" s="1416"/>
      <c r="U73" s="1416"/>
      <c r="V73" s="1416"/>
      <c r="W73" s="1416"/>
      <c r="X73" s="1416"/>
      <c r="Y73" s="1416"/>
      <c r="Z73" s="1416"/>
      <c r="AA73" s="1416"/>
      <c r="AB73" s="1416"/>
      <c r="AC73" s="1416"/>
    </row>
    <row r="74" spans="1:29" s="115" customFormat="1" ht="15.75" thickBot="1">
      <c r="A74" s="576"/>
      <c r="B74" s="540"/>
      <c r="C74" s="557"/>
      <c r="D74" s="533"/>
      <c r="E74" s="533"/>
      <c r="F74" s="533"/>
      <c r="G74" s="533"/>
      <c r="H74" s="533"/>
      <c r="I74" s="533"/>
      <c r="J74" s="533"/>
      <c r="K74" s="533"/>
      <c r="L74" s="533"/>
      <c r="M74" s="534"/>
      <c r="N74" s="1142"/>
      <c r="O74" s="1142"/>
      <c r="P74" s="1418"/>
      <c r="Q74" s="1412"/>
      <c r="R74" s="1416"/>
      <c r="S74" s="1416"/>
      <c r="T74" s="1416"/>
      <c r="U74" s="1416"/>
      <c r="V74" s="1416"/>
      <c r="W74" s="1416"/>
      <c r="X74" s="1416"/>
      <c r="Y74" s="1416"/>
      <c r="Z74" s="1416"/>
      <c r="AA74" s="1416"/>
      <c r="AB74" s="1416"/>
      <c r="AC74" s="1416"/>
    </row>
    <row r="75" spans="1:29" s="115" customFormat="1" ht="15.75" thickTop="1">
      <c r="A75" s="576"/>
      <c r="B75" s="535">
        <f>B24</f>
        <v>111</v>
      </c>
      <c r="C75" s="546"/>
      <c r="D75" s="546"/>
      <c r="E75" s="546"/>
      <c r="F75" s="546"/>
      <c r="G75" s="551"/>
      <c r="H75" s="551"/>
      <c r="I75" s="551"/>
      <c r="J75" s="551"/>
      <c r="K75" s="551"/>
      <c r="L75" s="551"/>
      <c r="M75" s="578"/>
      <c r="N75" s="1140"/>
      <c r="O75" s="1140"/>
      <c r="P75" s="1418"/>
      <c r="Q75" s="1412"/>
      <c r="R75" s="1416"/>
      <c r="S75" s="1416"/>
      <c r="T75" s="1416"/>
      <c r="U75" s="1416"/>
      <c r="V75" s="1416"/>
      <c r="W75" s="1416"/>
      <c r="X75" s="1416"/>
      <c r="Y75" s="1416"/>
      <c r="Z75" s="1416"/>
      <c r="AA75" s="1416"/>
      <c r="AB75" s="1416"/>
      <c r="AC75" s="1416"/>
    </row>
    <row r="76" spans="1:29" s="115" customFormat="1" ht="15.75" thickBot="1">
      <c r="A76" s="576"/>
      <c r="B76" s="540"/>
      <c r="C76" s="557"/>
      <c r="D76" s="533"/>
      <c r="E76" s="533"/>
      <c r="F76" s="533"/>
      <c r="G76" s="533"/>
      <c r="H76" s="533"/>
      <c r="I76" s="533"/>
      <c r="J76" s="533"/>
      <c r="K76" s="533"/>
      <c r="L76" s="533"/>
      <c r="M76" s="534"/>
      <c r="N76" s="1142"/>
      <c r="O76" s="1142"/>
      <c r="P76" s="1418"/>
      <c r="Q76" s="1412"/>
      <c r="R76" s="1416"/>
      <c r="S76" s="1416"/>
      <c r="T76" s="1416"/>
      <c r="U76" s="1416"/>
      <c r="V76" s="1416"/>
      <c r="W76" s="1416"/>
      <c r="X76" s="1416"/>
      <c r="Y76" s="1416"/>
      <c r="Z76" s="1416"/>
      <c r="AA76" s="1416"/>
      <c r="AB76" s="1416"/>
      <c r="AC76" s="1416"/>
    </row>
    <row r="77" spans="1:29" s="468" customFormat="1" ht="15.75" thickTop="1">
      <c r="A77" s="550"/>
      <c r="B77" s="535">
        <f>B25</f>
        <v>111</v>
      </c>
      <c r="C77" s="551"/>
      <c r="D77" s="551"/>
      <c r="E77" s="551"/>
      <c r="F77" s="551"/>
      <c r="G77" s="551"/>
      <c r="H77" s="552"/>
      <c r="I77" s="552"/>
      <c r="J77" s="552"/>
      <c r="K77" s="552"/>
      <c r="L77" s="553"/>
      <c r="M77" s="554"/>
      <c r="N77" s="1143"/>
      <c r="O77" s="1143"/>
      <c r="P77" s="1419"/>
      <c r="Q77" s="1420"/>
      <c r="R77" s="1421"/>
      <c r="S77" s="1421"/>
      <c r="T77" s="1421"/>
      <c r="U77" s="1421"/>
      <c r="V77" s="1421"/>
      <c r="W77" s="1421"/>
      <c r="X77" s="1421"/>
      <c r="Y77" s="1421"/>
      <c r="Z77" s="1421"/>
      <c r="AA77" s="1421"/>
      <c r="AB77" s="1421"/>
      <c r="AC77" s="1421"/>
    </row>
    <row r="78" spans="1:29" s="468" customFormat="1" ht="15.75" thickBot="1">
      <c r="A78" s="550"/>
      <c r="B78" s="540"/>
      <c r="C78" s="557"/>
      <c r="D78" s="557"/>
      <c r="E78" s="557"/>
      <c r="F78" s="557"/>
      <c r="G78" s="533"/>
      <c r="H78" s="533"/>
      <c r="I78" s="533"/>
      <c r="J78" s="533"/>
      <c r="K78" s="533"/>
      <c r="L78" s="533"/>
      <c r="M78" s="534"/>
      <c r="N78" s="1143"/>
      <c r="O78" s="1143"/>
      <c r="P78" s="1419"/>
      <c r="Q78" s="1420"/>
      <c r="R78" s="1421"/>
      <c r="S78" s="1421"/>
      <c r="T78" s="1421"/>
      <c r="U78" s="1421"/>
      <c r="V78" s="1421"/>
      <c r="W78" s="1421"/>
      <c r="X78" s="1421"/>
      <c r="Y78" s="1421"/>
      <c r="Z78" s="1421"/>
      <c r="AA78" s="1421"/>
      <c r="AB78" s="1421"/>
      <c r="AC78" s="1421"/>
    </row>
    <row r="79" spans="1:29" ht="27.75" thickTop="1">
      <c r="A79" s="524" t="s">
        <v>2546</v>
      </c>
      <c r="B79" s="525" t="s">
        <v>2713</v>
      </c>
      <c r="C79" s="526">
        <f>C26</f>
        <v>0</v>
      </c>
      <c r="D79" s="527"/>
      <c r="E79" s="527"/>
      <c r="F79" s="527"/>
      <c r="G79" s="527"/>
      <c r="H79" s="527"/>
      <c r="I79" s="527"/>
      <c r="J79" s="527"/>
      <c r="K79" s="528"/>
      <c r="L79" s="529"/>
      <c r="M79" s="530"/>
      <c r="N79" s="1141"/>
      <c r="O79" s="1141"/>
      <c r="P79" s="1418"/>
      <c r="Q79" s="1412"/>
      <c r="R79" s="1133"/>
      <c r="S79" s="1133"/>
      <c r="T79" s="1133"/>
      <c r="U79" s="1133"/>
      <c r="V79" s="1133"/>
      <c r="W79" s="1133"/>
      <c r="X79" s="1133"/>
      <c r="Y79" s="1133"/>
      <c r="Z79" s="1133"/>
      <c r="AA79" s="1133"/>
      <c r="AB79" s="1133"/>
      <c r="AC79" s="1133"/>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2"/>
      <c r="O80" s="1142"/>
      <c r="P80" s="1418"/>
      <c r="Q80" s="1412"/>
      <c r="R80" s="1133"/>
      <c r="S80" s="1133"/>
      <c r="T80" s="1133"/>
      <c r="U80" s="1133"/>
      <c r="V80" s="1133"/>
      <c r="W80" s="1133"/>
      <c r="X80" s="1133"/>
      <c r="Y80" s="1133"/>
      <c r="Z80" s="1133"/>
      <c r="AA80" s="1133"/>
      <c r="AB80" s="1133"/>
      <c r="AC80" s="1133"/>
    </row>
    <row r="81" spans="1:29" ht="15.75" thickTop="1">
      <c r="A81" s="531"/>
      <c r="B81" s="535" t="s">
        <v>2714</v>
      </c>
      <c r="C81" s="658"/>
      <c r="D81" s="658"/>
      <c r="E81" s="658"/>
      <c r="F81" s="658"/>
      <c r="G81" s="658"/>
      <c r="H81" s="658"/>
      <c r="I81" s="658"/>
      <c r="J81" s="658"/>
      <c r="K81" s="659"/>
      <c r="L81" s="660"/>
      <c r="M81" s="661"/>
      <c r="N81" s="1140"/>
      <c r="O81" s="1140"/>
      <c r="P81" s="1418"/>
      <c r="Q81" s="1412"/>
      <c r="R81" s="1133"/>
      <c r="S81" s="1133"/>
      <c r="T81" s="1133"/>
      <c r="U81" s="1133"/>
      <c r="V81" s="1133"/>
      <c r="W81" s="1133"/>
      <c r="X81" s="1133"/>
      <c r="Y81" s="1133"/>
      <c r="Z81" s="1133"/>
      <c r="AA81" s="1133"/>
      <c r="AB81" s="1133"/>
      <c r="AC81" s="1133"/>
    </row>
    <row r="82" spans="1:29" s="468" customFormat="1" ht="15.75" thickBot="1">
      <c r="A82" s="550"/>
      <c r="B82" s="540"/>
      <c r="C82" s="557"/>
      <c r="D82" s="533"/>
      <c r="E82" s="533"/>
      <c r="F82" s="533"/>
      <c r="G82" s="533"/>
      <c r="H82" s="533"/>
      <c r="I82" s="533"/>
      <c r="J82" s="533"/>
      <c r="K82" s="533"/>
      <c r="L82" s="533"/>
      <c r="M82" s="534"/>
      <c r="N82" s="1142"/>
      <c r="O82" s="1142"/>
      <c r="P82" s="1419"/>
      <c r="Q82" s="1420"/>
      <c r="R82" s="1421"/>
      <c r="S82" s="1421"/>
      <c r="T82" s="1421"/>
      <c r="U82" s="1421"/>
      <c r="V82" s="1421"/>
      <c r="W82" s="1421"/>
      <c r="X82" s="1421"/>
      <c r="Y82" s="1421"/>
      <c r="Z82" s="1421"/>
      <c r="AA82" s="1421"/>
      <c r="AB82" s="1421"/>
      <c r="AC82" s="1421"/>
    </row>
    <row r="83" spans="1:29" ht="15" thickTop="1">
      <c r="A83" s="596"/>
      <c r="B83" s="535" t="s">
        <v>2599</v>
      </c>
      <c r="C83" s="551"/>
      <c r="D83" s="551"/>
      <c r="E83" s="580"/>
      <c r="F83" s="580"/>
      <c r="G83" s="580"/>
      <c r="H83" s="580"/>
      <c r="I83" s="580"/>
      <c r="J83" s="580"/>
      <c r="K83" s="581"/>
      <c r="L83" s="582"/>
      <c r="M83" s="583"/>
      <c r="N83" s="1141"/>
      <c r="O83" s="1141"/>
      <c r="P83" s="1418"/>
      <c r="Q83" s="1412"/>
      <c r="R83" s="1133"/>
      <c r="S83" s="1133"/>
      <c r="T83" s="1133"/>
      <c r="U83" s="1133"/>
      <c r="V83" s="1133"/>
      <c r="W83" s="1133"/>
      <c r="X83" s="1133"/>
      <c r="Y83" s="1133"/>
      <c r="Z83" s="1133"/>
      <c r="AA83" s="1133"/>
      <c r="AB83" s="1133"/>
      <c r="AC83" s="1133"/>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2"/>
      <c r="O84" s="1142"/>
      <c r="P84" s="1418"/>
      <c r="Q84" s="1412"/>
      <c r="R84" s="1133"/>
      <c r="S84" s="1133"/>
      <c r="T84" s="1133"/>
      <c r="U84" s="1133"/>
      <c r="V84" s="1133"/>
      <c r="W84" s="1133"/>
      <c r="X84" s="1133"/>
      <c r="Y84" s="1133"/>
      <c r="Z84" s="1133"/>
      <c r="AA84" s="1133"/>
      <c r="AB84" s="1133"/>
      <c r="AC84" s="1133"/>
    </row>
    <row r="85" spans="1:29" ht="15" thickTop="1">
      <c r="A85" s="596"/>
      <c r="B85" s="535" t="s">
        <v>2715</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1"/>
      <c r="O85" s="1141"/>
      <c r="P85" s="1418"/>
      <c r="Q85" s="1412"/>
      <c r="R85" s="1133"/>
      <c r="S85" s="1133"/>
      <c r="T85" s="1133"/>
      <c r="U85" s="1133"/>
      <c r="V85" s="1133"/>
      <c r="W85" s="1133"/>
      <c r="X85" s="1133"/>
      <c r="Y85" s="1133"/>
      <c r="Z85" s="1133"/>
      <c r="AA85" s="1133"/>
      <c r="AB85" s="1133"/>
      <c r="AC85" s="1133"/>
    </row>
    <row r="86" spans="1:29">
      <c r="A86" s="596"/>
      <c r="B86" s="543"/>
      <c r="C86" s="600">
        <v>0.5</v>
      </c>
      <c r="D86" s="600">
        <v>0.6</v>
      </c>
      <c r="E86" s="600">
        <v>0.7</v>
      </c>
      <c r="F86" s="600">
        <v>0.8</v>
      </c>
      <c r="G86" s="600">
        <v>0.9</v>
      </c>
      <c r="H86" s="600">
        <v>1.0001</v>
      </c>
      <c r="I86" s="620"/>
      <c r="J86" s="620"/>
      <c r="K86" s="621"/>
      <c r="L86" s="622"/>
      <c r="M86" s="623"/>
      <c r="N86" s="1141"/>
      <c r="O86" s="1141"/>
      <c r="P86" s="1418"/>
      <c r="Q86" s="1412"/>
      <c r="R86" s="1133"/>
      <c r="S86" s="1133"/>
      <c r="T86" s="1133"/>
      <c r="U86" s="1133"/>
      <c r="V86" s="1133"/>
      <c r="W86" s="1133"/>
      <c r="X86" s="1133"/>
      <c r="Y86" s="1133"/>
      <c r="Z86" s="1133"/>
      <c r="AA86" s="1133"/>
      <c r="AB86" s="1133"/>
      <c r="AC86" s="1133"/>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2"/>
      <c r="O87" s="1142"/>
      <c r="P87" s="1418"/>
      <c r="Q87" s="1412"/>
      <c r="R87" s="1133"/>
      <c r="S87" s="1133"/>
      <c r="T87" s="1133"/>
      <c r="U87" s="1133"/>
      <c r="V87" s="1133"/>
      <c r="W87" s="1133"/>
      <c r="X87" s="1133"/>
      <c r="Y87" s="1133"/>
      <c r="Z87" s="1133"/>
      <c r="AA87" s="1133"/>
      <c r="AB87" s="1133"/>
      <c r="AC87" s="1133"/>
    </row>
    <row r="88" spans="1:29" ht="15" thickTop="1">
      <c r="A88" s="596"/>
      <c r="B88" s="543" t="s">
        <v>2716</v>
      </c>
      <c r="C88" s="527"/>
      <c r="D88" s="527"/>
      <c r="E88" s="527"/>
      <c r="F88" s="527"/>
      <c r="G88" s="527"/>
      <c r="H88" s="527"/>
      <c r="I88" s="527"/>
      <c r="J88" s="527"/>
      <c r="K88" s="528"/>
      <c r="L88" s="529"/>
      <c r="M88" s="530"/>
      <c r="N88" s="1141"/>
      <c r="O88" s="1141"/>
      <c r="P88" s="1418"/>
      <c r="Q88" s="1412"/>
      <c r="R88" s="1133"/>
      <c r="S88" s="1133"/>
      <c r="T88" s="1133"/>
      <c r="U88" s="1133"/>
      <c r="V88" s="1133"/>
      <c r="W88" s="1133"/>
      <c r="X88" s="1133"/>
      <c r="Y88" s="1133"/>
      <c r="Z88" s="1133"/>
      <c r="AA88" s="1133"/>
      <c r="AB88" s="1133"/>
      <c r="AC88" s="1133"/>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2"/>
      <c r="O89" s="1142"/>
      <c r="P89" s="1418"/>
      <c r="Q89" s="1412"/>
      <c r="R89" s="1133"/>
      <c r="S89" s="1133"/>
      <c r="T89" s="1133"/>
      <c r="U89" s="1133"/>
      <c r="V89" s="1133"/>
      <c r="W89" s="1133"/>
      <c r="X89" s="1133"/>
      <c r="Y89" s="1133"/>
      <c r="Z89" s="1133"/>
      <c r="AA89" s="1133"/>
      <c r="AB89" s="1133"/>
      <c r="AC89" s="1133"/>
    </row>
    <row r="90" spans="1:29" s="468" customFormat="1" ht="15" thickTop="1">
      <c r="A90" s="590"/>
      <c r="B90" s="535" t="s">
        <v>2717</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3"/>
      <c r="O90" s="1143"/>
      <c r="P90" s="1419"/>
      <c r="Q90" s="1420"/>
      <c r="R90" s="1421"/>
      <c r="S90" s="1421"/>
      <c r="T90" s="1421"/>
      <c r="U90" s="1421"/>
      <c r="V90" s="1421"/>
      <c r="W90" s="1421"/>
      <c r="X90" s="1421"/>
      <c r="Y90" s="1421"/>
      <c r="Z90" s="1421"/>
      <c r="AA90" s="1421"/>
      <c r="AB90" s="1421"/>
      <c r="AC90" s="1421"/>
    </row>
    <row r="91" spans="1:29" s="468" customFormat="1">
      <c r="A91" s="590"/>
      <c r="B91" s="543"/>
      <c r="C91" s="592"/>
      <c r="D91" s="592"/>
      <c r="E91" s="592"/>
      <c r="F91" s="592"/>
      <c r="G91" s="592"/>
      <c r="H91" s="592"/>
      <c r="I91" s="592"/>
      <c r="J91" s="593"/>
      <c r="K91" s="593"/>
      <c r="L91" s="594"/>
      <c r="M91" s="595"/>
      <c r="N91" s="1143"/>
      <c r="O91" s="1143"/>
      <c r="P91" s="1419"/>
      <c r="Q91" s="1420"/>
      <c r="R91" s="1421"/>
      <c r="S91" s="1421"/>
      <c r="T91" s="1421"/>
      <c r="U91" s="1421"/>
      <c r="V91" s="1421"/>
      <c r="W91" s="1421"/>
      <c r="X91" s="1421"/>
      <c r="Y91" s="1421"/>
      <c r="Z91" s="1421"/>
      <c r="AA91" s="1421"/>
      <c r="AB91" s="1421"/>
      <c r="AC91" s="1421"/>
    </row>
    <row r="92" spans="1:29" s="468" customFormat="1" ht="15.75" thickBot="1">
      <c r="A92" s="550"/>
      <c r="B92" s="540"/>
      <c r="C92" s="557"/>
      <c r="D92" s="533"/>
      <c r="E92" s="533"/>
      <c r="F92" s="533"/>
      <c r="G92" s="533"/>
      <c r="H92" s="533"/>
      <c r="I92" s="533"/>
      <c r="J92" s="533"/>
      <c r="K92" s="533"/>
      <c r="L92" s="533"/>
      <c r="M92" s="534"/>
      <c r="N92" s="1143"/>
      <c r="O92" s="1143"/>
      <c r="P92" s="1419"/>
      <c r="Q92" s="1420"/>
      <c r="R92" s="1421"/>
      <c r="S92" s="1421"/>
      <c r="T92" s="1421"/>
      <c r="U92" s="1421"/>
      <c r="V92" s="1421"/>
      <c r="W92" s="1421"/>
      <c r="X92" s="1421"/>
      <c r="Y92" s="1421"/>
      <c r="Z92" s="1421"/>
      <c r="AA92" s="1421"/>
      <c r="AB92" s="1421"/>
      <c r="AC92" s="1421"/>
    </row>
    <row r="93" spans="1:29" ht="15" thickTop="1">
      <c r="A93" s="596"/>
      <c r="B93" s="535" t="s">
        <v>2718</v>
      </c>
      <c r="C93" s="551"/>
      <c r="D93" s="551"/>
      <c r="E93" s="580"/>
      <c r="F93" s="580"/>
      <c r="G93" s="580"/>
      <c r="H93" s="580"/>
      <c r="I93" s="580"/>
      <c r="J93" s="580"/>
      <c r="K93" s="581"/>
      <c r="L93" s="582"/>
      <c r="M93" s="583"/>
      <c r="N93" s="1141"/>
      <c r="O93" s="1141"/>
      <c r="P93" s="1418"/>
      <c r="Q93" s="1412"/>
      <c r="R93" s="1133"/>
      <c r="S93" s="1133"/>
      <c r="T93" s="1133"/>
      <c r="U93" s="1133"/>
      <c r="V93" s="1133"/>
      <c r="W93" s="1133"/>
      <c r="X93" s="1133"/>
      <c r="Y93" s="1133"/>
      <c r="Z93" s="1133"/>
      <c r="AA93" s="1133"/>
      <c r="AB93" s="1133"/>
      <c r="AC93" s="1133"/>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2"/>
      <c r="O94" s="1142"/>
      <c r="P94" s="1418"/>
      <c r="Q94" s="1412"/>
      <c r="R94" s="1133"/>
      <c r="S94" s="1133"/>
      <c r="T94" s="1133"/>
      <c r="U94" s="1133"/>
      <c r="V94" s="1133"/>
      <c r="W94" s="1133"/>
      <c r="X94" s="1133"/>
      <c r="Y94" s="1133"/>
      <c r="Z94" s="1133"/>
      <c r="AA94" s="1133"/>
      <c r="AB94" s="1133"/>
      <c r="AC94" s="1133"/>
    </row>
    <row r="95" spans="1:29" ht="15" thickTop="1">
      <c r="A95" s="596"/>
      <c r="B95" s="535" t="s">
        <v>2719</v>
      </c>
      <c r="C95" s="527"/>
      <c r="D95" s="527"/>
      <c r="E95" s="527"/>
      <c r="F95" s="527"/>
      <c r="G95" s="527"/>
      <c r="H95" s="527"/>
      <c r="I95" s="527"/>
      <c r="J95" s="527"/>
      <c r="K95" s="528"/>
      <c r="L95" s="529"/>
      <c r="M95" s="530"/>
      <c r="N95" s="1141"/>
      <c r="O95" s="1141"/>
      <c r="P95" s="1418"/>
      <c r="Q95" s="1412"/>
      <c r="R95" s="1133"/>
      <c r="S95" s="1133"/>
      <c r="T95" s="1133"/>
      <c r="U95" s="1133"/>
      <c r="V95" s="1133"/>
      <c r="W95" s="1133"/>
      <c r="X95" s="1133"/>
      <c r="Y95" s="1133"/>
      <c r="Z95" s="1133"/>
      <c r="AA95" s="1133"/>
      <c r="AB95" s="1133"/>
      <c r="AC95" s="1133"/>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2"/>
      <c r="O96" s="1142"/>
      <c r="P96" s="1418"/>
      <c r="Q96" s="1412"/>
      <c r="R96" s="1133"/>
      <c r="S96" s="1133"/>
      <c r="T96" s="1133"/>
      <c r="U96" s="1133"/>
      <c r="V96" s="1133"/>
      <c r="W96" s="1133"/>
      <c r="X96" s="1133"/>
      <c r="Y96" s="1133"/>
      <c r="Z96" s="1133"/>
      <c r="AA96" s="1133"/>
      <c r="AB96" s="1133"/>
      <c r="AC96" s="1133"/>
    </row>
    <row r="97" spans="1:29" ht="15" thickTop="1">
      <c r="A97" s="596"/>
      <c r="B97" s="633">
        <f>B34</f>
        <v>111</v>
      </c>
      <c r="C97" s="546"/>
      <c r="D97" s="546"/>
      <c r="E97" s="546"/>
      <c r="F97" s="546"/>
      <c r="G97" s="551"/>
      <c r="H97" s="552"/>
      <c r="I97" s="552"/>
      <c r="J97" s="552"/>
      <c r="K97" s="552"/>
      <c r="L97" s="553"/>
      <c r="M97" s="554"/>
      <c r="N97" s="1142"/>
      <c r="O97" s="1142"/>
      <c r="P97" s="1425"/>
      <c r="Q97" s="1426"/>
      <c r="R97" s="1133"/>
      <c r="S97" s="1133"/>
      <c r="T97" s="1133"/>
      <c r="U97" s="1133"/>
      <c r="V97" s="1133"/>
      <c r="W97" s="1133"/>
      <c r="X97" s="1133"/>
      <c r="Y97" s="1133"/>
      <c r="Z97" s="1133"/>
      <c r="AA97" s="1133"/>
      <c r="AB97" s="1133"/>
      <c r="AC97" s="1133"/>
    </row>
    <row r="98" spans="1:29" ht="15.75" thickBot="1">
      <c r="A98" s="531"/>
      <c r="B98" s="540"/>
      <c r="C98" s="557"/>
      <c r="D98" s="533"/>
      <c r="E98" s="533"/>
      <c r="F98" s="533"/>
      <c r="G98" s="557"/>
      <c r="H98" s="559"/>
      <c r="I98" s="559"/>
      <c r="J98" s="559"/>
      <c r="K98" s="559"/>
      <c r="L98" s="559"/>
      <c r="M98" s="560"/>
      <c r="N98" s="1142"/>
      <c r="O98" s="1142"/>
      <c r="P98" s="1418"/>
      <c r="Q98" s="1412"/>
      <c r="R98" s="1133"/>
      <c r="S98" s="1133"/>
      <c r="T98" s="1133"/>
      <c r="U98" s="1133"/>
      <c r="V98" s="1133"/>
      <c r="W98" s="1133"/>
      <c r="X98" s="1133"/>
      <c r="Y98" s="1133"/>
      <c r="Z98" s="1133"/>
      <c r="AA98" s="1133"/>
      <c r="AB98" s="1133"/>
      <c r="AC98" s="1133"/>
    </row>
    <row r="99" spans="1:29" s="468" customFormat="1" ht="15" thickTop="1">
      <c r="A99" s="590"/>
      <c r="B99" s="535">
        <f>B35</f>
        <v>111</v>
      </c>
      <c r="C99" s="546"/>
      <c r="D99" s="546"/>
      <c r="E99" s="546"/>
      <c r="F99" s="546"/>
      <c r="G99" s="551"/>
      <c r="H99" s="552"/>
      <c r="I99" s="552"/>
      <c r="J99" s="552"/>
      <c r="K99" s="552"/>
      <c r="L99" s="553"/>
      <c r="M99" s="554"/>
      <c r="N99" s="1143"/>
      <c r="O99" s="1143"/>
      <c r="P99" s="1419"/>
      <c r="Q99" s="1420"/>
      <c r="R99" s="1421"/>
      <c r="S99" s="1421"/>
      <c r="T99" s="1421"/>
      <c r="U99" s="1421"/>
      <c r="V99" s="1421"/>
      <c r="W99" s="1421"/>
      <c r="X99" s="1421"/>
      <c r="Y99" s="1421"/>
      <c r="Z99" s="1421"/>
      <c r="AA99" s="1421"/>
      <c r="AB99" s="1421"/>
      <c r="AC99" s="1421"/>
    </row>
    <row r="100" spans="1:29" s="468" customFormat="1" ht="15.75" thickBot="1">
      <c r="A100" s="550"/>
      <c r="B100" s="532"/>
      <c r="C100" s="557"/>
      <c r="D100" s="533"/>
      <c r="E100" s="533"/>
      <c r="F100" s="533"/>
      <c r="G100" s="557"/>
      <c r="H100" s="559"/>
      <c r="I100" s="559"/>
      <c r="J100" s="559"/>
      <c r="K100" s="559"/>
      <c r="L100" s="559"/>
      <c r="M100" s="560"/>
      <c r="N100" s="1143"/>
      <c r="O100" s="1143"/>
      <c r="P100" s="1419"/>
      <c r="Q100" s="1420"/>
      <c r="R100" s="1421"/>
      <c r="S100" s="1421"/>
      <c r="T100" s="1421"/>
      <c r="U100" s="1421"/>
      <c r="V100" s="1421"/>
      <c r="W100" s="1421"/>
      <c r="X100" s="1421"/>
      <c r="Y100" s="1421"/>
      <c r="Z100" s="1421"/>
      <c r="AA100" s="1421"/>
      <c r="AB100" s="1421"/>
      <c r="AC100" s="1421"/>
    </row>
    <row r="101" spans="1:29" ht="15" thickTop="1">
      <c r="A101" s="596"/>
      <c r="B101" s="535">
        <f>B36</f>
        <v>111</v>
      </c>
      <c r="C101" s="551"/>
      <c r="D101" s="551"/>
      <c r="E101" s="551"/>
      <c r="F101" s="551"/>
      <c r="G101" s="551"/>
      <c r="H101" s="552"/>
      <c r="I101" s="552"/>
      <c r="J101" s="552"/>
      <c r="K101" s="552"/>
      <c r="L101" s="553"/>
      <c r="M101" s="554"/>
      <c r="N101" s="1141"/>
      <c r="O101" s="1141"/>
      <c r="P101" s="1418"/>
      <c r="Q101" s="1412"/>
      <c r="R101" s="1133"/>
      <c r="S101" s="1133"/>
      <c r="T101" s="1133"/>
      <c r="U101" s="1133"/>
      <c r="V101" s="1133"/>
      <c r="W101" s="1133"/>
      <c r="X101" s="1133"/>
      <c r="Y101" s="1133"/>
      <c r="Z101" s="1133"/>
      <c r="AA101" s="1133"/>
      <c r="AB101" s="1133"/>
      <c r="AC101" s="1133"/>
    </row>
    <row r="102" spans="1:29" ht="15.75" thickBot="1">
      <c r="A102" s="531"/>
      <c r="B102" s="540"/>
      <c r="C102" s="557"/>
      <c r="D102" s="557"/>
      <c r="E102" s="557"/>
      <c r="F102" s="557"/>
      <c r="G102" s="557"/>
      <c r="H102" s="559"/>
      <c r="I102" s="559"/>
      <c r="J102" s="559"/>
      <c r="K102" s="559"/>
      <c r="L102" s="559"/>
      <c r="M102" s="560"/>
      <c r="N102" s="1142"/>
      <c r="O102" s="1142"/>
      <c r="P102" s="1418"/>
      <c r="Q102" s="1412"/>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7" customFormat="1" ht="28.5" customHeight="1" thickBot="1">
      <c r="A1" s="1606" t="s">
        <v>2690</v>
      </c>
      <c r="B1" s="1607"/>
      <c r="C1" s="1608" t="s">
        <v>2513</v>
      </c>
      <c r="D1" s="1609"/>
      <c r="E1" s="1618"/>
      <c r="F1" s="2565"/>
      <c r="G1" s="1619" t="s">
        <v>2626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6" customFormat="1" ht="28.5" customHeight="1" thickTop="1">
      <c r="A2" s="1605" t="s">
        <v>2313</v>
      </c>
      <c r="B2" s="1407" t="e">
        <f ca="1">IF(C2="——",ROUND(C37*D3/10000,0),ROUND(C37*D3/10000,0)-D2)</f>
        <v>#DIV/0!</v>
      </c>
      <c r="C2" s="2567"/>
      <c r="D2" s="1113" t="e">
        <f ca="1">SUMIF(INDIRECT("'"&amp;F2&amp;"'"&amp;"!A:A"),"承租人权益价值",INDIRECT("'"&amp;F2&amp;"'"&amp;"!c:c"))</f>
        <v>#REF!</v>
      </c>
      <c r="E2" s="2568" t="s">
        <v>2314</v>
      </c>
      <c r="F2" s="2569"/>
      <c r="G2" s="1114"/>
      <c r="H2" s="1114"/>
      <c r="I2" s="1114"/>
      <c r="J2" s="1114"/>
      <c r="K2" s="1116"/>
      <c r="L2" s="1117"/>
      <c r="M2" s="1118"/>
      <c r="N2" s="1118"/>
      <c r="O2" s="1118"/>
      <c r="P2" s="765"/>
      <c r="Q2" s="765"/>
      <c r="R2" s="765"/>
      <c r="S2" s="765"/>
      <c r="T2" s="765"/>
      <c r="U2" s="765"/>
      <c r="V2" s="765"/>
      <c r="W2" s="765"/>
      <c r="X2" s="765"/>
      <c r="Y2" s="765"/>
      <c r="Z2" s="765"/>
      <c r="AA2" s="765"/>
      <c r="AB2" s="765"/>
      <c r="AC2" s="766"/>
    </row>
    <row r="3" spans="1:29" s="396" customFormat="1" ht="28.5" customHeight="1" thickBot="1">
      <c r="A3" s="245" t="s">
        <v>2315</v>
      </c>
      <c r="B3" s="606" t="e">
        <f ca="1">IF(C2="——",C37,ROUND(B2*10000/D3,0))</f>
        <v>#DIV/0!</v>
      </c>
      <c r="C3" s="398" t="s">
        <v>2627</v>
      </c>
      <c r="D3" s="397">
        <f>SUMIF('数据-汇总表'!$C19:$C33,D1,'数据-汇总表'!$E19:$E33)</f>
        <v>0</v>
      </c>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29" ht="15">
      <c r="A4" s="399" t="s">
        <v>2628</v>
      </c>
      <c r="B4" s="400"/>
      <c r="C4" s="3244" t="s">
        <v>2629</v>
      </c>
      <c r="D4" s="3257"/>
      <c r="E4" s="3258" t="s">
        <v>2630</v>
      </c>
      <c r="F4" s="3259"/>
      <c r="G4" s="3244" t="s">
        <v>2631</v>
      </c>
      <c r="H4" s="3257"/>
      <c r="I4" s="3244" t="s">
        <v>2632</v>
      </c>
      <c r="J4" s="3257"/>
      <c r="K4" s="607" t="s">
        <v>2633</v>
      </c>
      <c r="L4" s="1119"/>
      <c r="M4" s="1120"/>
      <c r="N4" s="1120"/>
      <c r="O4" s="1120"/>
      <c r="P4" s="3260" t="s">
        <v>2634</v>
      </c>
      <c r="Q4" s="3261"/>
      <c r="R4" s="3266" t="s">
        <v>2630</v>
      </c>
      <c r="S4" s="3267"/>
      <c r="T4" s="3266" t="s">
        <v>2631</v>
      </c>
      <c r="U4" s="3267"/>
      <c r="V4" s="3253" t="s">
        <v>2632</v>
      </c>
      <c r="W4" s="3253"/>
      <c r="X4" s="1800"/>
      <c r="Y4" s="3266" t="s">
        <v>2634</v>
      </c>
      <c r="Z4" s="3267"/>
      <c r="AA4" s="3254" t="s">
        <v>2630</v>
      </c>
      <c r="AB4" s="3255" t="s">
        <v>2631</v>
      </c>
      <c r="AC4" s="3254" t="s">
        <v>2632</v>
      </c>
    </row>
    <row r="5" spans="1:29" ht="15">
      <c r="A5" s="402"/>
      <c r="B5" s="403"/>
      <c r="C5" s="3274" t="s">
        <v>2525</v>
      </c>
      <c r="D5" s="3275"/>
      <c r="E5" s="3281" t="s">
        <v>2526</v>
      </c>
      <c r="F5" s="3282"/>
      <c r="G5" s="3274" t="s">
        <v>2527</v>
      </c>
      <c r="H5" s="3275"/>
      <c r="I5" s="3274" t="s">
        <v>2528</v>
      </c>
      <c r="J5" s="3275"/>
      <c r="K5" s="607"/>
      <c r="L5" s="1119"/>
      <c r="M5" s="1120"/>
      <c r="N5" s="1120"/>
      <c r="O5" s="1120"/>
      <c r="P5" s="3262"/>
      <c r="Q5" s="3263"/>
      <c r="R5" s="3268"/>
      <c r="S5" s="3269"/>
      <c r="T5" s="3268"/>
      <c r="U5" s="3269"/>
      <c r="V5" s="3253"/>
      <c r="W5" s="3253"/>
      <c r="X5" s="1800"/>
      <c r="Y5" s="3268"/>
      <c r="Z5" s="3269"/>
      <c r="AA5" s="3255"/>
      <c r="AB5" s="3255"/>
      <c r="AC5" s="3255"/>
    </row>
    <row r="6" spans="1:29" ht="15.75" thickBot="1">
      <c r="A6" s="404"/>
      <c r="B6" s="405"/>
      <c r="C6" s="3272" t="s">
        <v>2529</v>
      </c>
      <c r="D6" s="3273"/>
      <c r="E6" s="3279" t="s">
        <v>2529</v>
      </c>
      <c r="F6" s="3280"/>
      <c r="G6" s="3272" t="s">
        <v>2529</v>
      </c>
      <c r="H6" s="3273"/>
      <c r="I6" s="3272" t="s">
        <v>2529</v>
      </c>
      <c r="J6" s="3273"/>
      <c r="K6" s="607" t="s">
        <v>2530</v>
      </c>
      <c r="L6" s="1119"/>
      <c r="M6" s="1120"/>
      <c r="N6" s="1120"/>
      <c r="O6" s="1120"/>
      <c r="P6" s="3264"/>
      <c r="Q6" s="3265"/>
      <c r="R6" s="3268"/>
      <c r="S6" s="3269"/>
      <c r="T6" s="3270"/>
      <c r="U6" s="3271"/>
      <c r="V6" s="3253"/>
      <c r="W6" s="3253"/>
      <c r="X6" s="1800"/>
      <c r="Y6" s="3270"/>
      <c r="Z6" s="3271"/>
      <c r="AA6" s="3256"/>
      <c r="AB6" s="3256"/>
      <c r="AC6" s="3256"/>
    </row>
    <row r="7" spans="1:29" s="115" customFormat="1" ht="15.75" thickBot="1">
      <c r="A7" s="406" t="s">
        <v>2531</v>
      </c>
      <c r="B7" s="407"/>
      <c r="C7" s="408">
        <f>'数据-取费表'!B2</f>
        <v>43970</v>
      </c>
      <c r="D7" s="409">
        <v>100</v>
      </c>
      <c r="E7" s="410"/>
      <c r="F7" s="411">
        <f>SUMIF(46:46,YEAR(E7)&amp;"-"&amp;MONTH(E7),47:47)</f>
        <v>0</v>
      </c>
      <c r="G7" s="2674"/>
      <c r="H7" s="409">
        <f>SUMIF(46:46,YEAR(G7)&amp;"-"&amp;MONTH(G7),47:47)</f>
        <v>0</v>
      </c>
      <c r="I7" s="410"/>
      <c r="J7" s="409">
        <f>SUMIF(46:46,YEAR(I7)&amp;"-"&amp;MONTH(I7),47:47)</f>
        <v>0</v>
      </c>
      <c r="K7" s="608"/>
      <c r="L7" s="1121"/>
      <c r="M7" s="1122"/>
      <c r="N7" s="1122"/>
      <c r="O7" s="1122"/>
      <c r="P7" s="3276" t="s">
        <v>2532</v>
      </c>
      <c r="Q7" s="3278"/>
      <c r="R7" s="767" t="s">
        <v>17</v>
      </c>
      <c r="S7" s="768">
        <f t="shared" ref="S7:S14" si="0">F7</f>
        <v>0</v>
      </c>
      <c r="T7" s="767" t="s">
        <v>17</v>
      </c>
      <c r="U7" s="768">
        <f t="shared" ref="U7:U14" si="1">H7</f>
        <v>0</v>
      </c>
      <c r="V7" s="767" t="s">
        <v>17</v>
      </c>
      <c r="W7" s="768">
        <f t="shared" ref="W7:W14" si="2">J7</f>
        <v>0</v>
      </c>
      <c r="X7" s="769"/>
      <c r="Y7" s="3276" t="s">
        <v>2532</v>
      </c>
      <c r="Z7" s="3277"/>
      <c r="AA7" s="770" t="e">
        <f>D7/F7</f>
        <v>#DIV/0!</v>
      </c>
      <c r="AB7" s="770" t="e">
        <f>D7/H7</f>
        <v>#DIV/0!</v>
      </c>
      <c r="AC7" s="770" t="e">
        <f>D7/J7</f>
        <v>#DIV/0!</v>
      </c>
    </row>
    <row r="8" spans="1:29" s="115" customFormat="1" ht="15.75" thickBot="1">
      <c r="A8" s="406" t="s">
        <v>2533</v>
      </c>
      <c r="B8" s="407"/>
      <c r="C8" s="412" t="s">
        <v>2635</v>
      </c>
      <c r="D8" s="409">
        <v>100</v>
      </c>
      <c r="E8" s="412"/>
      <c r="F8" s="411">
        <f>SUMIF(49:49,E8,50:50)-SUMIF(49:49,C8,50:50)+100</f>
        <v>0</v>
      </c>
      <c r="G8" s="412"/>
      <c r="H8" s="409">
        <f>SUMIF(49:49,G8,50:50)-SUMIF(49:49,C8,50:50)+100</f>
        <v>0</v>
      </c>
      <c r="I8" s="412"/>
      <c r="J8" s="409">
        <f>SUMIF(49:49,I8,50:50)-SUMIF(49:49,C8,50:50)+100</f>
        <v>0</v>
      </c>
      <c r="K8" s="608"/>
      <c r="L8" s="1121"/>
      <c r="M8" s="1122"/>
      <c r="N8" s="1122"/>
      <c r="O8" s="1122"/>
      <c r="P8" s="3276" t="s">
        <v>2535</v>
      </c>
      <c r="Q8" s="3277"/>
      <c r="R8" s="767" t="s">
        <v>17</v>
      </c>
      <c r="S8" s="768">
        <f t="shared" si="0"/>
        <v>0</v>
      </c>
      <c r="T8" s="767" t="s">
        <v>17</v>
      </c>
      <c r="U8" s="768">
        <f t="shared" si="1"/>
        <v>0</v>
      </c>
      <c r="V8" s="767" t="s">
        <v>17</v>
      </c>
      <c r="W8" s="768">
        <f t="shared" si="2"/>
        <v>0</v>
      </c>
      <c r="X8" s="769"/>
      <c r="Y8" s="3276" t="s">
        <v>2535</v>
      </c>
      <c r="Z8" s="3277"/>
      <c r="AA8" s="770" t="e">
        <f t="shared" ref="AA8:AA34" si="3">D8/F8</f>
        <v>#DIV/0!</v>
      </c>
      <c r="AB8" s="770" t="e">
        <f t="shared" ref="AB8:AB34" si="4">D8/H8</f>
        <v>#DIV/0!</v>
      </c>
      <c r="AC8" s="770" t="e">
        <f t="shared" ref="AC8:AC34" si="5">D8/J8</f>
        <v>#DIV/0!</v>
      </c>
    </row>
    <row r="9" spans="1:29" s="115" customFormat="1">
      <c r="A9" s="413" t="s">
        <v>2536</v>
      </c>
      <c r="B9" s="70" t="s">
        <v>2537</v>
      </c>
      <c r="C9" s="414"/>
      <c r="D9" s="133">
        <v>100</v>
      </c>
      <c r="E9" s="417"/>
      <c r="F9" s="416">
        <f>SUMIF(51:51,E9,52:52)-SUMIF(51:51,C9,52:52)+100</f>
        <v>100</v>
      </c>
      <c r="G9" s="417"/>
      <c r="H9" s="133">
        <f>SUMIF(51:51,G9,52:52)-SUMIF(51:51,C9,52:52)+100</f>
        <v>100</v>
      </c>
      <c r="I9" s="417"/>
      <c r="J9" s="133">
        <f>SUMIF(51:51,I9,52:52)-SUMIF(51:51,C9,52:52)+100</f>
        <v>100</v>
      </c>
      <c r="K9" s="608"/>
      <c r="L9" s="1121"/>
      <c r="M9" s="1122"/>
      <c r="N9" s="1122"/>
      <c r="O9" s="1123"/>
      <c r="P9" s="3247" t="s">
        <v>2538</v>
      </c>
      <c r="Q9" s="1782" t="str">
        <f t="shared" ref="Q9:Q14" si="6">B9</f>
        <v>用途</v>
      </c>
      <c r="R9" s="767" t="s">
        <v>17</v>
      </c>
      <c r="S9" s="768">
        <f t="shared" si="0"/>
        <v>100</v>
      </c>
      <c r="T9" s="767" t="s">
        <v>17</v>
      </c>
      <c r="U9" s="768">
        <f t="shared" si="1"/>
        <v>100</v>
      </c>
      <c r="V9" s="767" t="s">
        <v>17</v>
      </c>
      <c r="W9" s="768">
        <f t="shared" si="2"/>
        <v>100</v>
      </c>
      <c r="X9" s="769"/>
      <c r="Y9" s="3098" t="s">
        <v>2539</v>
      </c>
      <c r="Z9" s="54" t="str">
        <f t="shared" ref="Z9:Z14" si="7">Q9</f>
        <v>用途</v>
      </c>
      <c r="AA9" s="770">
        <f t="shared" si="3"/>
        <v>1</v>
      </c>
      <c r="AB9" s="770">
        <f t="shared" si="4"/>
        <v>1</v>
      </c>
      <c r="AC9" s="770">
        <f t="shared" si="5"/>
        <v>1</v>
      </c>
    </row>
    <row r="10" spans="1:29" s="424" customFormat="1" ht="27">
      <c r="A10" s="418"/>
      <c r="B10" s="419" t="s">
        <v>2540</v>
      </c>
      <c r="C10" s="420"/>
      <c r="D10" s="134">
        <v>100</v>
      </c>
      <c r="E10" s="420"/>
      <c r="F10" s="422">
        <f>SUMIF(53:53,E10,54:54)-SUMIF(53:53,C10,54:54)+100</f>
        <v>100</v>
      </c>
      <c r="G10" s="420"/>
      <c r="H10" s="134">
        <f>SUMIF(53:53,G10,54:54)-SUMIF(53:53,C10,54:54)+100</f>
        <v>100</v>
      </c>
      <c r="I10" s="420"/>
      <c r="J10" s="134">
        <f>SUMIF(53:53,I10,54:54)-SUMIF(53:53,C10,54:54)+100</f>
        <v>100</v>
      </c>
      <c r="K10" s="609"/>
      <c r="L10" s="1124"/>
      <c r="M10" s="1125"/>
      <c r="N10" s="1125"/>
      <c r="O10" s="1126"/>
      <c r="P10" s="3247"/>
      <c r="Q10" s="1782" t="str">
        <f t="shared" si="6"/>
        <v>土地使用年限（年）</v>
      </c>
      <c r="R10" s="767" t="s">
        <v>17</v>
      </c>
      <c r="S10" s="768">
        <f t="shared" si="0"/>
        <v>100</v>
      </c>
      <c r="T10" s="767" t="s">
        <v>17</v>
      </c>
      <c r="U10" s="768">
        <f t="shared" si="1"/>
        <v>100</v>
      </c>
      <c r="V10" s="767" t="s">
        <v>17</v>
      </c>
      <c r="W10" s="768">
        <f t="shared" si="2"/>
        <v>100</v>
      </c>
      <c r="X10" s="769"/>
      <c r="Y10" s="3098"/>
      <c r="Z10" s="54" t="str">
        <f t="shared" si="7"/>
        <v>土地使用年限（年）</v>
      </c>
      <c r="AA10" s="770">
        <f t="shared" si="3"/>
        <v>1</v>
      </c>
      <c r="AB10" s="770">
        <f t="shared" si="4"/>
        <v>1</v>
      </c>
      <c r="AC10" s="770">
        <f t="shared" si="5"/>
        <v>1</v>
      </c>
    </row>
    <row r="11" spans="1:29" ht="15">
      <c r="A11" s="425"/>
      <c r="B11" s="2580">
        <v>111</v>
      </c>
      <c r="C11" s="429"/>
      <c r="D11" s="134">
        <v>100</v>
      </c>
      <c r="E11" s="466"/>
      <c r="F11" s="422">
        <f>SUMIF(55:55,E11,56:56)-SUMIF(55:55,C11,56:56)+100</f>
        <v>100</v>
      </c>
      <c r="G11" s="466"/>
      <c r="H11" s="134">
        <f>SUMIF(55:55,G11,56:56)-SUMIF(55:55,C11,56:56)+100</f>
        <v>100</v>
      </c>
      <c r="I11" s="466"/>
      <c r="J11" s="134">
        <f>SUMIF(55:55,I11,56:56)-SUMIF(55:55,C11,56:56)+100</f>
        <v>100</v>
      </c>
      <c r="K11" s="610"/>
      <c r="L11" s="1127"/>
      <c r="M11" s="1120"/>
      <c r="N11" s="1120"/>
      <c r="O11" s="1128"/>
      <c r="P11" s="3247"/>
      <c r="Q11" s="1782">
        <f t="shared" si="6"/>
        <v>111</v>
      </c>
      <c r="R11" s="767" t="s">
        <v>17</v>
      </c>
      <c r="S11" s="768">
        <f t="shared" si="0"/>
        <v>100</v>
      </c>
      <c r="T11" s="767" t="s">
        <v>17</v>
      </c>
      <c r="U11" s="768">
        <f t="shared" si="1"/>
        <v>100</v>
      </c>
      <c r="V11" s="767" t="s">
        <v>17</v>
      </c>
      <c r="W11" s="768">
        <f t="shared" si="2"/>
        <v>100</v>
      </c>
      <c r="X11" s="769"/>
      <c r="Y11" s="3098"/>
      <c r="Z11" s="54">
        <f t="shared" si="7"/>
        <v>111</v>
      </c>
      <c r="AA11" s="770">
        <f t="shared" si="3"/>
        <v>1</v>
      </c>
      <c r="AB11" s="770">
        <f t="shared" si="4"/>
        <v>1</v>
      </c>
      <c r="AC11" s="770">
        <f t="shared" si="5"/>
        <v>1</v>
      </c>
    </row>
    <row r="12" spans="1:29" s="115" customFormat="1" ht="15">
      <c r="A12" s="428"/>
      <c r="B12" s="2580">
        <v>111</v>
      </c>
      <c r="C12" s="429"/>
      <c r="D12" s="430">
        <v>100</v>
      </c>
      <c r="E12" s="466"/>
      <c r="F12" s="422">
        <f>SUMIF(57:57,E12,58:58)-SUMIF(57:57,C12,58:58)+100</f>
        <v>100</v>
      </c>
      <c r="G12" s="466"/>
      <c r="H12" s="134">
        <f>SUMIF(57:57,G12,58:58)-SUMIF(57:57,C12,58:58)+100</f>
        <v>100</v>
      </c>
      <c r="I12" s="466"/>
      <c r="J12" s="134">
        <f>SUMIF(57:57,I12,58:58)-SUMIF(57:57,C12,58:58)+100</f>
        <v>100</v>
      </c>
      <c r="K12" s="610"/>
      <c r="L12" s="1121"/>
      <c r="M12" s="1122"/>
      <c r="N12" s="1122"/>
      <c r="O12" s="1123"/>
      <c r="P12" s="3247"/>
      <c r="Q12" s="1782">
        <f t="shared" si="6"/>
        <v>111</v>
      </c>
      <c r="R12" s="767" t="s">
        <v>17</v>
      </c>
      <c r="S12" s="768">
        <f t="shared" si="0"/>
        <v>100</v>
      </c>
      <c r="T12" s="767" t="s">
        <v>17</v>
      </c>
      <c r="U12" s="768">
        <f t="shared" si="1"/>
        <v>100</v>
      </c>
      <c r="V12" s="767" t="s">
        <v>17</v>
      </c>
      <c r="W12" s="768">
        <f t="shared" si="2"/>
        <v>100</v>
      </c>
      <c r="X12" s="769"/>
      <c r="Y12" s="3098"/>
      <c r="Z12" s="54">
        <f t="shared" si="7"/>
        <v>111</v>
      </c>
      <c r="AA12" s="770">
        <f>D12/F12</f>
        <v>1</v>
      </c>
      <c r="AB12" s="770">
        <f>D12/H12</f>
        <v>1</v>
      </c>
      <c r="AC12" s="770">
        <f>D12/J12</f>
        <v>1</v>
      </c>
    </row>
    <row r="13" spans="1:29" ht="15.75" thickBot="1">
      <c r="A13" s="425"/>
      <c r="B13" s="2580">
        <v>111</v>
      </c>
      <c r="C13" s="431"/>
      <c r="D13" s="432">
        <v>100</v>
      </c>
      <c r="E13" s="466"/>
      <c r="F13" s="422">
        <f>SUMIF(59:59,E13,60:60)-SUMIF(59:59,C13,60:60)+100</f>
        <v>100</v>
      </c>
      <c r="G13" s="2675"/>
      <c r="H13" s="435">
        <f>SUMIF(59:59,G13,60:60)-SUMIF(59:59,C13,60:60)+100</f>
        <v>100</v>
      </c>
      <c r="I13" s="466"/>
      <c r="J13" s="432">
        <f>SUMIF(59:59,I13,60:60)-SUMIF(59:59,C13,60:60)+100</f>
        <v>100</v>
      </c>
      <c r="K13" s="610"/>
      <c r="L13" s="1129"/>
      <c r="M13" s="1120"/>
      <c r="N13" s="1120"/>
      <c r="O13" s="1128"/>
      <c r="P13" s="3247"/>
      <c r="Q13" s="1782">
        <f t="shared" si="6"/>
        <v>111</v>
      </c>
      <c r="R13" s="767" t="s">
        <v>17</v>
      </c>
      <c r="S13" s="768">
        <f t="shared" si="0"/>
        <v>100</v>
      </c>
      <c r="T13" s="767" t="s">
        <v>17</v>
      </c>
      <c r="U13" s="768">
        <f t="shared" si="1"/>
        <v>100</v>
      </c>
      <c r="V13" s="767" t="s">
        <v>17</v>
      </c>
      <c r="W13" s="768">
        <f t="shared" si="2"/>
        <v>100</v>
      </c>
      <c r="X13" s="769"/>
      <c r="Y13" s="3098"/>
      <c r="Z13" s="54">
        <f t="shared" si="7"/>
        <v>111</v>
      </c>
      <c r="AA13" s="770">
        <f t="shared" si="3"/>
        <v>1</v>
      </c>
      <c r="AB13" s="770">
        <f t="shared" si="4"/>
        <v>1</v>
      </c>
      <c r="AC13" s="770">
        <f t="shared" si="5"/>
        <v>1</v>
      </c>
    </row>
    <row r="14" spans="1:29" ht="15">
      <c r="A14" s="437" t="s">
        <v>2542</v>
      </c>
      <c r="B14" s="68" t="s">
        <v>2692</v>
      </c>
      <c r="C14" s="2671" t="str">
        <f>IF(B1="工业",估价对象房地状况!G4,估价对象房地状况!C6)</f>
        <v>一般</v>
      </c>
      <c r="D14" s="438">
        <v>100</v>
      </c>
      <c r="E14" s="439"/>
      <c r="F14" s="440">
        <f>SUMIF(61:61,E15,62:62)-SUMIF(61:61,C15,62:62)+100</f>
        <v>100</v>
      </c>
      <c r="G14" s="441"/>
      <c r="H14" s="438">
        <f>SUMIF(61:61,G15,62:62)-SUMIF(61:61,C15,62:62)+100</f>
        <v>100</v>
      </c>
      <c r="I14" s="439"/>
      <c r="J14" s="438">
        <f>SUMIF(61:61,I15,62:62)-SUMIF(61:61,C15,62:62)+100</f>
        <v>100</v>
      </c>
      <c r="K14" s="611"/>
      <c r="L14" s="1129"/>
      <c r="M14" s="1120"/>
      <c r="N14" s="1120"/>
      <c r="O14" s="1128"/>
      <c r="P14" s="3249" t="s">
        <v>2543</v>
      </c>
      <c r="Q14" s="1797" t="str">
        <f t="shared" si="6"/>
        <v>交通便捷度</v>
      </c>
      <c r="R14" s="771" t="s">
        <v>17</v>
      </c>
      <c r="S14" s="772">
        <f t="shared" si="0"/>
        <v>100</v>
      </c>
      <c r="T14" s="771" t="s">
        <v>17</v>
      </c>
      <c r="U14" s="772">
        <f t="shared" si="1"/>
        <v>100</v>
      </c>
      <c r="V14" s="771" t="s">
        <v>17</v>
      </c>
      <c r="W14" s="772">
        <f t="shared" si="2"/>
        <v>100</v>
      </c>
      <c r="X14" s="1800"/>
      <c r="Y14" s="3249" t="s">
        <v>2543</v>
      </c>
      <c r="Z14" s="1801" t="str">
        <f t="shared" si="7"/>
        <v>交通便捷度</v>
      </c>
      <c r="AA14" s="1798">
        <f t="shared" si="3"/>
        <v>1</v>
      </c>
      <c r="AB14" s="1798">
        <f t="shared" si="4"/>
        <v>1</v>
      </c>
      <c r="AC14" s="1798">
        <f t="shared" si="5"/>
        <v>1</v>
      </c>
    </row>
    <row r="15" spans="1:29" ht="15">
      <c r="A15" s="425"/>
      <c r="B15" s="443"/>
      <c r="C15" s="444"/>
      <c r="D15" s="445"/>
      <c r="E15" s="444"/>
      <c r="F15" s="446"/>
      <c r="G15" s="444"/>
      <c r="H15" s="447"/>
      <c r="I15" s="444"/>
      <c r="J15" s="445"/>
      <c r="K15" s="612"/>
      <c r="L15" s="1129"/>
      <c r="M15" s="1120"/>
      <c r="N15" s="1120"/>
      <c r="O15" s="1128"/>
      <c r="P15" s="3250"/>
      <c r="Q15" s="1797"/>
      <c r="R15" s="771"/>
      <c r="S15" s="772"/>
      <c r="T15" s="771"/>
      <c r="U15" s="772"/>
      <c r="V15" s="771"/>
      <c r="W15" s="772"/>
      <c r="X15" s="1800"/>
      <c r="Y15" s="3250"/>
      <c r="Z15" s="1801"/>
      <c r="AA15" s="1798">
        <v>1</v>
      </c>
      <c r="AB15" s="1798">
        <v>1</v>
      </c>
      <c r="AC15" s="1798">
        <v>1</v>
      </c>
    </row>
    <row r="16" spans="1:29" ht="15">
      <c r="A16" s="425"/>
      <c r="B16" s="448" t="s">
        <v>2671</v>
      </c>
      <c r="C16" s="2587" t="str">
        <f>IF(B1="工业",估价对象房地状况!G5,估价对象房地状况!C7)</f>
        <v>较差</v>
      </c>
      <c r="D16" s="452">
        <v>100</v>
      </c>
      <c r="E16" s="454"/>
      <c r="F16" s="455">
        <f>SUMIF(63:63,E17,64:64)-SUMIF(63:63,C17,64:64)+100</f>
        <v>100</v>
      </c>
      <c r="G16" s="456"/>
      <c r="H16" s="452">
        <f>SUMIF(63:63,G17,64:64)-SUMIF(63:63,C17,64:64)+100</f>
        <v>100</v>
      </c>
      <c r="I16" s="454"/>
      <c r="J16" s="452">
        <f>SUMIF(63:63,I17,64:64)-SUMIF(63:63,C17,64:64)+100</f>
        <v>100</v>
      </c>
      <c r="K16" s="611"/>
      <c r="L16" s="1129"/>
      <c r="M16" s="1120"/>
      <c r="N16" s="1120"/>
      <c r="O16" s="1128"/>
      <c r="P16" s="3250"/>
      <c r="Q16" s="1797" t="str">
        <f>B16</f>
        <v>公共配套设施</v>
      </c>
      <c r="R16" s="771" t="s">
        <v>17</v>
      </c>
      <c r="S16" s="772">
        <f>F16</f>
        <v>100</v>
      </c>
      <c r="T16" s="771" t="s">
        <v>17</v>
      </c>
      <c r="U16" s="772">
        <f>H16</f>
        <v>100</v>
      </c>
      <c r="V16" s="771" t="s">
        <v>17</v>
      </c>
      <c r="W16" s="772">
        <f>J16</f>
        <v>100</v>
      </c>
      <c r="X16" s="1800"/>
      <c r="Y16" s="3250"/>
      <c r="Z16" s="1801" t="str">
        <f>Q16</f>
        <v>公共配套设施</v>
      </c>
      <c r="AA16" s="1798">
        <f t="shared" si="3"/>
        <v>1</v>
      </c>
      <c r="AB16" s="1798">
        <f t="shared" si="4"/>
        <v>1</v>
      </c>
      <c r="AC16" s="1798">
        <f t="shared" si="5"/>
        <v>1</v>
      </c>
    </row>
    <row r="17" spans="1:29" ht="15">
      <c r="A17" s="425"/>
      <c r="B17" s="453"/>
      <c r="C17" s="2588"/>
      <c r="D17" s="445"/>
      <c r="E17" s="444"/>
      <c r="F17" s="446"/>
      <c r="G17" s="444"/>
      <c r="H17" s="445"/>
      <c r="I17" s="444"/>
      <c r="J17" s="445"/>
      <c r="K17" s="612"/>
      <c r="L17" s="1129"/>
      <c r="M17" s="1120"/>
      <c r="N17" s="1120"/>
      <c r="O17" s="1128"/>
      <c r="P17" s="3250"/>
      <c r="Q17" s="1797"/>
      <c r="R17" s="771"/>
      <c r="S17" s="772"/>
      <c r="T17" s="771"/>
      <c r="U17" s="772"/>
      <c r="V17" s="771"/>
      <c r="W17" s="772"/>
      <c r="X17" s="1800"/>
      <c r="Y17" s="3250"/>
      <c r="Z17" s="1801"/>
      <c r="AA17" s="1798">
        <v>1</v>
      </c>
      <c r="AB17" s="1798">
        <v>1</v>
      </c>
      <c r="AC17" s="1798">
        <v>1</v>
      </c>
    </row>
    <row r="18" spans="1:29" ht="15">
      <c r="A18" s="425"/>
      <c r="B18" s="1373" t="s">
        <v>2672</v>
      </c>
      <c r="C18" s="2587" t="str">
        <f>IF(B1="工业",估价对象房地状况!G6,估价对象房地状况!C8)</f>
        <v>六通</v>
      </c>
      <c r="D18" s="452">
        <v>100</v>
      </c>
      <c r="E18" s="449"/>
      <c r="F18" s="455">
        <f>SUMIF(65:65,E19,66:66)-SUMIF(65:65,C19,66:66)+100</f>
        <v>100</v>
      </c>
      <c r="G18" s="451"/>
      <c r="H18" s="452">
        <f>SUMIF(65:65,G19,66:66)-SUMIF(65:65,C19,66:66)+100</f>
        <v>100</v>
      </c>
      <c r="I18" s="454"/>
      <c r="J18" s="452">
        <f>SUMIF(65:65,I19,66:66)-SUMIF(65:65,C19,66:66)+100</f>
        <v>100</v>
      </c>
      <c r="K18" s="611"/>
      <c r="L18" s="1129"/>
      <c r="M18" s="1120"/>
      <c r="N18" s="1120"/>
      <c r="O18" s="1128"/>
      <c r="P18" s="3250"/>
      <c r="Q18" s="1797" t="str">
        <f>B18</f>
        <v>基础设施水平</v>
      </c>
      <c r="R18" s="771" t="s">
        <v>17</v>
      </c>
      <c r="S18" s="772">
        <f>F18</f>
        <v>100</v>
      </c>
      <c r="T18" s="771" t="s">
        <v>17</v>
      </c>
      <c r="U18" s="772">
        <f>H18</f>
        <v>100</v>
      </c>
      <c r="V18" s="771" t="s">
        <v>17</v>
      </c>
      <c r="W18" s="772">
        <f>J18</f>
        <v>100</v>
      </c>
      <c r="X18" s="1800"/>
      <c r="Y18" s="3250"/>
      <c r="Z18" s="1801" t="str">
        <f>Q18</f>
        <v>基础设施水平</v>
      </c>
      <c r="AA18" s="1798">
        <f t="shared" ref="AA18" si="8">D18/F18</f>
        <v>1</v>
      </c>
      <c r="AB18" s="1798">
        <f t="shared" ref="AB18" si="9">D18/H18</f>
        <v>1</v>
      </c>
      <c r="AC18" s="1798">
        <f t="shared" ref="AC18" si="10">D18/J18</f>
        <v>1</v>
      </c>
    </row>
    <row r="19" spans="1:29" ht="15">
      <c r="A19" s="425"/>
      <c r="B19" s="1373"/>
      <c r="C19" s="2588"/>
      <c r="D19" s="447"/>
      <c r="E19" s="2588"/>
      <c r="F19" s="450"/>
      <c r="G19" s="2588"/>
      <c r="H19" s="445"/>
      <c r="I19" s="444"/>
      <c r="J19" s="445"/>
      <c r="K19" s="1372"/>
      <c r="L19" s="1129"/>
      <c r="M19" s="1120"/>
      <c r="N19" s="1120"/>
      <c r="O19" s="1128"/>
      <c r="P19" s="3250"/>
      <c r="Q19" s="1797"/>
      <c r="R19" s="771"/>
      <c r="S19" s="772"/>
      <c r="T19" s="771"/>
      <c r="U19" s="772"/>
      <c r="V19" s="771"/>
      <c r="W19" s="772"/>
      <c r="X19" s="1800"/>
      <c r="Y19" s="3250"/>
      <c r="Z19" s="1801"/>
      <c r="AA19" s="1798">
        <v>1</v>
      </c>
      <c r="AB19" s="1798">
        <v>1</v>
      </c>
      <c r="AC19" s="1798">
        <v>1</v>
      </c>
    </row>
    <row r="20" spans="1:29" ht="15">
      <c r="A20" s="425"/>
      <c r="B20" s="448" t="s">
        <v>2693</v>
      </c>
      <c r="C20" s="2587"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29"/>
      <c r="M20" s="1120"/>
      <c r="N20" s="1120"/>
      <c r="O20" s="1128"/>
      <c r="P20" s="3250"/>
      <c r="Q20" s="1797" t="str">
        <f>B20</f>
        <v>自然及人文环境</v>
      </c>
      <c r="R20" s="771" t="s">
        <v>17</v>
      </c>
      <c r="S20" s="772">
        <f>F20</f>
        <v>100</v>
      </c>
      <c r="T20" s="771" t="s">
        <v>17</v>
      </c>
      <c r="U20" s="772">
        <f>H20</f>
        <v>100</v>
      </c>
      <c r="V20" s="771" t="s">
        <v>17</v>
      </c>
      <c r="W20" s="772">
        <f>J20</f>
        <v>100</v>
      </c>
      <c r="X20" s="1800"/>
      <c r="Y20" s="3250"/>
      <c r="Z20" s="1801" t="str">
        <f>Q20</f>
        <v>自然及人文环境</v>
      </c>
      <c r="AA20" s="1798">
        <f t="shared" si="3"/>
        <v>1</v>
      </c>
      <c r="AB20" s="1798">
        <f t="shared" si="4"/>
        <v>1</v>
      </c>
      <c r="AC20" s="1798">
        <f t="shared" si="5"/>
        <v>1</v>
      </c>
    </row>
    <row r="21" spans="1:29" ht="15">
      <c r="A21" s="425"/>
      <c r="B21" s="453"/>
      <c r="C21" s="444"/>
      <c r="D21" s="445"/>
      <c r="E21" s="444"/>
      <c r="F21" s="446"/>
      <c r="G21" s="444"/>
      <c r="H21" s="445"/>
      <c r="I21" s="444"/>
      <c r="J21" s="445"/>
      <c r="K21" s="612"/>
      <c r="L21" s="1129"/>
      <c r="M21" s="1120"/>
      <c r="N21" s="1120"/>
      <c r="O21" s="1128"/>
      <c r="P21" s="3250"/>
      <c r="Q21" s="1797"/>
      <c r="R21" s="771"/>
      <c r="S21" s="772"/>
      <c r="T21" s="771"/>
      <c r="U21" s="772"/>
      <c r="V21" s="771"/>
      <c r="W21" s="772"/>
      <c r="X21" s="1800"/>
      <c r="Y21" s="3250"/>
      <c r="Z21" s="1801"/>
      <c r="AA21" s="1798">
        <v>1</v>
      </c>
      <c r="AB21" s="1798">
        <v>1</v>
      </c>
      <c r="AC21" s="1798">
        <v>1</v>
      </c>
    </row>
    <row r="22" spans="1:29" ht="15">
      <c r="A22" s="425"/>
      <c r="B22" s="448" t="s">
        <v>2694</v>
      </c>
      <c r="C22" s="613"/>
      <c r="D22" s="447">
        <v>100</v>
      </c>
      <c r="E22" s="613"/>
      <c r="F22" s="458">
        <f>SUMIF(69:69,E22,70:70)-SUMIF(69:69,C22,70:70)+100</f>
        <v>100</v>
      </c>
      <c r="G22" s="613"/>
      <c r="H22" s="432">
        <f>SUMIF(69:69,G22,70:70)-SUMIF(69:69,C22,70:70)+100</f>
        <v>100</v>
      </c>
      <c r="I22" s="613"/>
      <c r="J22" s="432">
        <f>SUMIF(69:69,I22,70:70)-SUMIF(69:69,C22,70:70)+100</f>
        <v>100</v>
      </c>
      <c r="K22" s="609"/>
      <c r="L22" s="1129"/>
      <c r="M22" s="1120"/>
      <c r="N22" s="1120"/>
      <c r="O22" s="1128"/>
      <c r="P22" s="3250"/>
      <c r="Q22" s="1797" t="str">
        <f>B22</f>
        <v>楼层</v>
      </c>
      <c r="R22" s="771" t="s">
        <v>17</v>
      </c>
      <c r="S22" s="772">
        <f>F22</f>
        <v>100</v>
      </c>
      <c r="T22" s="771" t="s">
        <v>17</v>
      </c>
      <c r="U22" s="772">
        <f>H22</f>
        <v>100</v>
      </c>
      <c r="V22" s="771" t="s">
        <v>17</v>
      </c>
      <c r="W22" s="772">
        <f>J22</f>
        <v>100</v>
      </c>
      <c r="X22" s="1800"/>
      <c r="Y22" s="3250"/>
      <c r="Z22" s="1801" t="str">
        <f>Q22</f>
        <v>楼层</v>
      </c>
      <c r="AA22" s="1798">
        <f t="shared" si="3"/>
        <v>1</v>
      </c>
      <c r="AB22" s="1798">
        <f t="shared" si="4"/>
        <v>1</v>
      </c>
      <c r="AC22" s="1798">
        <f t="shared" si="5"/>
        <v>1</v>
      </c>
    </row>
    <row r="23" spans="1:29" ht="15">
      <c r="A23" s="402"/>
      <c r="B23" s="2580">
        <v>111</v>
      </c>
      <c r="C23" s="429"/>
      <c r="D23" s="432">
        <v>100</v>
      </c>
      <c r="E23" s="431"/>
      <c r="F23" s="458">
        <f>SUMIF(71:71,E23,72:72)-SUMIF(71:71,C23,72:72)+100</f>
        <v>100</v>
      </c>
      <c r="G23" s="431"/>
      <c r="H23" s="432">
        <f>SUMIF(71:71,G23,72:72)-SUMIF(71:71,C23,72:72)+100</f>
        <v>100</v>
      </c>
      <c r="I23" s="431"/>
      <c r="J23" s="432">
        <f>SUMIF(71:71,I23,72:72)-SUMIF(71:71,C23,72:72)+100</f>
        <v>100</v>
      </c>
      <c r="K23" s="610"/>
      <c r="L23" s="1129"/>
      <c r="M23" s="1120"/>
      <c r="N23" s="1120"/>
      <c r="O23" s="1128"/>
      <c r="P23" s="3250"/>
      <c r="Q23" s="1797">
        <f>B23</f>
        <v>111</v>
      </c>
      <c r="R23" s="771" t="s">
        <v>17</v>
      </c>
      <c r="S23" s="772">
        <f>F23</f>
        <v>100</v>
      </c>
      <c r="T23" s="771" t="s">
        <v>17</v>
      </c>
      <c r="U23" s="772">
        <f>H23</f>
        <v>100</v>
      </c>
      <c r="V23" s="771" t="s">
        <v>17</v>
      </c>
      <c r="W23" s="772">
        <f>J23</f>
        <v>100</v>
      </c>
      <c r="X23" s="1800"/>
      <c r="Y23" s="3250"/>
      <c r="Z23" s="1801">
        <f>Q23</f>
        <v>111</v>
      </c>
      <c r="AA23" s="1798">
        <f t="shared" si="3"/>
        <v>1</v>
      </c>
      <c r="AB23" s="1798">
        <f t="shared" si="4"/>
        <v>1</v>
      </c>
      <c r="AC23" s="1798">
        <f t="shared" si="5"/>
        <v>1</v>
      </c>
    </row>
    <row r="24" spans="1:29" ht="15">
      <c r="A24" s="425"/>
      <c r="B24" s="2580">
        <v>111</v>
      </c>
      <c r="C24" s="429"/>
      <c r="D24" s="432">
        <v>100</v>
      </c>
      <c r="E24" s="431"/>
      <c r="F24" s="458">
        <f>SUMIF(73:73,E24,74:74)-SUMIF(73:73,C24,74:74)+100</f>
        <v>100</v>
      </c>
      <c r="G24" s="431"/>
      <c r="H24" s="432">
        <f>SUMIF(73:73,G24,74:74)-SUMIF(73:73,C24,74:74)+100</f>
        <v>100</v>
      </c>
      <c r="I24" s="431"/>
      <c r="J24" s="432">
        <f>SUMIF(73:73,I24,74:74)-SUMIF(73:73,C24,74:74)+100</f>
        <v>100</v>
      </c>
      <c r="K24" s="610"/>
      <c r="L24" s="1129"/>
      <c r="M24" s="1120"/>
      <c r="N24" s="1120"/>
      <c r="O24" s="1128"/>
      <c r="P24" s="3250"/>
      <c r="Q24" s="1797">
        <f t="shared" ref="Q24:Q34" si="11">B24</f>
        <v>111</v>
      </c>
      <c r="R24" s="771" t="s">
        <v>17</v>
      </c>
      <c r="S24" s="772">
        <f>F24</f>
        <v>100</v>
      </c>
      <c r="T24" s="771" t="s">
        <v>17</v>
      </c>
      <c r="U24" s="772">
        <f>H24</f>
        <v>100</v>
      </c>
      <c r="V24" s="771" t="s">
        <v>17</v>
      </c>
      <c r="W24" s="772">
        <f>J24</f>
        <v>100</v>
      </c>
      <c r="X24" s="1800"/>
      <c r="Y24" s="3250"/>
      <c r="Z24" s="1801">
        <f>Q24</f>
        <v>111</v>
      </c>
      <c r="AA24" s="1798">
        <f t="shared" si="3"/>
        <v>1</v>
      </c>
      <c r="AB24" s="1798">
        <f t="shared" si="4"/>
        <v>1</v>
      </c>
      <c r="AC24" s="1798">
        <f t="shared" si="5"/>
        <v>1</v>
      </c>
    </row>
    <row r="25" spans="1:29" s="115" customFormat="1" ht="15.75" thickBot="1">
      <c r="A25" s="428"/>
      <c r="B25" s="2580">
        <v>111</v>
      </c>
      <c r="C25" s="2676"/>
      <c r="D25" s="662">
        <v>100</v>
      </c>
      <c r="E25" s="2676"/>
      <c r="F25" s="663">
        <f>SUMIF(75:75,E25,76:76)-SUMIF(75:75,C25,76:76)+100</f>
        <v>100</v>
      </c>
      <c r="G25" s="2676"/>
      <c r="H25" s="662">
        <f>SUMIF(75:75,G25,76:76)-SUMIF(75:75,C25,76:76)+100</f>
        <v>100</v>
      </c>
      <c r="I25" s="2676"/>
      <c r="J25" s="662">
        <f>SUMIF(75:75,I25,76:76)-SUMIF(75:75,C25,76:76)+100</f>
        <v>100</v>
      </c>
      <c r="K25" s="610"/>
      <c r="L25" s="1121"/>
      <c r="M25" s="1122"/>
      <c r="N25" s="1122"/>
      <c r="O25" s="1123"/>
      <c r="P25" s="3250"/>
      <c r="Q25" s="1782">
        <f t="shared" si="11"/>
        <v>111</v>
      </c>
      <c r="R25" s="767" t="s">
        <v>17</v>
      </c>
      <c r="S25" s="768">
        <f>F25</f>
        <v>100</v>
      </c>
      <c r="T25" s="767" t="s">
        <v>17</v>
      </c>
      <c r="U25" s="768">
        <f>H25</f>
        <v>100</v>
      </c>
      <c r="V25" s="767" t="s">
        <v>17</v>
      </c>
      <c r="W25" s="768">
        <f>J25</f>
        <v>100</v>
      </c>
      <c r="X25" s="769"/>
      <c r="Y25" s="3250"/>
      <c r="Z25" s="54">
        <f>Q25</f>
        <v>111</v>
      </c>
      <c r="AA25" s="1798">
        <f>D25/F25</f>
        <v>1</v>
      </c>
      <c r="AB25" s="1798">
        <f>D25/H25</f>
        <v>1</v>
      </c>
      <c r="AC25" s="1798">
        <f>D25/J25</f>
        <v>1</v>
      </c>
    </row>
    <row r="26" spans="1:29" ht="28.5">
      <c r="A26" s="463" t="s">
        <v>2546</v>
      </c>
      <c r="B26" s="70" t="s">
        <v>2697</v>
      </c>
      <c r="C26" s="2657"/>
      <c r="D26" s="464">
        <v>100</v>
      </c>
      <c r="E26" s="2657"/>
      <c r="F26" s="664">
        <f>SUMIF(77:77,E26,78:78)-SUMIF(77:77,C26,78:78)+100</f>
        <v>100</v>
      </c>
      <c r="G26" s="2657"/>
      <c r="H26" s="464">
        <f>SUMIF(77:77,G26,78:78)-SUMIF(77:77,C26,78:78)+100</f>
        <v>100</v>
      </c>
      <c r="I26" s="2657"/>
      <c r="J26" s="464">
        <f>SUMIF(77:77,I26,78:78)-SUMIF(77:77,C26,78:78)+100</f>
        <v>100</v>
      </c>
      <c r="K26" s="609"/>
      <c r="L26" s="1129"/>
      <c r="M26" s="1120"/>
      <c r="N26" s="1120"/>
      <c r="O26" s="1128"/>
      <c r="P26" s="3251" t="s">
        <v>2548</v>
      </c>
      <c r="Q26" s="1797" t="str">
        <f t="shared" si="11"/>
        <v>公共部分装修</v>
      </c>
      <c r="R26" s="771" t="s">
        <v>17</v>
      </c>
      <c r="S26" s="772">
        <f t="shared" ref="S26:S34" si="12">F26</f>
        <v>100</v>
      </c>
      <c r="T26" s="771" t="s">
        <v>17</v>
      </c>
      <c r="U26" s="772">
        <f t="shared" ref="U26:U34" si="13">H26</f>
        <v>100</v>
      </c>
      <c r="V26" s="771" t="s">
        <v>17</v>
      </c>
      <c r="W26" s="772">
        <f t="shared" ref="W26:W34" si="14">J26</f>
        <v>100</v>
      </c>
      <c r="X26" s="1800"/>
      <c r="Y26" s="3252" t="s">
        <v>2548</v>
      </c>
      <c r="Z26" s="1801" t="str">
        <f t="shared" ref="Z26:Z34" si="15">Q26</f>
        <v>公共部分装修</v>
      </c>
      <c r="AA26" s="1798">
        <f t="shared" si="3"/>
        <v>1</v>
      </c>
      <c r="AB26" s="1798">
        <f t="shared" si="4"/>
        <v>1</v>
      </c>
      <c r="AC26" s="1798">
        <f t="shared" si="5"/>
        <v>1</v>
      </c>
    </row>
    <row r="27" spans="1:29" s="468" customFormat="1" ht="15">
      <c r="A27" s="465"/>
      <c r="B27" s="419" t="s">
        <v>2698</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27"/>
      <c r="M27" s="1130"/>
      <c r="N27" s="1130"/>
      <c r="O27" s="1131"/>
      <c r="P27" s="3252"/>
      <c r="Q27" s="773" t="str">
        <f t="shared" si="11"/>
        <v>成新率</v>
      </c>
      <c r="R27" s="774" t="s">
        <v>17</v>
      </c>
      <c r="S27" s="775" t="e">
        <f t="shared" si="12"/>
        <v>#N/A</v>
      </c>
      <c r="T27" s="774" t="s">
        <v>17</v>
      </c>
      <c r="U27" s="775" t="e">
        <f t="shared" si="13"/>
        <v>#N/A</v>
      </c>
      <c r="V27" s="774" t="s">
        <v>17</v>
      </c>
      <c r="W27" s="775" t="e">
        <f t="shared" si="14"/>
        <v>#N/A</v>
      </c>
      <c r="X27" s="776"/>
      <c r="Y27" s="3252"/>
      <c r="Z27" s="777" t="str">
        <f t="shared" si="15"/>
        <v>成新率</v>
      </c>
      <c r="AA27" s="1798" t="e">
        <f t="shared" si="3"/>
        <v>#N/A</v>
      </c>
      <c r="AB27" s="1798" t="e">
        <f t="shared" si="4"/>
        <v>#N/A</v>
      </c>
      <c r="AC27" s="1798" t="e">
        <f t="shared" si="5"/>
        <v>#N/A</v>
      </c>
    </row>
    <row r="28" spans="1:29" ht="15">
      <c r="A28" s="469"/>
      <c r="B28" s="419" t="s">
        <v>2699</v>
      </c>
      <c r="C28" s="457"/>
      <c r="D28" s="432">
        <v>100</v>
      </c>
      <c r="E28" s="457"/>
      <c r="F28" s="458">
        <f>SUMIF(82:82,E28,83:83)-SUMIF(82:82,C28,83:83)+100</f>
        <v>100</v>
      </c>
      <c r="G28" s="457"/>
      <c r="H28" s="432">
        <f>SUMIF(82:82,G28,83:83)-SUMIF(82:82,C28,83:83)+100</f>
        <v>100</v>
      </c>
      <c r="I28" s="457"/>
      <c r="J28" s="432">
        <f>SUMIF(82:82,I28,83:83)-SUMIF(82:82,C28,83:83)+100</f>
        <v>100</v>
      </c>
      <c r="K28" s="609"/>
      <c r="L28" s="1129"/>
      <c r="M28" s="1120"/>
      <c r="N28" s="1120"/>
      <c r="O28" s="1128"/>
      <c r="P28" s="3252"/>
      <c r="Q28" s="1797" t="str">
        <f t="shared" si="11"/>
        <v>物业等级</v>
      </c>
      <c r="R28" s="771" t="s">
        <v>17</v>
      </c>
      <c r="S28" s="772">
        <f t="shared" si="12"/>
        <v>100</v>
      </c>
      <c r="T28" s="771" t="s">
        <v>17</v>
      </c>
      <c r="U28" s="772">
        <f t="shared" si="13"/>
        <v>100</v>
      </c>
      <c r="V28" s="771" t="s">
        <v>17</v>
      </c>
      <c r="W28" s="772">
        <f t="shared" si="14"/>
        <v>100</v>
      </c>
      <c r="X28" s="1800"/>
      <c r="Y28" s="3252"/>
      <c r="Z28" s="1801" t="str">
        <f t="shared" si="15"/>
        <v>物业等级</v>
      </c>
      <c r="AA28" s="1798">
        <f t="shared" si="3"/>
        <v>1</v>
      </c>
      <c r="AB28" s="1798">
        <f t="shared" si="4"/>
        <v>1</v>
      </c>
      <c r="AC28" s="1798">
        <f t="shared" si="5"/>
        <v>1</v>
      </c>
    </row>
    <row r="29" spans="1:29" ht="15">
      <c r="A29" s="469"/>
      <c r="B29" s="419" t="s">
        <v>2720</v>
      </c>
      <c r="C29" s="654"/>
      <c r="D29" s="432">
        <v>100</v>
      </c>
      <c r="E29" s="654"/>
      <c r="F29" s="458">
        <f>SUMIF(84:84,E29,85:85)-SUMIF(84:84,C29,85:85)+100</f>
        <v>100</v>
      </c>
      <c r="G29" s="654"/>
      <c r="H29" s="432">
        <f>SUMIF(84:84,G29,85:85)-SUMIF(84:84,C29,85:85)+100</f>
        <v>100</v>
      </c>
      <c r="I29" s="654"/>
      <c r="J29" s="432">
        <f>SUMIF(84:84,I29,85:85)-SUMIF(84:84,C29,85:85)+100</f>
        <v>100</v>
      </c>
      <c r="K29" s="609"/>
      <c r="L29" s="1129"/>
      <c r="M29" s="1120"/>
      <c r="N29" s="1120"/>
      <c r="O29" s="1128"/>
      <c r="P29" s="3252"/>
      <c r="Q29" s="1797" t="str">
        <f t="shared" si="11"/>
        <v>有无电梯</v>
      </c>
      <c r="R29" s="771" t="s">
        <v>17</v>
      </c>
      <c r="S29" s="772">
        <f t="shared" si="12"/>
        <v>100</v>
      </c>
      <c r="T29" s="771" t="s">
        <v>17</v>
      </c>
      <c r="U29" s="772">
        <f t="shared" si="13"/>
        <v>100</v>
      </c>
      <c r="V29" s="771" t="s">
        <v>17</v>
      </c>
      <c r="W29" s="772">
        <f t="shared" si="14"/>
        <v>100</v>
      </c>
      <c r="X29" s="1800"/>
      <c r="Y29" s="3252"/>
      <c r="Z29" s="1801" t="str">
        <f t="shared" si="15"/>
        <v>有无电梯</v>
      </c>
      <c r="AA29" s="1798">
        <f t="shared" si="3"/>
        <v>1</v>
      </c>
      <c r="AB29" s="1798">
        <f t="shared" si="4"/>
        <v>1</v>
      </c>
      <c r="AC29" s="1798">
        <f t="shared" si="5"/>
        <v>1</v>
      </c>
    </row>
    <row r="30" spans="1:29" ht="15">
      <c r="A30" s="469"/>
      <c r="B30" s="419" t="s">
        <v>2721</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29"/>
      <c r="M30" s="1120"/>
      <c r="N30" s="1120"/>
      <c r="O30" s="1128"/>
      <c r="P30" s="3252"/>
      <c r="Q30" s="1797" t="str">
        <f t="shared" si="11"/>
        <v>建筑面积</v>
      </c>
      <c r="R30" s="771" t="s">
        <v>17</v>
      </c>
      <c r="S30" s="772" t="e">
        <f t="shared" si="12"/>
        <v>#N/A</v>
      </c>
      <c r="T30" s="771" t="s">
        <v>17</v>
      </c>
      <c r="U30" s="772" t="e">
        <f t="shared" si="13"/>
        <v>#N/A</v>
      </c>
      <c r="V30" s="771" t="s">
        <v>17</v>
      </c>
      <c r="W30" s="772" t="e">
        <f t="shared" si="14"/>
        <v>#N/A</v>
      </c>
      <c r="X30" s="1800"/>
      <c r="Y30" s="3252"/>
      <c r="Z30" s="1801" t="str">
        <f t="shared" si="15"/>
        <v>建筑面积</v>
      </c>
      <c r="AA30" s="1798" t="e">
        <f t="shared" si="3"/>
        <v>#N/A</v>
      </c>
      <c r="AB30" s="1798" t="e">
        <f t="shared" si="4"/>
        <v>#N/A</v>
      </c>
      <c r="AC30" s="1798" t="e">
        <f t="shared" si="5"/>
        <v>#N/A</v>
      </c>
    </row>
    <row r="31" spans="1:29" s="115" customFormat="1" ht="15">
      <c r="A31" s="470"/>
      <c r="B31" s="419" t="s">
        <v>2722</v>
      </c>
      <c r="C31" s="654"/>
      <c r="D31" s="134">
        <v>100</v>
      </c>
      <c r="E31" s="654"/>
      <c r="F31" s="458">
        <f>SUMIF(89:89,E31,90:90)-SUMIF(89:89,C31,90:90)+100</f>
        <v>100</v>
      </c>
      <c r="G31" s="654"/>
      <c r="H31" s="432">
        <f>SUMIF(89:89,G31,90:90)-SUMIF(89:89,C31,90:90)+100</f>
        <v>100</v>
      </c>
      <c r="I31" s="654"/>
      <c r="J31" s="432">
        <f>SUMIF(89:89,I31,90:90)-SUMIF(89:89,C31,90:90)+100</f>
        <v>100</v>
      </c>
      <c r="K31" s="609"/>
      <c r="L31" s="1121"/>
      <c r="M31" s="1122"/>
      <c r="N31" s="1122"/>
      <c r="O31" s="1123"/>
      <c r="P31" s="3252"/>
      <c r="Q31" s="1782" t="str">
        <f t="shared" si="11"/>
        <v>是否封闭</v>
      </c>
      <c r="R31" s="767" t="s">
        <v>17</v>
      </c>
      <c r="S31" s="768">
        <f t="shared" si="12"/>
        <v>100</v>
      </c>
      <c r="T31" s="767" t="s">
        <v>17</v>
      </c>
      <c r="U31" s="768">
        <f t="shared" si="13"/>
        <v>100</v>
      </c>
      <c r="V31" s="767" t="s">
        <v>17</v>
      </c>
      <c r="W31" s="768">
        <f t="shared" si="14"/>
        <v>100</v>
      </c>
      <c r="X31" s="769"/>
      <c r="Y31" s="3252"/>
      <c r="Z31" s="54" t="str">
        <f t="shared" si="15"/>
        <v>是否封闭</v>
      </c>
      <c r="AA31" s="770">
        <f t="shared" si="3"/>
        <v>1</v>
      </c>
      <c r="AB31" s="770">
        <f t="shared" si="4"/>
        <v>1</v>
      </c>
      <c r="AC31" s="770">
        <f t="shared" si="5"/>
        <v>1</v>
      </c>
    </row>
    <row r="32" spans="1:29" ht="15">
      <c r="A32" s="469"/>
      <c r="B32" s="2580">
        <v>111</v>
      </c>
      <c r="C32" s="429"/>
      <c r="D32" s="432">
        <v>100</v>
      </c>
      <c r="E32" s="466"/>
      <c r="F32" s="458">
        <f>SUMIF(91:91,E32,92:92)-SUMIF(91:91,C32,92:92)+100</f>
        <v>100</v>
      </c>
      <c r="G32" s="466"/>
      <c r="H32" s="432">
        <f>SUMIF(91:91,G32,92:92)-SUMIF(91:91,C32,92:92)+100</f>
        <v>100</v>
      </c>
      <c r="I32" s="466"/>
      <c r="J32" s="432">
        <f>SUMIF(91:91,I32,92:92)-SUMIF(91:91,C32,92:92)+100</f>
        <v>100</v>
      </c>
      <c r="K32" s="610"/>
      <c r="L32" s="1129"/>
      <c r="M32" s="1120"/>
      <c r="N32" s="1120"/>
      <c r="O32" s="1128"/>
      <c r="P32" s="3252" t="s">
        <v>2548</v>
      </c>
      <c r="Q32" s="1797">
        <f t="shared" si="11"/>
        <v>111</v>
      </c>
      <c r="R32" s="771" t="s">
        <v>17</v>
      </c>
      <c r="S32" s="772">
        <f t="shared" si="12"/>
        <v>100</v>
      </c>
      <c r="T32" s="771" t="s">
        <v>17</v>
      </c>
      <c r="U32" s="772">
        <f t="shared" si="13"/>
        <v>100</v>
      </c>
      <c r="V32" s="771" t="s">
        <v>17</v>
      </c>
      <c r="W32" s="772">
        <f t="shared" si="14"/>
        <v>100</v>
      </c>
      <c r="X32" s="1800"/>
      <c r="Y32" s="3252" t="s">
        <v>2548</v>
      </c>
      <c r="Z32" s="1801">
        <f t="shared" si="15"/>
        <v>111</v>
      </c>
      <c r="AA32" s="1798">
        <f t="shared" si="3"/>
        <v>1</v>
      </c>
      <c r="AB32" s="1798">
        <f t="shared" si="4"/>
        <v>1</v>
      </c>
      <c r="AC32" s="1798">
        <f t="shared" si="5"/>
        <v>1</v>
      </c>
    </row>
    <row r="33" spans="1:29" ht="15">
      <c r="A33" s="469"/>
      <c r="B33" s="2580">
        <v>111</v>
      </c>
      <c r="C33" s="429"/>
      <c r="D33" s="432">
        <v>100</v>
      </c>
      <c r="E33" s="466"/>
      <c r="F33" s="458">
        <f>SUMIF(93:93,E33,94:94)-SUMIF(93:93,C33,94:94)+100</f>
        <v>100</v>
      </c>
      <c r="G33" s="466"/>
      <c r="H33" s="432">
        <f>SUMIF(93:93,G33,94:94)-SUMIF(93:93,C33,94:94)+100</f>
        <v>100</v>
      </c>
      <c r="I33" s="466"/>
      <c r="J33" s="432">
        <f>SUMIF(93:93,I33,94:94)-SUMIF(93:93,C33,94:94)+100</f>
        <v>100</v>
      </c>
      <c r="K33" s="610"/>
      <c r="L33" s="1129"/>
      <c r="M33" s="1120"/>
      <c r="N33" s="1120"/>
      <c r="O33" s="1128"/>
      <c r="P33" s="3252"/>
      <c r="Q33" s="1797">
        <f t="shared" si="11"/>
        <v>111</v>
      </c>
      <c r="R33" s="771" t="s">
        <v>17</v>
      </c>
      <c r="S33" s="772">
        <f t="shared" si="12"/>
        <v>100</v>
      </c>
      <c r="T33" s="771" t="s">
        <v>17</v>
      </c>
      <c r="U33" s="772">
        <f t="shared" si="13"/>
        <v>100</v>
      </c>
      <c r="V33" s="771" t="s">
        <v>17</v>
      </c>
      <c r="W33" s="772">
        <f t="shared" si="14"/>
        <v>100</v>
      </c>
      <c r="X33" s="1800"/>
      <c r="Y33" s="3252"/>
      <c r="Z33" s="1801">
        <f t="shared" si="15"/>
        <v>111</v>
      </c>
      <c r="AA33" s="1798">
        <f t="shared" si="3"/>
        <v>1</v>
      </c>
      <c r="AB33" s="1798">
        <f t="shared" si="4"/>
        <v>1</v>
      </c>
      <c r="AC33" s="1798">
        <f t="shared" si="5"/>
        <v>1</v>
      </c>
    </row>
    <row r="34" spans="1:29" ht="15.75" thickBot="1">
      <c r="A34" s="475"/>
      <c r="B34" s="2582">
        <v>111</v>
      </c>
      <c r="C34" s="434"/>
      <c r="D34" s="435">
        <v>100</v>
      </c>
      <c r="E34" s="2675"/>
      <c r="F34" s="436">
        <f>SUMIF(95:95,E34,96:96)-SUMIF(95:95,C34,96:96)+100</f>
        <v>100</v>
      </c>
      <c r="G34" s="2675"/>
      <c r="H34" s="435">
        <f>SUMIF(95:95,G34,96:96)-SUMIF(95:95,C34,96:96)+100</f>
        <v>100</v>
      </c>
      <c r="I34" s="2675"/>
      <c r="J34" s="435">
        <f>SUMIF(95:95,I34,96:96)-SUMIF(95:95,C34,96:96)+100</f>
        <v>100</v>
      </c>
      <c r="K34" s="610"/>
      <c r="L34" s="1129"/>
      <c r="M34" s="1120"/>
      <c r="N34" s="1120"/>
      <c r="O34" s="1128"/>
      <c r="P34" s="3252"/>
      <c r="Q34" s="1797">
        <f t="shared" si="11"/>
        <v>111</v>
      </c>
      <c r="R34" s="771" t="s">
        <v>17</v>
      </c>
      <c r="S34" s="772">
        <f t="shared" si="12"/>
        <v>100</v>
      </c>
      <c r="T34" s="771" t="s">
        <v>17</v>
      </c>
      <c r="U34" s="772">
        <f t="shared" si="13"/>
        <v>100</v>
      </c>
      <c r="V34" s="771" t="s">
        <v>17</v>
      </c>
      <c r="W34" s="772">
        <f t="shared" si="14"/>
        <v>100</v>
      </c>
      <c r="X34" s="1800"/>
      <c r="Y34" s="3252"/>
      <c r="Z34" s="1801">
        <f t="shared" si="15"/>
        <v>111</v>
      </c>
      <c r="AA34" s="1798">
        <f t="shared" si="3"/>
        <v>1</v>
      </c>
      <c r="AB34" s="1798">
        <f t="shared" si="4"/>
        <v>1</v>
      </c>
      <c r="AC34" s="1798">
        <f t="shared" si="5"/>
        <v>1</v>
      </c>
    </row>
    <row r="35" spans="1:29" ht="15">
      <c r="A35" s="476" t="s">
        <v>2560</v>
      </c>
      <c r="B35" s="477"/>
      <c r="C35" s="1396" t="s">
        <v>1</v>
      </c>
      <c r="D35" s="1397"/>
      <c r="E35" s="1398"/>
      <c r="F35" s="1399"/>
      <c r="G35" s="1400"/>
      <c r="H35" s="1401"/>
      <c r="I35" s="1398"/>
      <c r="J35" s="1401"/>
      <c r="K35" s="780"/>
      <c r="L35" s="1132"/>
      <c r="M35" s="1133"/>
      <c r="N35" s="1120"/>
      <c r="O35" s="1133"/>
      <c r="P35" s="3247" t="str">
        <f>A35</f>
        <v>成交单价（元/平方米）</v>
      </c>
      <c r="Q35" s="3247"/>
      <c r="R35" s="3287">
        <f>E35</f>
        <v>0</v>
      </c>
      <c r="S35" s="3287"/>
      <c r="T35" s="3287">
        <f>G35</f>
        <v>0</v>
      </c>
      <c r="U35" s="3287"/>
      <c r="V35" s="3287">
        <f>I35</f>
        <v>0</v>
      </c>
      <c r="W35" s="3287"/>
      <c r="X35" s="756"/>
      <c r="Y35" s="778"/>
      <c r="Z35" s="756"/>
      <c r="AA35" s="756"/>
      <c r="AB35" s="756"/>
      <c r="AC35" s="756"/>
    </row>
    <row r="36" spans="1:29" ht="15.75" thickBot="1">
      <c r="A36" s="483" t="s">
        <v>2652</v>
      </c>
      <c r="B36" s="484"/>
      <c r="C36" s="1402" t="e">
        <f>R37</f>
        <v>#DIV/0!</v>
      </c>
      <c r="D36" s="1403"/>
      <c r="E36" s="1404" t="e">
        <f>R36</f>
        <v>#DIV/0!</v>
      </c>
      <c r="F36" s="1404"/>
      <c r="G36" s="1402" t="e">
        <f>T36</f>
        <v>#DIV/0!</v>
      </c>
      <c r="H36" s="1403"/>
      <c r="I36" s="1404" t="e">
        <f>V36</f>
        <v>#DIV/0!</v>
      </c>
      <c r="J36" s="1403"/>
      <c r="K36" s="781"/>
      <c r="L36" s="1132"/>
      <c r="M36" s="1133"/>
      <c r="N36" s="1120"/>
      <c r="O36" s="1133"/>
      <c r="P36" s="3247" t="str">
        <f>A36</f>
        <v>比较价值（元/平方米）</v>
      </c>
      <c r="Q36" s="3247"/>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756"/>
      <c r="Y36" s="756"/>
      <c r="Z36" s="756"/>
      <c r="AA36" s="756"/>
      <c r="AB36" s="756"/>
      <c r="AC36" s="756"/>
    </row>
    <row r="37" spans="1:29" ht="15.75" thickBot="1">
      <c r="A37" s="489" t="s">
        <v>2653</v>
      </c>
      <c r="B37" s="490"/>
      <c r="C37" s="1406" t="e">
        <f>R37</f>
        <v>#DIV/0!</v>
      </c>
      <c r="D37" s="1406"/>
      <c r="E37" s="1406"/>
      <c r="F37" s="1406"/>
      <c r="G37" s="1406"/>
      <c r="H37" s="1406"/>
      <c r="I37" s="1406"/>
      <c r="J37" s="1406"/>
      <c r="K37" s="782"/>
      <c r="L37" s="1132"/>
      <c r="M37" s="1133"/>
      <c r="N37" s="1133"/>
      <c r="O37" s="1133"/>
      <c r="P37" s="3241" t="str">
        <f>A37</f>
        <v>估价对象XX用房的比较价值（楼面单价，元/平方米）</v>
      </c>
      <c r="Q37" s="3242"/>
      <c r="R37" s="3286" t="e">
        <f>IF(F1="售价",ROUND(AVERAGE(R36:V36),0),ROUND(AVERAGE(R36:V36),1))</f>
        <v>#DIV/0!</v>
      </c>
      <c r="S37" s="3286"/>
      <c r="T37" s="3286"/>
      <c r="U37" s="3286"/>
      <c r="V37" s="3286"/>
      <c r="W37" s="3286"/>
      <c r="X37" s="756"/>
      <c r="Y37" s="756"/>
      <c r="Z37" s="756"/>
      <c r="AA37" s="756"/>
      <c r="AB37" s="756"/>
      <c r="AC37" s="756"/>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94" t="s">
        <v>2654</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4"/>
      <c r="L40" s="1095"/>
      <c r="M40" s="1133"/>
      <c r="N40" s="1133"/>
      <c r="O40" s="1133"/>
    </row>
    <row r="41" spans="1:29" ht="13.5" customHeight="1">
      <c r="A41" s="1133"/>
      <c r="B41" s="1133"/>
      <c r="C41" s="494" t="s">
        <v>2655</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4"/>
      <c r="L41" s="1095"/>
      <c r="M41" s="1133"/>
      <c r="N41" s="1133"/>
      <c r="O41" s="1133"/>
    </row>
    <row r="42" spans="1:29" s="499" customFormat="1" ht="13.5" customHeight="1">
      <c r="A42" s="1134"/>
      <c r="B42" s="1134"/>
      <c r="C42" s="494" t="s">
        <v>2656</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7"/>
      <c r="L42" s="1138"/>
      <c r="M42" s="1134"/>
      <c r="N42" s="1134"/>
      <c r="O42" s="1134"/>
    </row>
    <row r="43" spans="1:29" s="499"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60" t="s">
        <v>2657</v>
      </c>
      <c r="B45" s="756"/>
      <c r="C45" s="761"/>
      <c r="D45" s="761"/>
      <c r="E45" s="761"/>
      <c r="F45" s="762"/>
      <c r="G45" s="762"/>
      <c r="H45" s="761"/>
      <c r="I45" s="761"/>
      <c r="J45" s="761"/>
      <c r="K45" s="763"/>
      <c r="L45" s="764"/>
      <c r="M45" s="761"/>
      <c r="N45" s="761"/>
      <c r="O45" s="761"/>
      <c r="P45" s="500"/>
      <c r="Q45" s="501"/>
    </row>
    <row r="46" spans="1:29" s="505" customFormat="1" ht="15">
      <c r="A46" s="502" t="s">
        <v>2531</v>
      </c>
      <c r="B46" s="503"/>
      <c r="C46" s="1562" t="str">
        <f>YEAR(C7)&amp;"-"&amp;MONTH(C7)</f>
        <v>2020-5</v>
      </c>
      <c r="D46" s="1563">
        <f>EDATE(C46,-1)</f>
        <v>43922</v>
      </c>
      <c r="E46" s="1563">
        <f t="shared" ref="E46:O46" si="16">EDATE(D46,-1)</f>
        <v>43891</v>
      </c>
      <c r="F46" s="1563">
        <f t="shared" si="16"/>
        <v>43862</v>
      </c>
      <c r="G46" s="1563">
        <f t="shared" si="16"/>
        <v>43831</v>
      </c>
      <c r="H46" s="1563">
        <f t="shared" si="16"/>
        <v>43800</v>
      </c>
      <c r="I46" s="1563">
        <f t="shared" si="16"/>
        <v>43770</v>
      </c>
      <c r="J46" s="1563">
        <f t="shared" si="16"/>
        <v>43739</v>
      </c>
      <c r="K46" s="1563">
        <f t="shared" si="16"/>
        <v>43709</v>
      </c>
      <c r="L46" s="1563">
        <f t="shared" si="16"/>
        <v>43678</v>
      </c>
      <c r="M46" s="1563">
        <f t="shared" si="16"/>
        <v>43647</v>
      </c>
      <c r="N46" s="1563">
        <f t="shared" si="16"/>
        <v>43617</v>
      </c>
      <c r="O46" s="1563">
        <f t="shared" si="16"/>
        <v>43586</v>
      </c>
      <c r="P46" s="504"/>
    </row>
    <row r="47" spans="1:29" s="115" customFormat="1" ht="15">
      <c r="A47" s="506"/>
      <c r="B47" s="507"/>
      <c r="C47" s="1561">
        <v>100</v>
      </c>
      <c r="D47" s="509"/>
      <c r="E47" s="509"/>
      <c r="F47" s="509"/>
      <c r="G47" s="509"/>
      <c r="H47" s="509"/>
      <c r="I47" s="509"/>
      <c r="J47" s="509"/>
      <c r="K47" s="509"/>
      <c r="L47" s="509"/>
      <c r="M47" s="510"/>
      <c r="N47" s="509"/>
      <c r="O47" s="511"/>
      <c r="P47" s="501"/>
    </row>
    <row r="48" spans="1:29" s="115" customFormat="1" ht="15.75" thickBot="1">
      <c r="A48" s="512" t="s">
        <v>2568</v>
      </c>
      <c r="B48" s="513"/>
      <c r="C48" s="514"/>
      <c r="D48" s="515"/>
      <c r="E48" s="515"/>
      <c r="F48" s="515"/>
      <c r="G48" s="515"/>
      <c r="H48" s="515"/>
      <c r="I48" s="515"/>
      <c r="J48" s="515"/>
      <c r="K48" s="515"/>
      <c r="L48" s="515"/>
      <c r="M48" s="516"/>
      <c r="N48" s="515"/>
      <c r="O48" s="517"/>
      <c r="P48" s="501"/>
      <c r="Q48" s="501"/>
    </row>
    <row r="49" spans="1:17" s="115" customFormat="1" ht="15">
      <c r="A49" s="518" t="s">
        <v>2533</v>
      </c>
      <c r="B49" s="507"/>
      <c r="C49" s="519" t="s">
        <v>2635</v>
      </c>
      <c r="D49" s="520"/>
      <c r="E49" s="520"/>
      <c r="F49" s="520"/>
      <c r="G49" s="520"/>
      <c r="H49" s="520"/>
      <c r="I49" s="520"/>
      <c r="J49" s="520"/>
      <c r="K49" s="520"/>
      <c r="L49" s="521"/>
      <c r="M49" s="522"/>
      <c r="N49" s="1140"/>
      <c r="O49" s="1140"/>
      <c r="P49" s="523"/>
      <c r="Q49" s="501"/>
    </row>
    <row r="50" spans="1:17" s="115" customFormat="1" ht="15.75" thickBot="1">
      <c r="A50" s="518"/>
      <c r="B50" s="507"/>
      <c r="C50" s="636">
        <v>100</v>
      </c>
      <c r="D50" s="509"/>
      <c r="E50" s="509"/>
      <c r="F50" s="509"/>
      <c r="G50" s="509"/>
      <c r="H50" s="509"/>
      <c r="I50" s="509"/>
      <c r="J50" s="509"/>
      <c r="K50" s="509"/>
      <c r="L50" s="509"/>
      <c r="M50" s="511"/>
      <c r="N50" s="1140"/>
      <c r="O50" s="1140"/>
      <c r="P50" s="501"/>
      <c r="Q50" s="501"/>
    </row>
    <row r="51" spans="1:17">
      <c r="A51" s="524" t="s">
        <v>2571</v>
      </c>
      <c r="B51" s="525" t="s">
        <v>2537</v>
      </c>
      <c r="C51" s="526">
        <f>C9</f>
        <v>0</v>
      </c>
      <c r="D51" s="527"/>
      <c r="E51" s="527"/>
      <c r="F51" s="527"/>
      <c r="G51" s="527"/>
      <c r="H51" s="527"/>
      <c r="I51" s="527"/>
      <c r="J51" s="527"/>
      <c r="K51" s="528"/>
      <c r="L51" s="529"/>
      <c r="M51" s="530"/>
      <c r="N51" s="1141"/>
      <c r="O51" s="1141"/>
      <c r="P51" s="44"/>
      <c r="Q51" s="501"/>
    </row>
    <row r="52" spans="1:17" ht="15.75" thickBot="1">
      <c r="A52" s="531"/>
      <c r="B52" s="532"/>
      <c r="C52" s="533">
        <v>100</v>
      </c>
      <c r="D52" s="533"/>
      <c r="E52" s="533"/>
      <c r="F52" s="533"/>
      <c r="G52" s="533"/>
      <c r="H52" s="533"/>
      <c r="I52" s="533"/>
      <c r="J52" s="533"/>
      <c r="K52" s="533"/>
      <c r="L52" s="533"/>
      <c r="M52" s="534"/>
      <c r="N52" s="1142"/>
      <c r="O52" s="1142"/>
      <c r="P52" s="44"/>
      <c r="Q52" s="501"/>
    </row>
    <row r="53" spans="1:17" ht="27.75" thickTop="1">
      <c r="A53" s="531"/>
      <c r="B53" s="535" t="s">
        <v>2540</v>
      </c>
      <c r="C53" s="536" t="s">
        <v>2572</v>
      </c>
      <c r="D53" s="536" t="s">
        <v>2573</v>
      </c>
      <c r="E53" s="536" t="s">
        <v>2574</v>
      </c>
      <c r="F53" s="536" t="s">
        <v>2575</v>
      </c>
      <c r="G53" s="536" t="s">
        <v>2576</v>
      </c>
      <c r="H53" s="536" t="s">
        <v>2577</v>
      </c>
      <c r="I53" s="536" t="s">
        <v>2578</v>
      </c>
      <c r="J53" s="536"/>
      <c r="K53" s="537"/>
      <c r="L53" s="538"/>
      <c r="M53" s="539"/>
      <c r="N53" s="1141"/>
      <c r="O53" s="1141"/>
      <c r="P53" s="44"/>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2"/>
      <c r="O54" s="1142"/>
      <c r="P54" s="44"/>
      <c r="Q54" s="501"/>
    </row>
    <row r="55" spans="1:17" ht="15.75" thickTop="1">
      <c r="A55" s="531"/>
      <c r="B55" s="657">
        <f>B11</f>
        <v>111</v>
      </c>
      <c r="C55" s="546"/>
      <c r="D55" s="546"/>
      <c r="E55" s="546"/>
      <c r="F55" s="546"/>
      <c r="G55" s="546"/>
      <c r="H55" s="546"/>
      <c r="I55" s="546"/>
      <c r="J55" s="546"/>
      <c r="K55" s="547"/>
      <c r="L55" s="548"/>
      <c r="M55" s="549"/>
      <c r="N55" s="1141"/>
      <c r="O55" s="1141"/>
      <c r="P55" s="44"/>
      <c r="Q55" s="501"/>
    </row>
    <row r="56" spans="1:17" ht="15.75" thickBot="1">
      <c r="A56" s="531"/>
      <c r="B56" s="532"/>
      <c r="C56" s="557"/>
      <c r="D56" s="533"/>
      <c r="E56" s="533"/>
      <c r="F56" s="533"/>
      <c r="G56" s="533"/>
      <c r="H56" s="533"/>
      <c r="I56" s="533"/>
      <c r="J56" s="533"/>
      <c r="K56" s="533"/>
      <c r="L56" s="533"/>
      <c r="M56" s="534"/>
      <c r="N56" s="1142"/>
      <c r="O56" s="1142"/>
      <c r="P56" s="44"/>
      <c r="Q56" s="501"/>
    </row>
    <row r="57" spans="1:17" s="468" customFormat="1" ht="15.75" thickTop="1">
      <c r="A57" s="550"/>
      <c r="B57" s="535">
        <f>B12</f>
        <v>111</v>
      </c>
      <c r="C57" s="546"/>
      <c r="D57" s="546"/>
      <c r="E57" s="546"/>
      <c r="F57" s="546"/>
      <c r="G57" s="551"/>
      <c r="H57" s="552"/>
      <c r="I57" s="552"/>
      <c r="J57" s="552"/>
      <c r="K57" s="552"/>
      <c r="L57" s="553"/>
      <c r="M57" s="554"/>
      <c r="N57" s="1143"/>
      <c r="O57" s="1143"/>
      <c r="P57" s="555"/>
      <c r="Q57" s="556"/>
    </row>
    <row r="58" spans="1:17" s="468" customFormat="1" ht="15.75" thickBot="1">
      <c r="A58" s="550"/>
      <c r="B58" s="540"/>
      <c r="C58" s="557"/>
      <c r="D58" s="533"/>
      <c r="E58" s="533"/>
      <c r="F58" s="533"/>
      <c r="G58" s="533"/>
      <c r="H58" s="533"/>
      <c r="I58" s="533"/>
      <c r="J58" s="533"/>
      <c r="K58" s="533"/>
      <c r="L58" s="533"/>
      <c r="M58" s="534"/>
      <c r="N58" s="1142"/>
      <c r="O58" s="1142"/>
      <c r="P58" s="555"/>
      <c r="Q58" s="556"/>
    </row>
    <row r="59" spans="1:17" s="468" customFormat="1" ht="15.75" thickTop="1">
      <c r="A59" s="550"/>
      <c r="B59" s="535">
        <f>B13</f>
        <v>111</v>
      </c>
      <c r="C59" s="546"/>
      <c r="D59" s="546"/>
      <c r="E59" s="546"/>
      <c r="F59" s="546"/>
      <c r="G59" s="551"/>
      <c r="H59" s="552"/>
      <c r="I59" s="552"/>
      <c r="J59" s="552"/>
      <c r="K59" s="552"/>
      <c r="L59" s="553"/>
      <c r="M59" s="554"/>
      <c r="N59" s="1143"/>
      <c r="O59" s="1143"/>
      <c r="P59" s="467"/>
      <c r="Q59" s="558"/>
    </row>
    <row r="60" spans="1:17" s="468" customFormat="1" ht="15.75" thickBot="1">
      <c r="A60" s="550"/>
      <c r="B60" s="540"/>
      <c r="C60" s="557"/>
      <c r="D60" s="557"/>
      <c r="E60" s="557"/>
      <c r="F60" s="557"/>
      <c r="G60" s="557"/>
      <c r="H60" s="559"/>
      <c r="I60" s="559"/>
      <c r="J60" s="559"/>
      <c r="K60" s="559"/>
      <c r="L60" s="559"/>
      <c r="M60" s="560"/>
      <c r="N60" s="1143"/>
      <c r="O60" s="1143"/>
      <c r="P60" s="555"/>
      <c r="Q60" s="556"/>
    </row>
    <row r="61" spans="1:17" ht="15" thickTop="1">
      <c r="A61" s="524" t="s">
        <v>2542</v>
      </c>
      <c r="B61" s="525" t="s">
        <v>2585</v>
      </c>
      <c r="C61" s="570" t="s">
        <v>2580</v>
      </c>
      <c r="D61" s="570" t="s">
        <v>2581</v>
      </c>
      <c r="E61" s="570" t="s">
        <v>2582</v>
      </c>
      <c r="F61" s="570" t="s">
        <v>2583</v>
      </c>
      <c r="G61" s="570" t="s">
        <v>2584</v>
      </c>
      <c r="H61" s="526"/>
      <c r="I61" s="526"/>
      <c r="J61" s="526"/>
      <c r="K61" s="571"/>
      <c r="L61" s="572"/>
      <c r="M61" s="573"/>
      <c r="N61" s="1141"/>
      <c r="O61" s="1141"/>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2"/>
      <c r="O62" s="1142"/>
      <c r="P62" s="44"/>
      <c r="Q62" s="501"/>
    </row>
    <row r="63" spans="1:17" ht="27.75" thickTop="1">
      <c r="A63" s="531"/>
      <c r="B63" s="535" t="s">
        <v>2723</v>
      </c>
      <c r="C63" s="575" t="s">
        <v>2580</v>
      </c>
      <c r="D63" s="575" t="s">
        <v>2581</v>
      </c>
      <c r="E63" s="575" t="s">
        <v>2582</v>
      </c>
      <c r="F63" s="575" t="s">
        <v>2583</v>
      </c>
      <c r="G63" s="575" t="s">
        <v>2584</v>
      </c>
      <c r="H63" s="536"/>
      <c r="I63" s="536"/>
      <c r="J63" s="536"/>
      <c r="K63" s="537"/>
      <c r="L63" s="538"/>
      <c r="M63" s="539"/>
      <c r="N63" s="1141"/>
      <c r="O63" s="1141"/>
      <c r="P63" s="44"/>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2"/>
      <c r="O64" s="1142"/>
      <c r="P64" s="44"/>
      <c r="Q64" s="501"/>
    </row>
    <row r="65" spans="1:17" ht="15.75" thickTop="1">
      <c r="A65" s="531"/>
      <c r="B65" s="543" t="s">
        <v>2672</v>
      </c>
      <c r="C65" s="657" t="s">
        <v>2658</v>
      </c>
      <c r="D65" s="657" t="s">
        <v>2659</v>
      </c>
      <c r="E65" s="657" t="s">
        <v>2660</v>
      </c>
      <c r="F65" s="657" t="s">
        <v>2661</v>
      </c>
      <c r="G65" s="657" t="s">
        <v>2662</v>
      </c>
      <c r="H65" s="536"/>
      <c r="I65" s="536"/>
      <c r="J65" s="536"/>
      <c r="K65" s="536"/>
      <c r="L65" s="536"/>
      <c r="M65" s="1371"/>
      <c r="N65" s="1142"/>
      <c r="O65" s="1142"/>
      <c r="P65" s="44"/>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2"/>
      <c r="O66" s="1142"/>
      <c r="P66" s="44"/>
      <c r="Q66" s="501"/>
    </row>
    <row r="67" spans="1:17" ht="15.75" thickTop="1">
      <c r="A67" s="531"/>
      <c r="B67" s="535" t="s">
        <v>2592</v>
      </c>
      <c r="C67" s="575" t="s">
        <v>2580</v>
      </c>
      <c r="D67" s="575" t="s">
        <v>2581</v>
      </c>
      <c r="E67" s="575" t="s">
        <v>2582</v>
      </c>
      <c r="F67" s="575" t="s">
        <v>2583</v>
      </c>
      <c r="G67" s="575" t="s">
        <v>2584</v>
      </c>
      <c r="H67" s="536"/>
      <c r="I67" s="536"/>
      <c r="J67" s="536"/>
      <c r="K67" s="537"/>
      <c r="L67" s="538"/>
      <c r="M67" s="539"/>
      <c r="N67" s="1141"/>
      <c r="O67" s="1141"/>
      <c r="P67" s="44"/>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2"/>
      <c r="O68" s="1142"/>
      <c r="P68" s="44"/>
      <c r="Q68" s="501"/>
    </row>
    <row r="69" spans="1:17" ht="15.75" thickTop="1">
      <c r="A69" s="531"/>
      <c r="B69" s="535" t="s">
        <v>2712</v>
      </c>
      <c r="C69" s="551"/>
      <c r="D69" s="551"/>
      <c r="E69" s="551"/>
      <c r="F69" s="551"/>
      <c r="G69" s="551"/>
      <c r="H69" s="580"/>
      <c r="I69" s="580"/>
      <c r="J69" s="580"/>
      <c r="K69" s="581"/>
      <c r="L69" s="582"/>
      <c r="M69" s="583"/>
      <c r="N69" s="1141"/>
      <c r="O69" s="1141"/>
      <c r="P69" s="44"/>
      <c r="Q69" s="501"/>
    </row>
    <row r="70" spans="1:17" ht="15.75" thickBot="1">
      <c r="A70" s="531"/>
      <c r="B70" s="540"/>
      <c r="C70" s="541">
        <v>100</v>
      </c>
      <c r="D70" s="541">
        <f>C70-$K22</f>
        <v>100</v>
      </c>
      <c r="E70" s="541"/>
      <c r="F70" s="541"/>
      <c r="G70" s="541"/>
      <c r="H70" s="541"/>
      <c r="I70" s="541"/>
      <c r="J70" s="541"/>
      <c r="K70" s="541"/>
      <c r="L70" s="541"/>
      <c r="M70" s="542"/>
      <c r="N70" s="1142"/>
      <c r="O70" s="1142"/>
      <c r="P70" s="44"/>
      <c r="Q70" s="501"/>
    </row>
    <row r="71" spans="1:17" s="115" customFormat="1" ht="15.75" thickTop="1">
      <c r="A71" s="576"/>
      <c r="B71" s="535">
        <f>B23</f>
        <v>111</v>
      </c>
      <c r="C71" s="546"/>
      <c r="D71" s="546"/>
      <c r="E71" s="546"/>
      <c r="F71" s="546"/>
      <c r="G71" s="551"/>
      <c r="H71" s="551"/>
      <c r="I71" s="551"/>
      <c r="J71" s="551"/>
      <c r="K71" s="551"/>
      <c r="L71" s="577"/>
      <c r="M71" s="578"/>
      <c r="N71" s="1140"/>
      <c r="O71" s="1140"/>
      <c r="P71" s="44"/>
      <c r="Q71" s="501"/>
    </row>
    <row r="72" spans="1:17" s="115" customFormat="1" ht="15.75" thickBot="1">
      <c r="A72" s="576"/>
      <c r="B72" s="540"/>
      <c r="C72" s="557"/>
      <c r="D72" s="533"/>
      <c r="E72" s="533"/>
      <c r="F72" s="533"/>
      <c r="G72" s="533"/>
      <c r="H72" s="533"/>
      <c r="I72" s="533"/>
      <c r="J72" s="533"/>
      <c r="K72" s="533"/>
      <c r="L72" s="533"/>
      <c r="M72" s="534"/>
      <c r="N72" s="1142"/>
      <c r="O72" s="1142"/>
      <c r="P72" s="44"/>
      <c r="Q72" s="501"/>
    </row>
    <row r="73" spans="1:17" s="115" customFormat="1" ht="15.75" thickTop="1">
      <c r="A73" s="576"/>
      <c r="B73" s="535">
        <f>B24</f>
        <v>111</v>
      </c>
      <c r="C73" s="546"/>
      <c r="D73" s="546"/>
      <c r="E73" s="546"/>
      <c r="F73" s="546"/>
      <c r="G73" s="551"/>
      <c r="H73" s="551"/>
      <c r="I73" s="551"/>
      <c r="J73" s="551"/>
      <c r="K73" s="551"/>
      <c r="L73" s="551"/>
      <c r="M73" s="578"/>
      <c r="N73" s="1140"/>
      <c r="O73" s="1140"/>
      <c r="P73" s="44"/>
      <c r="Q73" s="501"/>
    </row>
    <row r="74" spans="1:17" s="115" customFormat="1" ht="15.75" thickBot="1">
      <c r="A74" s="576"/>
      <c r="B74" s="540"/>
      <c r="C74" s="557"/>
      <c r="D74" s="533"/>
      <c r="E74" s="533"/>
      <c r="F74" s="533"/>
      <c r="G74" s="533"/>
      <c r="H74" s="533"/>
      <c r="I74" s="533"/>
      <c r="J74" s="533"/>
      <c r="K74" s="533"/>
      <c r="L74" s="533"/>
      <c r="M74" s="534"/>
      <c r="N74" s="1142"/>
      <c r="O74" s="1142"/>
      <c r="P74" s="44"/>
      <c r="Q74" s="501"/>
    </row>
    <row r="75" spans="1:17" s="468" customFormat="1" ht="15.75" thickTop="1">
      <c r="A75" s="550"/>
      <c r="B75" s="535">
        <f>B25</f>
        <v>111</v>
      </c>
      <c r="C75" s="546"/>
      <c r="D75" s="546"/>
      <c r="E75" s="546"/>
      <c r="F75" s="546"/>
      <c r="G75" s="551"/>
      <c r="H75" s="552"/>
      <c r="I75" s="552"/>
      <c r="J75" s="552"/>
      <c r="K75" s="552"/>
      <c r="L75" s="553"/>
      <c r="M75" s="554"/>
      <c r="N75" s="1143"/>
      <c r="O75" s="1143"/>
      <c r="P75" s="555"/>
      <c r="Q75" s="556"/>
    </row>
    <row r="76" spans="1:17" s="468" customFormat="1" ht="15.75" thickBot="1">
      <c r="A76" s="550"/>
      <c r="B76" s="540"/>
      <c r="C76" s="557"/>
      <c r="D76" s="557"/>
      <c r="E76" s="557"/>
      <c r="F76" s="557"/>
      <c r="G76" s="533"/>
      <c r="H76" s="533"/>
      <c r="I76" s="533"/>
      <c r="J76" s="533"/>
      <c r="K76" s="533"/>
      <c r="L76" s="533"/>
      <c r="M76" s="534"/>
      <c r="N76" s="1143"/>
      <c r="O76" s="1143"/>
      <c r="P76" s="555"/>
      <c r="Q76" s="556"/>
    </row>
    <row r="77" spans="1:17" ht="15" thickTop="1">
      <c r="A77" s="524" t="s">
        <v>2546</v>
      </c>
      <c r="B77" s="525" t="s">
        <v>2599</v>
      </c>
      <c r="C77" s="551"/>
      <c r="D77" s="551"/>
      <c r="E77" s="527"/>
      <c r="F77" s="527"/>
      <c r="G77" s="527"/>
      <c r="H77" s="527"/>
      <c r="I77" s="527"/>
      <c r="J77" s="527"/>
      <c r="K77" s="528"/>
      <c r="L77" s="529"/>
      <c r="M77" s="530"/>
      <c r="N77" s="1141"/>
      <c r="O77" s="1141"/>
      <c r="P77" s="44"/>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2"/>
      <c r="O78" s="1142"/>
      <c r="P78" s="44"/>
      <c r="Q78" s="501"/>
    </row>
    <row r="79" spans="1:17" ht="15.75" thickTop="1">
      <c r="A79" s="531"/>
      <c r="B79" s="535" t="s">
        <v>2715</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0"/>
      <c r="O79" s="1140"/>
      <c r="P79" s="44"/>
      <c r="Q79" s="501"/>
    </row>
    <row r="80" spans="1:17" ht="15">
      <c r="A80" s="531"/>
      <c r="B80" s="543"/>
      <c r="C80" s="600">
        <v>0.5</v>
      </c>
      <c r="D80" s="600">
        <v>0.6</v>
      </c>
      <c r="E80" s="600">
        <v>0.7</v>
      </c>
      <c r="F80" s="600">
        <v>0.8</v>
      </c>
      <c r="G80" s="600">
        <v>0.9</v>
      </c>
      <c r="H80" s="600">
        <v>1.0001</v>
      </c>
      <c r="I80" s="657"/>
      <c r="J80" s="657"/>
      <c r="K80" s="665"/>
      <c r="L80" s="666"/>
      <c r="M80" s="667"/>
      <c r="N80" s="1140"/>
      <c r="O80" s="1140"/>
      <c r="P80" s="44"/>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2"/>
      <c r="O81" s="1142"/>
      <c r="P81" s="555"/>
      <c r="Q81" s="556"/>
    </row>
    <row r="82" spans="1:17" ht="15" thickTop="1">
      <c r="A82" s="596"/>
      <c r="B82" s="543" t="s">
        <v>2716</v>
      </c>
      <c r="C82" s="551"/>
      <c r="D82" s="551"/>
      <c r="E82" s="580"/>
      <c r="F82" s="580"/>
      <c r="G82" s="580"/>
      <c r="H82" s="580"/>
      <c r="I82" s="580"/>
      <c r="J82" s="580"/>
      <c r="K82" s="581"/>
      <c r="L82" s="582"/>
      <c r="M82" s="583"/>
      <c r="N82" s="1141"/>
      <c r="O82" s="1141"/>
      <c r="P82" s="44"/>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2"/>
      <c r="O83" s="1142"/>
      <c r="P83" s="44"/>
      <c r="Q83" s="501"/>
    </row>
    <row r="84" spans="1:17" ht="15" thickTop="1">
      <c r="A84" s="596"/>
      <c r="B84" s="535" t="s">
        <v>2724</v>
      </c>
      <c r="C84" s="551"/>
      <c r="D84" s="551"/>
      <c r="E84" s="551"/>
      <c r="F84" s="551"/>
      <c r="G84" s="551"/>
      <c r="H84" s="551"/>
      <c r="I84" s="580"/>
      <c r="J84" s="580"/>
      <c r="K84" s="581"/>
      <c r="L84" s="582"/>
      <c r="M84" s="583"/>
      <c r="N84" s="1141"/>
      <c r="O84" s="1141"/>
      <c r="P84" s="44"/>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2"/>
      <c r="O85" s="1142"/>
      <c r="P85" s="44"/>
      <c r="Q85" s="501"/>
    </row>
    <row r="86" spans="1:17" ht="15" thickTop="1">
      <c r="A86" s="596"/>
      <c r="B86" s="543" t="s">
        <v>2725</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1"/>
      <c r="O86" s="1141"/>
      <c r="P86" s="44"/>
      <c r="Q86" s="501"/>
    </row>
    <row r="87" spans="1:17">
      <c r="A87" s="596"/>
      <c r="B87" s="543"/>
      <c r="C87" s="592"/>
      <c r="D87" s="592"/>
      <c r="E87" s="592"/>
      <c r="F87" s="592"/>
      <c r="G87" s="592"/>
      <c r="H87" s="592"/>
      <c r="I87" s="592"/>
      <c r="J87" s="593"/>
      <c r="K87" s="593"/>
      <c r="L87" s="594"/>
      <c r="M87" s="595"/>
      <c r="N87" s="1141"/>
      <c r="O87" s="1141"/>
      <c r="P87" s="44"/>
      <c r="Q87" s="501"/>
    </row>
    <row r="88" spans="1:17" ht="15.75" thickBot="1">
      <c r="A88" s="531"/>
      <c r="B88" s="540"/>
      <c r="C88" s="557"/>
      <c r="D88" s="533"/>
      <c r="E88" s="533"/>
      <c r="F88" s="533"/>
      <c r="G88" s="533"/>
      <c r="H88" s="533"/>
      <c r="I88" s="533"/>
      <c r="J88" s="533"/>
      <c r="K88" s="533"/>
      <c r="L88" s="533"/>
      <c r="M88" s="533"/>
      <c r="N88" s="1142"/>
      <c r="O88" s="1142"/>
      <c r="P88" s="44"/>
      <c r="Q88" s="501"/>
    </row>
    <row r="89" spans="1:17" s="468" customFormat="1" ht="15" thickTop="1">
      <c r="A89" s="590"/>
      <c r="B89" s="535" t="s">
        <v>2726</v>
      </c>
      <c r="C89" s="551"/>
      <c r="D89" s="551"/>
      <c r="E89" s="551"/>
      <c r="F89" s="551"/>
      <c r="G89" s="551"/>
      <c r="H89" s="551"/>
      <c r="I89" s="551"/>
      <c r="J89" s="551"/>
      <c r="K89" s="551"/>
      <c r="L89" s="551"/>
      <c r="M89" s="578"/>
      <c r="N89" s="1143"/>
      <c r="O89" s="1143"/>
      <c r="P89" s="555"/>
      <c r="Q89" s="556"/>
    </row>
    <row r="90" spans="1:17" s="468" customFormat="1" ht="15.75" thickBot="1">
      <c r="A90" s="550"/>
      <c r="B90" s="540"/>
      <c r="C90" s="557"/>
      <c r="D90" s="533"/>
      <c r="E90" s="533"/>
      <c r="F90" s="533"/>
      <c r="G90" s="533"/>
      <c r="H90" s="533"/>
      <c r="I90" s="533"/>
      <c r="J90" s="533"/>
      <c r="K90" s="533"/>
      <c r="L90" s="533"/>
      <c r="M90" s="534"/>
      <c r="N90" s="1143"/>
      <c r="O90" s="1143"/>
      <c r="P90" s="555"/>
      <c r="Q90" s="556"/>
    </row>
    <row r="91" spans="1:17" ht="15" thickTop="1">
      <c r="A91" s="596"/>
      <c r="B91" s="535">
        <f>B32</f>
        <v>111</v>
      </c>
      <c r="C91" s="546"/>
      <c r="D91" s="546"/>
      <c r="E91" s="546"/>
      <c r="F91" s="546"/>
      <c r="G91" s="551"/>
      <c r="H91" s="552"/>
      <c r="I91" s="552"/>
      <c r="J91" s="552"/>
      <c r="K91" s="552"/>
      <c r="L91" s="553"/>
      <c r="M91" s="554"/>
      <c r="N91" s="1141"/>
      <c r="O91" s="1141"/>
      <c r="P91" s="44"/>
      <c r="Q91" s="501"/>
    </row>
    <row r="92" spans="1:17" ht="15.75" thickBot="1">
      <c r="A92" s="531"/>
      <c r="B92" s="540"/>
      <c r="C92" s="557"/>
      <c r="D92" s="533"/>
      <c r="E92" s="533"/>
      <c r="F92" s="533"/>
      <c r="G92" s="557"/>
      <c r="H92" s="559"/>
      <c r="I92" s="559"/>
      <c r="J92" s="559"/>
      <c r="K92" s="559"/>
      <c r="L92" s="559"/>
      <c r="M92" s="560"/>
      <c r="N92" s="1142"/>
      <c r="O92" s="1142"/>
      <c r="P92" s="44"/>
      <c r="Q92" s="501"/>
    </row>
    <row r="93" spans="1:17" ht="15" thickTop="1">
      <c r="A93" s="596"/>
      <c r="B93" s="535">
        <f>B33</f>
        <v>111</v>
      </c>
      <c r="C93" s="546"/>
      <c r="D93" s="546"/>
      <c r="E93" s="546"/>
      <c r="F93" s="546"/>
      <c r="G93" s="551"/>
      <c r="H93" s="552"/>
      <c r="I93" s="552"/>
      <c r="J93" s="552"/>
      <c r="K93" s="552"/>
      <c r="L93" s="553"/>
      <c r="M93" s="554"/>
      <c r="N93" s="1141"/>
      <c r="O93" s="1141"/>
      <c r="P93" s="44"/>
      <c r="Q93" s="501"/>
    </row>
    <row r="94" spans="1:17" ht="15.75" thickBot="1">
      <c r="A94" s="531"/>
      <c r="B94" s="540"/>
      <c r="C94" s="557"/>
      <c r="D94" s="533"/>
      <c r="E94" s="533"/>
      <c r="F94" s="533"/>
      <c r="G94" s="557"/>
      <c r="H94" s="559"/>
      <c r="I94" s="559"/>
      <c r="J94" s="559"/>
      <c r="K94" s="559"/>
      <c r="L94" s="559"/>
      <c r="M94" s="560"/>
      <c r="N94" s="1142"/>
      <c r="O94" s="1142"/>
      <c r="P94" s="44"/>
      <c r="Q94" s="501"/>
    </row>
    <row r="95" spans="1:17" ht="15" thickTop="1">
      <c r="A95" s="596"/>
      <c r="B95" s="633">
        <f>B34</f>
        <v>111</v>
      </c>
      <c r="C95" s="546"/>
      <c r="D95" s="546"/>
      <c r="E95" s="546"/>
      <c r="F95" s="546"/>
      <c r="G95" s="551"/>
      <c r="H95" s="552"/>
      <c r="I95" s="552"/>
      <c r="J95" s="552"/>
      <c r="K95" s="552"/>
      <c r="L95" s="553"/>
      <c r="M95" s="554"/>
      <c r="N95" s="1142"/>
      <c r="O95" s="1142"/>
      <c r="P95" s="634"/>
      <c r="Q95" s="635"/>
    </row>
    <row r="96" spans="1:17" ht="15.75" thickBot="1">
      <c r="A96" s="531"/>
      <c r="B96" s="540"/>
      <c r="C96" s="557"/>
      <c r="D96" s="557"/>
      <c r="E96" s="557"/>
      <c r="F96" s="557"/>
      <c r="G96" s="557"/>
      <c r="H96" s="559"/>
      <c r="I96" s="559"/>
      <c r="J96" s="559"/>
      <c r="K96" s="559"/>
      <c r="L96" s="559"/>
      <c r="M96" s="560"/>
      <c r="N96" s="1142"/>
      <c r="O96" s="1142"/>
      <c r="P96" s="44"/>
      <c r="Q96" s="501"/>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2727</v>
      </c>
      <c r="B1" s="393"/>
      <c r="C1" s="394" t="s">
        <v>2779</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2313</v>
      </c>
      <c r="B2" s="668" t="e">
        <f>F61</f>
        <v>#DIV/0!</v>
      </c>
      <c r="C2" s="1114"/>
      <c r="D2" s="1114"/>
      <c r="E2" s="1114"/>
      <c r="F2" s="1115"/>
      <c r="G2" s="1114"/>
      <c r="H2" s="1114"/>
      <c r="I2" s="1114"/>
      <c r="J2" s="1114"/>
      <c r="K2" s="1116"/>
      <c r="L2" s="1117"/>
      <c r="M2" s="1118"/>
      <c r="N2" s="1118"/>
      <c r="O2" s="1118"/>
      <c r="P2" s="765"/>
      <c r="Q2" s="765"/>
      <c r="R2" s="765"/>
      <c r="S2" s="765"/>
      <c r="T2" s="765"/>
      <c r="U2" s="765"/>
      <c r="V2" s="765"/>
      <c r="W2" s="765"/>
      <c r="X2" s="765"/>
      <c r="Y2" s="765"/>
      <c r="Z2" s="765"/>
      <c r="AA2" s="765"/>
      <c r="AB2" s="765"/>
      <c r="AC2" s="766"/>
    </row>
    <row r="3" spans="1:29" s="396" customFormat="1" ht="28.5" customHeight="1" thickBot="1">
      <c r="A3" s="245" t="s">
        <v>2315</v>
      </c>
      <c r="B3" s="606" t="e">
        <f>ROUND(IF(D3="",B2*10000/'数据-汇总表'!E3,B2*10000/D3),0)</f>
        <v>#DIV/0!</v>
      </c>
      <c r="C3" s="245" t="s">
        <v>2729</v>
      </c>
      <c r="D3" s="1571"/>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29" ht="15">
      <c r="A4" s="399" t="s">
        <v>2628</v>
      </c>
      <c r="B4" s="400"/>
      <c r="C4" s="3244" t="s">
        <v>2629</v>
      </c>
      <c r="D4" s="3257"/>
      <c r="E4" s="3258" t="s">
        <v>2630</v>
      </c>
      <c r="F4" s="3259"/>
      <c r="G4" s="3244" t="s">
        <v>2631</v>
      </c>
      <c r="H4" s="3257"/>
      <c r="I4" s="3244" t="s">
        <v>2632</v>
      </c>
      <c r="J4" s="3257"/>
      <c r="K4" s="607" t="s">
        <v>2633</v>
      </c>
      <c r="L4" s="1119"/>
      <c r="M4" s="1120"/>
      <c r="N4" s="1120"/>
      <c r="O4" s="1120"/>
      <c r="P4" s="3260" t="s">
        <v>2634</v>
      </c>
      <c r="Q4" s="3261"/>
      <c r="R4" s="3266" t="s">
        <v>2630</v>
      </c>
      <c r="S4" s="3267"/>
      <c r="T4" s="3266" t="s">
        <v>2631</v>
      </c>
      <c r="U4" s="3267"/>
      <c r="V4" s="3253" t="s">
        <v>2632</v>
      </c>
      <c r="W4" s="3253"/>
      <c r="X4" s="1800"/>
      <c r="Y4" s="3266" t="s">
        <v>2634</v>
      </c>
      <c r="Z4" s="3267"/>
      <c r="AA4" s="3254" t="s">
        <v>2630</v>
      </c>
      <c r="AB4" s="3255" t="s">
        <v>2631</v>
      </c>
      <c r="AC4" s="3254" t="s">
        <v>2632</v>
      </c>
    </row>
    <row r="5" spans="1:29" ht="15">
      <c r="A5" s="402"/>
      <c r="B5" s="403"/>
      <c r="C5" s="3274" t="s">
        <v>2525</v>
      </c>
      <c r="D5" s="3275"/>
      <c r="E5" s="3281" t="s">
        <v>2526</v>
      </c>
      <c r="F5" s="3282"/>
      <c r="G5" s="3274" t="s">
        <v>2527</v>
      </c>
      <c r="H5" s="3275"/>
      <c r="I5" s="3274" t="s">
        <v>2528</v>
      </c>
      <c r="J5" s="3275"/>
      <c r="K5" s="607"/>
      <c r="L5" s="1119"/>
      <c r="M5" s="1120"/>
      <c r="N5" s="1120"/>
      <c r="O5" s="1120"/>
      <c r="P5" s="3262"/>
      <c r="Q5" s="3263"/>
      <c r="R5" s="3268"/>
      <c r="S5" s="3269"/>
      <c r="T5" s="3268"/>
      <c r="U5" s="3269"/>
      <c r="V5" s="3253"/>
      <c r="W5" s="3253"/>
      <c r="X5" s="1800"/>
      <c r="Y5" s="3268"/>
      <c r="Z5" s="3269"/>
      <c r="AA5" s="3255"/>
      <c r="AB5" s="3255"/>
      <c r="AC5" s="3255"/>
    </row>
    <row r="6" spans="1:29" ht="15.75" thickBot="1">
      <c r="A6" s="404"/>
      <c r="B6" s="405"/>
      <c r="C6" s="3338" t="s">
        <v>2780</v>
      </c>
      <c r="D6" s="3339"/>
      <c r="E6" s="3340" t="s">
        <v>2780</v>
      </c>
      <c r="F6" s="3341"/>
      <c r="G6" s="3338" t="s">
        <v>2780</v>
      </c>
      <c r="H6" s="3339"/>
      <c r="I6" s="3338" t="s">
        <v>2780</v>
      </c>
      <c r="J6" s="3339"/>
      <c r="K6" s="607" t="s">
        <v>2530</v>
      </c>
      <c r="L6" s="1119"/>
      <c r="M6" s="1120"/>
      <c r="N6" s="1120"/>
      <c r="O6" s="1120"/>
      <c r="P6" s="3264"/>
      <c r="Q6" s="3265"/>
      <c r="R6" s="3268"/>
      <c r="S6" s="3269"/>
      <c r="T6" s="3270"/>
      <c r="U6" s="3271"/>
      <c r="V6" s="3253"/>
      <c r="W6" s="3253"/>
      <c r="X6" s="1800"/>
      <c r="Y6" s="3270"/>
      <c r="Z6" s="3271"/>
      <c r="AA6" s="3256"/>
      <c r="AB6" s="3256"/>
      <c r="AC6" s="3256"/>
    </row>
    <row r="7" spans="1:29" s="115" customFormat="1" ht="15.75" thickBot="1">
      <c r="A7" s="406" t="s">
        <v>2531</v>
      </c>
      <c r="B7" s="407"/>
      <c r="C7" s="408">
        <f>'数据-取费表'!B2</f>
        <v>43970</v>
      </c>
      <c r="D7" s="409">
        <v>100</v>
      </c>
      <c r="E7" s="410"/>
      <c r="F7" s="411">
        <f>SUMIF(65:65,YEAR(E7)&amp;"-"&amp;INT((MONTH(E7)+2)/3),66:66)</f>
        <v>0</v>
      </c>
      <c r="G7" s="2674"/>
      <c r="H7" s="409">
        <f>SUMIF(65:65,YEAR(G7)&amp;"-"&amp;INT((MONTH(G7)+2)/3),66:66)</f>
        <v>0</v>
      </c>
      <c r="I7" s="2674"/>
      <c r="J7" s="409">
        <f>SUMIF(65:65,YEAR(I7)&amp;"-"&amp;INT((MONTH(I7)+2)/3),66:66)</f>
        <v>0</v>
      </c>
      <c r="K7" s="608"/>
      <c r="L7" s="1121"/>
      <c r="M7" s="1122"/>
      <c r="N7" s="1122"/>
      <c r="O7" s="1122"/>
      <c r="P7" s="3276" t="s">
        <v>2532</v>
      </c>
      <c r="Q7" s="3278"/>
      <c r="R7" s="767" t="s">
        <v>17</v>
      </c>
      <c r="S7" s="768">
        <f t="shared" ref="S7:S15" si="0">F7</f>
        <v>0</v>
      </c>
      <c r="T7" s="767" t="s">
        <v>17</v>
      </c>
      <c r="U7" s="768">
        <f t="shared" ref="U7:U15" si="1">H7</f>
        <v>0</v>
      </c>
      <c r="V7" s="767" t="s">
        <v>17</v>
      </c>
      <c r="W7" s="768">
        <f t="shared" ref="W7:W15" si="2">J7</f>
        <v>0</v>
      </c>
      <c r="X7" s="769"/>
      <c r="Y7" s="3276" t="s">
        <v>2532</v>
      </c>
      <c r="Z7" s="3277"/>
      <c r="AA7" s="770" t="e">
        <f>D7/F7</f>
        <v>#DIV/0!</v>
      </c>
      <c r="AB7" s="770" t="e">
        <f>D7/H7</f>
        <v>#DIV/0!</v>
      </c>
      <c r="AC7" s="770" t="e">
        <f>D7/J7</f>
        <v>#DIV/0!</v>
      </c>
    </row>
    <row r="8" spans="1:29" s="115" customFormat="1" ht="15.75" thickBot="1">
      <c r="A8" s="406" t="s">
        <v>2533</v>
      </c>
      <c r="B8" s="407"/>
      <c r="C8" s="412" t="s">
        <v>2534</v>
      </c>
      <c r="D8" s="409">
        <v>100</v>
      </c>
      <c r="E8" s="412"/>
      <c r="F8" s="411">
        <f>SUMIF(68:68,E8,69:69)-SUMIF(68:68,C8,69:69)+100</f>
        <v>0</v>
      </c>
      <c r="G8" s="412"/>
      <c r="H8" s="409">
        <f>SUMIF(68:68,G8,69:69)-SUMIF(68:68,C8,69:69)+100</f>
        <v>0</v>
      </c>
      <c r="I8" s="412"/>
      <c r="J8" s="409">
        <f>SUMIF(68:68,I8,69:69)-SUMIF(68:68,C8,69:69)+100</f>
        <v>0</v>
      </c>
      <c r="K8" s="608"/>
      <c r="L8" s="1121"/>
      <c r="M8" s="1122"/>
      <c r="N8" s="1122"/>
      <c r="O8" s="1122"/>
      <c r="P8" s="3276" t="s">
        <v>2535</v>
      </c>
      <c r="Q8" s="3277"/>
      <c r="R8" s="767" t="s">
        <v>17</v>
      </c>
      <c r="S8" s="768">
        <f t="shared" si="0"/>
        <v>0</v>
      </c>
      <c r="T8" s="767" t="s">
        <v>17</v>
      </c>
      <c r="U8" s="768">
        <f t="shared" si="1"/>
        <v>0</v>
      </c>
      <c r="V8" s="767" t="s">
        <v>17</v>
      </c>
      <c r="W8" s="768">
        <f t="shared" si="2"/>
        <v>0</v>
      </c>
      <c r="X8" s="769"/>
      <c r="Y8" s="3276" t="s">
        <v>2535</v>
      </c>
      <c r="Z8" s="3277"/>
      <c r="AA8" s="770" t="e">
        <f t="shared" ref="AA8:AA40" si="3">D8/F8</f>
        <v>#DIV/0!</v>
      </c>
      <c r="AB8" s="770" t="e">
        <f t="shared" ref="AB8:AB40" si="4">D8/H8</f>
        <v>#DIV/0!</v>
      </c>
      <c r="AC8" s="770" t="e">
        <f t="shared" ref="AC8:AC40" si="5">D8/J8</f>
        <v>#DIV/0!</v>
      </c>
    </row>
    <row r="9" spans="1:29" s="115" customFormat="1">
      <c r="A9" s="413" t="s">
        <v>2536</v>
      </c>
      <c r="B9" s="70" t="s">
        <v>2537</v>
      </c>
      <c r="C9" s="2677"/>
      <c r="D9" s="133">
        <v>100</v>
      </c>
      <c r="E9" s="2677"/>
      <c r="F9" s="133">
        <f>SUMIF(70:70,E9,71:71)-SUMIF(70:70,C9,71:71)+100</f>
        <v>100</v>
      </c>
      <c r="G9" s="2677"/>
      <c r="H9" s="133">
        <f>SUMIF(70:70,G9,71:71)-SUMIF(70:70,C9,71:71)+100</f>
        <v>100</v>
      </c>
      <c r="I9" s="2677"/>
      <c r="J9" s="133">
        <f>SUMIF(70:70,I9,71:71)-SUMIF(70:70,C9,71:71)+100</f>
        <v>100</v>
      </c>
      <c r="K9" s="608"/>
      <c r="L9" s="1121"/>
      <c r="M9" s="1122"/>
      <c r="N9" s="1122"/>
      <c r="O9" s="1123"/>
      <c r="P9" s="3247" t="s">
        <v>2538</v>
      </c>
      <c r="Q9" s="1782" t="str">
        <f t="shared" ref="Q9:Q15" si="6">B9</f>
        <v>用途</v>
      </c>
      <c r="R9" s="767" t="s">
        <v>17</v>
      </c>
      <c r="S9" s="768">
        <f t="shared" si="0"/>
        <v>100</v>
      </c>
      <c r="T9" s="767" t="s">
        <v>17</v>
      </c>
      <c r="U9" s="768">
        <f t="shared" si="1"/>
        <v>100</v>
      </c>
      <c r="V9" s="767" t="s">
        <v>17</v>
      </c>
      <c r="W9" s="768">
        <f t="shared" si="2"/>
        <v>100</v>
      </c>
      <c r="X9" s="769"/>
      <c r="Y9" s="3098" t="s">
        <v>2539</v>
      </c>
      <c r="Z9" s="54" t="str">
        <f t="shared" ref="Z9:Z15" si="7">Q9</f>
        <v>用途</v>
      </c>
      <c r="AA9" s="770">
        <f t="shared" si="3"/>
        <v>1</v>
      </c>
      <c r="AB9" s="770">
        <f t="shared" si="4"/>
        <v>1</v>
      </c>
      <c r="AC9" s="770">
        <f t="shared" si="5"/>
        <v>1</v>
      </c>
    </row>
    <row r="10" spans="1:29" s="424" customFormat="1" ht="27">
      <c r="A10" s="418"/>
      <c r="B10" s="419" t="s">
        <v>2540</v>
      </c>
      <c r="C10" s="429"/>
      <c r="D10" s="134">
        <v>100</v>
      </c>
      <c r="E10" s="429"/>
      <c r="F10" s="134">
        <f>ROUND(100/'数据-取费表'!G16,0)</f>
        <v>102</v>
      </c>
      <c r="G10" s="429"/>
      <c r="H10" s="134">
        <f>ROUND(100/'数据-取费表'!G16,0)</f>
        <v>102</v>
      </c>
      <c r="I10" s="429"/>
      <c r="J10" s="134">
        <f>ROUND(100/'数据-取费表'!G16,0)</f>
        <v>102</v>
      </c>
      <c r="K10" s="669"/>
      <c r="L10" s="1124"/>
      <c r="M10" s="1125"/>
      <c r="N10" s="1125"/>
      <c r="O10" s="1126"/>
      <c r="P10" s="3247"/>
      <c r="Q10" s="1782" t="str">
        <f t="shared" si="6"/>
        <v>土地使用年限（年）</v>
      </c>
      <c r="R10" s="767" t="s">
        <v>17</v>
      </c>
      <c r="S10" s="768">
        <f t="shared" si="0"/>
        <v>102</v>
      </c>
      <c r="T10" s="767" t="s">
        <v>17</v>
      </c>
      <c r="U10" s="768">
        <f t="shared" si="1"/>
        <v>102</v>
      </c>
      <c r="V10" s="767" t="s">
        <v>17</v>
      </c>
      <c r="W10" s="768">
        <f t="shared" si="2"/>
        <v>102</v>
      </c>
      <c r="X10" s="769"/>
      <c r="Y10" s="3098"/>
      <c r="Z10" s="54" t="str">
        <f t="shared" si="7"/>
        <v>土地使用年限（年）</v>
      </c>
      <c r="AA10" s="770">
        <f t="shared" si="3"/>
        <v>0.98039215686274506</v>
      </c>
      <c r="AB10" s="770">
        <f t="shared" si="4"/>
        <v>0.98039215686274506</v>
      </c>
      <c r="AC10" s="770">
        <f t="shared" si="5"/>
        <v>0.98039215686274506</v>
      </c>
    </row>
    <row r="11" spans="1:29" ht="15">
      <c r="A11" s="425"/>
      <c r="B11" s="419" t="s">
        <v>2541</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27"/>
      <c r="M11" s="1120"/>
      <c r="N11" s="1120"/>
      <c r="O11" s="1128"/>
      <c r="P11" s="3247"/>
      <c r="Q11" s="1782" t="str">
        <f t="shared" si="6"/>
        <v>容积率</v>
      </c>
      <c r="R11" s="767" t="s">
        <v>17</v>
      </c>
      <c r="S11" s="768" t="e">
        <f t="shared" si="0"/>
        <v>#N/A</v>
      </c>
      <c r="T11" s="767" t="s">
        <v>17</v>
      </c>
      <c r="U11" s="768" t="e">
        <f t="shared" si="1"/>
        <v>#N/A</v>
      </c>
      <c r="V11" s="767" t="s">
        <v>17</v>
      </c>
      <c r="W11" s="768" t="e">
        <f t="shared" si="2"/>
        <v>#N/A</v>
      </c>
      <c r="X11" s="769"/>
      <c r="Y11" s="3098"/>
      <c r="Z11" s="54" t="str">
        <f t="shared" si="7"/>
        <v>容积率</v>
      </c>
      <c r="AA11" s="770" t="e">
        <f t="shared" si="3"/>
        <v>#N/A</v>
      </c>
      <c r="AB11" s="770" t="e">
        <f t="shared" si="4"/>
        <v>#N/A</v>
      </c>
      <c r="AC11" s="770" t="e">
        <f t="shared" si="5"/>
        <v>#N/A</v>
      </c>
    </row>
    <row r="12" spans="1:29" s="115" customFormat="1" ht="15">
      <c r="A12" s="428"/>
      <c r="B12" s="2580">
        <v>111</v>
      </c>
      <c r="C12" s="429"/>
      <c r="D12" s="430">
        <v>100</v>
      </c>
      <c r="E12" s="546"/>
      <c r="F12" s="134">
        <f>SUMIF(77:77,E12,78:78)-SUMIF(77:77,C12,78:78)+100</f>
        <v>100</v>
      </c>
      <c r="G12" s="671"/>
      <c r="H12" s="134">
        <f>SUMIF(77:77,G12,78:78)-SUMIF(77:77,C12,78:78)+100</f>
        <v>100</v>
      </c>
      <c r="I12" s="546"/>
      <c r="J12" s="134">
        <f>SUMIF(77:77,I12,78:78)-SUMIF(77:77,C12,78:78)+100</f>
        <v>100</v>
      </c>
      <c r="K12" s="669"/>
      <c r="L12" s="1121"/>
      <c r="M12" s="1122"/>
      <c r="N12" s="1122"/>
      <c r="O12" s="1123"/>
      <c r="P12" s="3247"/>
      <c r="Q12" s="1782">
        <f t="shared" si="6"/>
        <v>111</v>
      </c>
      <c r="R12" s="767" t="s">
        <v>17</v>
      </c>
      <c r="S12" s="768">
        <f t="shared" si="0"/>
        <v>100</v>
      </c>
      <c r="T12" s="767" t="s">
        <v>17</v>
      </c>
      <c r="U12" s="768">
        <f t="shared" si="1"/>
        <v>100</v>
      </c>
      <c r="V12" s="767" t="s">
        <v>17</v>
      </c>
      <c r="W12" s="768">
        <f t="shared" si="2"/>
        <v>100</v>
      </c>
      <c r="X12" s="769"/>
      <c r="Y12" s="3098"/>
      <c r="Z12" s="54">
        <f t="shared" si="7"/>
        <v>111</v>
      </c>
      <c r="AA12" s="770">
        <f>D12/F12</f>
        <v>1</v>
      </c>
      <c r="AB12" s="770">
        <f>D12/H12</f>
        <v>1</v>
      </c>
      <c r="AC12" s="770">
        <f>D12/J12</f>
        <v>1</v>
      </c>
    </row>
    <row r="13" spans="1:29" ht="15">
      <c r="A13" s="425"/>
      <c r="B13" s="2580">
        <v>111</v>
      </c>
      <c r="C13" s="431"/>
      <c r="D13" s="432">
        <v>100</v>
      </c>
      <c r="E13" s="546"/>
      <c r="F13" s="134">
        <f>SUMIF(79:79,E13,80:80)-SUMIF(79:79,C13,80:80)+100</f>
        <v>100</v>
      </c>
      <c r="G13" s="671"/>
      <c r="H13" s="432">
        <f>SUMIF(79:79,G13,80:80)-SUMIF(79:79,C13,80:80)+100</f>
        <v>100</v>
      </c>
      <c r="I13" s="546"/>
      <c r="J13" s="432">
        <f>SUMIF(79:79,I13,80:80)-SUMIF(79:79,C13,80:80)+100</f>
        <v>100</v>
      </c>
      <c r="K13" s="669"/>
      <c r="L13" s="1129"/>
      <c r="M13" s="1120"/>
      <c r="N13" s="1120"/>
      <c r="O13" s="1128"/>
      <c r="P13" s="3247"/>
      <c r="Q13" s="1782">
        <f t="shared" si="6"/>
        <v>111</v>
      </c>
      <c r="R13" s="767" t="s">
        <v>17</v>
      </c>
      <c r="S13" s="768">
        <f t="shared" si="0"/>
        <v>100</v>
      </c>
      <c r="T13" s="767" t="s">
        <v>17</v>
      </c>
      <c r="U13" s="768">
        <f t="shared" si="1"/>
        <v>100</v>
      </c>
      <c r="V13" s="767" t="s">
        <v>17</v>
      </c>
      <c r="W13" s="768">
        <f t="shared" si="2"/>
        <v>100</v>
      </c>
      <c r="X13" s="769"/>
      <c r="Y13" s="3098"/>
      <c r="Z13" s="54">
        <f t="shared" si="7"/>
        <v>111</v>
      </c>
      <c r="AA13" s="770">
        <f t="shared" si="3"/>
        <v>1</v>
      </c>
      <c r="AB13" s="770">
        <f t="shared" si="4"/>
        <v>1</v>
      </c>
      <c r="AC13" s="770">
        <f t="shared" si="5"/>
        <v>1</v>
      </c>
    </row>
    <row r="14" spans="1:29" ht="15.75" thickBot="1">
      <c r="A14" s="433"/>
      <c r="B14" s="2582">
        <v>111</v>
      </c>
      <c r="C14" s="434"/>
      <c r="D14" s="435">
        <v>100</v>
      </c>
      <c r="E14" s="546"/>
      <c r="F14" s="435">
        <f>SUMIF(81:81,E14,82:82)-SUMIF(81:81,C14,82:82)+100</f>
        <v>100</v>
      </c>
      <c r="G14" s="671"/>
      <c r="H14" s="435">
        <f>SUMIF(81:81,G14,82:82)-SUMIF(81:81,C14,82:82)+100</f>
        <v>100</v>
      </c>
      <c r="I14" s="546"/>
      <c r="J14" s="435">
        <f>SUMIF(81:81,I14,82:82)-SUMIF(81:81,C14,82:82)+100</f>
        <v>100</v>
      </c>
      <c r="K14" s="669"/>
      <c r="L14" s="1129"/>
      <c r="M14" s="1120"/>
      <c r="N14" s="1120"/>
      <c r="O14" s="1128"/>
      <c r="P14" s="3247"/>
      <c r="Q14" s="1782">
        <f t="shared" si="6"/>
        <v>111</v>
      </c>
      <c r="R14" s="767" t="s">
        <v>17</v>
      </c>
      <c r="S14" s="768">
        <f t="shared" si="0"/>
        <v>100</v>
      </c>
      <c r="T14" s="767" t="s">
        <v>17</v>
      </c>
      <c r="U14" s="768">
        <f t="shared" si="1"/>
        <v>100</v>
      </c>
      <c r="V14" s="767" t="s">
        <v>17</v>
      </c>
      <c r="W14" s="768">
        <f t="shared" si="2"/>
        <v>100</v>
      </c>
      <c r="X14" s="769"/>
      <c r="Y14" s="3098"/>
      <c r="Z14" s="54">
        <f t="shared" si="7"/>
        <v>111</v>
      </c>
      <c r="AA14" s="770">
        <f t="shared" si="3"/>
        <v>1</v>
      </c>
      <c r="AB14" s="770">
        <f t="shared" si="4"/>
        <v>1</v>
      </c>
      <c r="AC14" s="770">
        <f t="shared" si="5"/>
        <v>1</v>
      </c>
    </row>
    <row r="15" spans="1:29" ht="57">
      <c r="A15" s="437" t="s">
        <v>2542</v>
      </c>
      <c r="B15" s="626" t="s">
        <v>2781</v>
      </c>
      <c r="C15" s="2671"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29"/>
      <c r="M15" s="1120"/>
      <c r="N15" s="1120"/>
      <c r="O15" s="1128"/>
      <c r="P15" s="3249" t="s">
        <v>2543</v>
      </c>
      <c r="Q15" s="1797" t="str">
        <f t="shared" si="6"/>
        <v>产业集聚程度</v>
      </c>
      <c r="R15" s="771" t="s">
        <v>17</v>
      </c>
      <c r="S15" s="772">
        <f t="shared" si="0"/>
        <v>100</v>
      </c>
      <c r="T15" s="771" t="s">
        <v>17</v>
      </c>
      <c r="U15" s="772">
        <f t="shared" si="1"/>
        <v>100</v>
      </c>
      <c r="V15" s="771" t="s">
        <v>17</v>
      </c>
      <c r="W15" s="772">
        <f t="shared" si="2"/>
        <v>100</v>
      </c>
      <c r="X15" s="1800"/>
      <c r="Y15" s="3249" t="s">
        <v>2543</v>
      </c>
      <c r="Z15" s="1801" t="str">
        <f t="shared" si="7"/>
        <v>产业集聚程度</v>
      </c>
      <c r="AA15" s="1798">
        <f t="shared" si="3"/>
        <v>1</v>
      </c>
      <c r="AB15" s="1798">
        <f t="shared" si="4"/>
        <v>1</v>
      </c>
      <c r="AC15" s="1798">
        <f t="shared" si="5"/>
        <v>1</v>
      </c>
    </row>
    <row r="16" spans="1:29" ht="15">
      <c r="A16" s="425"/>
      <c r="B16" s="627"/>
      <c r="C16" s="444"/>
      <c r="D16" s="445"/>
      <c r="E16" s="2591"/>
      <c r="F16" s="445"/>
      <c r="G16" s="2591"/>
      <c r="H16" s="447"/>
      <c r="I16" s="2591"/>
      <c r="J16" s="445"/>
      <c r="K16" s="669"/>
      <c r="L16" s="1129"/>
      <c r="M16" s="1120"/>
      <c r="N16" s="1120"/>
      <c r="O16" s="1128"/>
      <c r="P16" s="3250"/>
      <c r="Q16" s="1797"/>
      <c r="R16" s="771"/>
      <c r="S16" s="772"/>
      <c r="T16" s="771"/>
      <c r="U16" s="772"/>
      <c r="V16" s="771"/>
      <c r="W16" s="772"/>
      <c r="X16" s="1800"/>
      <c r="Y16" s="3250"/>
      <c r="Z16" s="1801"/>
      <c r="AA16" s="1798">
        <v>1</v>
      </c>
      <c r="AB16" s="1798">
        <v>1</v>
      </c>
      <c r="AC16" s="1798">
        <v>1</v>
      </c>
    </row>
    <row r="17" spans="1:29" ht="85.5">
      <c r="A17" s="425"/>
      <c r="B17" s="628" t="s">
        <v>2692</v>
      </c>
      <c r="C17" s="2587"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29"/>
      <c r="M17" s="1120"/>
      <c r="N17" s="1120"/>
      <c r="O17" s="1128"/>
      <c r="P17" s="3250"/>
      <c r="Q17" s="1797" t="str">
        <f>B17</f>
        <v>交通便捷度</v>
      </c>
      <c r="R17" s="771" t="s">
        <v>17</v>
      </c>
      <c r="S17" s="772">
        <f>F17</f>
        <v>100</v>
      </c>
      <c r="T17" s="771" t="s">
        <v>17</v>
      </c>
      <c r="U17" s="772">
        <f>H17</f>
        <v>100</v>
      </c>
      <c r="V17" s="771" t="s">
        <v>17</v>
      </c>
      <c r="W17" s="772">
        <f>J17</f>
        <v>100</v>
      </c>
      <c r="X17" s="1800"/>
      <c r="Y17" s="3250"/>
      <c r="Z17" s="1801" t="str">
        <f>Q17</f>
        <v>交通便捷度</v>
      </c>
      <c r="AA17" s="1798">
        <f t="shared" si="3"/>
        <v>1</v>
      </c>
      <c r="AB17" s="1798">
        <f t="shared" si="4"/>
        <v>1</v>
      </c>
      <c r="AC17" s="1798">
        <f t="shared" si="5"/>
        <v>1</v>
      </c>
    </row>
    <row r="18" spans="1:29" ht="15">
      <c r="A18" s="425"/>
      <c r="B18" s="629"/>
      <c r="C18" s="444"/>
      <c r="D18" s="445"/>
      <c r="E18" s="2585"/>
      <c r="F18" s="445"/>
      <c r="G18" s="2585"/>
      <c r="H18" s="445"/>
      <c r="I18" s="2584"/>
      <c r="J18" s="445"/>
      <c r="K18" s="669"/>
      <c r="L18" s="1129"/>
      <c r="M18" s="1120"/>
      <c r="N18" s="1120"/>
      <c r="O18" s="1128"/>
      <c r="P18" s="3250"/>
      <c r="Q18" s="1797"/>
      <c r="R18" s="771"/>
      <c r="S18" s="772"/>
      <c r="T18" s="771"/>
      <c r="U18" s="772"/>
      <c r="V18" s="771"/>
      <c r="W18" s="772"/>
      <c r="X18" s="1800"/>
      <c r="Y18" s="3250"/>
      <c r="Z18" s="1801"/>
      <c r="AA18" s="1798">
        <v>1</v>
      </c>
      <c r="AB18" s="1798">
        <v>1</v>
      </c>
      <c r="AC18" s="1798">
        <v>1</v>
      </c>
    </row>
    <row r="19" spans="1:29" ht="15">
      <c r="A19" s="425"/>
      <c r="B19" s="628" t="s">
        <v>2731</v>
      </c>
      <c r="C19" s="2587">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29"/>
      <c r="M19" s="1120"/>
      <c r="N19" s="1120"/>
      <c r="O19" s="1128"/>
      <c r="P19" s="3250"/>
      <c r="Q19" s="1797" t="str">
        <f t="shared" ref="Q19:Q33" si="8">B19</f>
        <v>区域土地利用方向</v>
      </c>
      <c r="R19" s="771" t="s">
        <v>17</v>
      </c>
      <c r="S19" s="772">
        <f>F19</f>
        <v>100</v>
      </c>
      <c r="T19" s="771" t="s">
        <v>17</v>
      </c>
      <c r="U19" s="772">
        <f>H19</f>
        <v>100</v>
      </c>
      <c r="V19" s="771" t="s">
        <v>17</v>
      </c>
      <c r="W19" s="772">
        <f>J19</f>
        <v>100</v>
      </c>
      <c r="X19" s="1800"/>
      <c r="Y19" s="3250"/>
      <c r="Z19" s="1801" t="str">
        <f>Q19</f>
        <v>区域土地利用方向</v>
      </c>
      <c r="AA19" s="1798">
        <f t="shared" si="3"/>
        <v>1</v>
      </c>
      <c r="AB19" s="1798">
        <f t="shared" si="4"/>
        <v>1</v>
      </c>
      <c r="AC19" s="1798">
        <f t="shared" si="5"/>
        <v>1</v>
      </c>
    </row>
    <row r="20" spans="1:29" ht="15">
      <c r="A20" s="402"/>
      <c r="B20" s="629"/>
      <c r="C20" s="444"/>
      <c r="D20" s="445"/>
      <c r="E20" s="2585"/>
      <c r="F20" s="445"/>
      <c r="G20" s="2585"/>
      <c r="H20" s="445"/>
      <c r="I20" s="2585"/>
      <c r="J20" s="445"/>
      <c r="K20" s="802"/>
      <c r="L20" s="1129"/>
      <c r="M20" s="1120"/>
      <c r="N20" s="1120"/>
      <c r="O20" s="1128"/>
      <c r="P20" s="3250"/>
      <c r="Q20" s="1797"/>
      <c r="R20" s="771"/>
      <c r="S20" s="772"/>
      <c r="T20" s="771"/>
      <c r="U20" s="772"/>
      <c r="V20" s="771"/>
      <c r="W20" s="772"/>
      <c r="X20" s="1800"/>
      <c r="Y20" s="3250"/>
      <c r="Z20" s="1801"/>
      <c r="AA20" s="1798"/>
      <c r="AB20" s="1798"/>
      <c r="AC20" s="1798"/>
    </row>
    <row r="21" spans="1:29" ht="71.25">
      <c r="A21" s="402"/>
      <c r="B21" s="628" t="s">
        <v>2782</v>
      </c>
      <c r="C21" s="2587"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29"/>
      <c r="M21" s="1120"/>
      <c r="N21" s="1120"/>
      <c r="O21" s="1128"/>
      <c r="P21" s="3250"/>
      <c r="Q21" s="1797" t="str">
        <f t="shared" si="8"/>
        <v>环境状况</v>
      </c>
      <c r="R21" s="771" t="s">
        <v>17</v>
      </c>
      <c r="S21" s="772">
        <f>F21</f>
        <v>100</v>
      </c>
      <c r="T21" s="771" t="s">
        <v>17</v>
      </c>
      <c r="U21" s="772">
        <f>H21</f>
        <v>100</v>
      </c>
      <c r="V21" s="771" t="s">
        <v>17</v>
      </c>
      <c r="W21" s="772">
        <f>J21</f>
        <v>100</v>
      </c>
      <c r="X21" s="1800"/>
      <c r="Y21" s="3250"/>
      <c r="Z21" s="1801" t="str">
        <f>Q21</f>
        <v>环境状况</v>
      </c>
      <c r="AA21" s="1798">
        <f t="shared" si="3"/>
        <v>1</v>
      </c>
      <c r="AB21" s="1798">
        <f t="shared" si="4"/>
        <v>1</v>
      </c>
      <c r="AC21" s="1798">
        <f t="shared" si="5"/>
        <v>1</v>
      </c>
    </row>
    <row r="22" spans="1:29" ht="15">
      <c r="A22" s="402"/>
      <c r="B22" s="629"/>
      <c r="C22" s="444"/>
      <c r="D22" s="445"/>
      <c r="E22" s="2591"/>
      <c r="F22" s="445"/>
      <c r="G22" s="2591"/>
      <c r="H22" s="445"/>
      <c r="I22" s="444"/>
      <c r="J22" s="445"/>
      <c r="K22" s="669"/>
      <c r="L22" s="1129"/>
      <c r="M22" s="1120"/>
      <c r="N22" s="1120"/>
      <c r="O22" s="1128"/>
      <c r="P22" s="3250"/>
      <c r="Q22" s="1797"/>
      <c r="R22" s="771"/>
      <c r="S22" s="772"/>
      <c r="T22" s="771"/>
      <c r="U22" s="772"/>
      <c r="V22" s="771"/>
      <c r="W22" s="772"/>
      <c r="X22" s="1800"/>
      <c r="Y22" s="3250"/>
      <c r="Z22" s="1801"/>
      <c r="AA22" s="1798">
        <v>1</v>
      </c>
      <c r="AB22" s="1798">
        <v>1</v>
      </c>
      <c r="AC22" s="1798">
        <v>1</v>
      </c>
    </row>
    <row r="23" spans="1:29" s="115" customFormat="1" ht="42.75">
      <c r="A23" s="646"/>
      <c r="B23" s="630" t="s">
        <v>2637</v>
      </c>
      <c r="C23" s="2587"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1"/>
      <c r="M23" s="1122"/>
      <c r="N23" s="1122"/>
      <c r="O23" s="1123"/>
      <c r="P23" s="3250"/>
      <c r="Q23" s="1782" t="str">
        <f t="shared" si="8"/>
        <v>公共配套设施</v>
      </c>
      <c r="R23" s="767" t="s">
        <v>17</v>
      </c>
      <c r="S23" s="768">
        <f>F23</f>
        <v>100</v>
      </c>
      <c r="T23" s="767" t="s">
        <v>17</v>
      </c>
      <c r="U23" s="768">
        <f>H23</f>
        <v>100</v>
      </c>
      <c r="V23" s="767" t="s">
        <v>17</v>
      </c>
      <c r="W23" s="768">
        <f>J23</f>
        <v>100</v>
      </c>
      <c r="X23" s="769"/>
      <c r="Y23" s="3250"/>
      <c r="Z23" s="54" t="str">
        <f>Q23</f>
        <v>公共配套设施</v>
      </c>
      <c r="AA23" s="1798">
        <f>D23/F23</f>
        <v>1</v>
      </c>
      <c r="AB23" s="1798">
        <f>D23/H23</f>
        <v>1</v>
      </c>
      <c r="AC23" s="1798">
        <f>D23/J23</f>
        <v>1</v>
      </c>
    </row>
    <row r="24" spans="1:29" s="115" customFormat="1" ht="15">
      <c r="A24" s="646"/>
      <c r="B24" s="629"/>
      <c r="C24" s="2678"/>
      <c r="D24" s="445"/>
      <c r="E24" s="2591"/>
      <c r="F24" s="445"/>
      <c r="G24" s="2591"/>
      <c r="H24" s="445"/>
      <c r="I24" s="444"/>
      <c r="J24" s="445"/>
      <c r="K24" s="669"/>
      <c r="L24" s="1121"/>
      <c r="M24" s="1122"/>
      <c r="N24" s="1122"/>
      <c r="O24" s="1123"/>
      <c r="P24" s="3250"/>
      <c r="Q24" s="1782"/>
      <c r="R24" s="767"/>
      <c r="S24" s="768"/>
      <c r="T24" s="767"/>
      <c r="U24" s="768"/>
      <c r="V24" s="767"/>
      <c r="W24" s="768"/>
      <c r="X24" s="769"/>
      <c r="Y24" s="3250"/>
      <c r="Z24" s="54"/>
      <c r="AA24" s="770">
        <v>1</v>
      </c>
      <c r="AB24" s="770">
        <v>1</v>
      </c>
      <c r="AC24" s="770">
        <v>1</v>
      </c>
    </row>
    <row r="25" spans="1:29" s="115" customFormat="1" ht="28.5">
      <c r="A25" s="646"/>
      <c r="B25" s="630" t="s">
        <v>2638</v>
      </c>
      <c r="C25" s="2587"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1"/>
      <c r="M25" s="1122"/>
      <c r="N25" s="1122"/>
      <c r="O25" s="1123"/>
      <c r="P25" s="3250"/>
      <c r="Q25" s="1782" t="str">
        <f t="shared" ref="Q25" si="9">B25</f>
        <v>基础设施水平</v>
      </c>
      <c r="R25" s="767" t="s">
        <v>17</v>
      </c>
      <c r="S25" s="768">
        <f>F25</f>
        <v>100</v>
      </c>
      <c r="T25" s="767" t="s">
        <v>17</v>
      </c>
      <c r="U25" s="768">
        <f>H25</f>
        <v>100</v>
      </c>
      <c r="V25" s="767" t="s">
        <v>17</v>
      </c>
      <c r="W25" s="768">
        <f>J25</f>
        <v>100</v>
      </c>
      <c r="X25" s="769"/>
      <c r="Y25" s="3250"/>
      <c r="Z25" s="54" t="str">
        <f>Q25</f>
        <v>基础设施水平</v>
      </c>
      <c r="AA25" s="1798">
        <f>D25/F25</f>
        <v>1</v>
      </c>
      <c r="AB25" s="1798">
        <f>D25/H25</f>
        <v>1</v>
      </c>
      <c r="AC25" s="1798">
        <f>D25/J25</f>
        <v>1</v>
      </c>
    </row>
    <row r="26" spans="1:29" s="115" customFormat="1" ht="15">
      <c r="A26" s="646"/>
      <c r="B26" s="629"/>
      <c r="C26" s="2678"/>
      <c r="D26" s="445"/>
      <c r="E26" s="2679"/>
      <c r="F26" s="445"/>
      <c r="G26" s="2679"/>
      <c r="H26" s="445"/>
      <c r="I26" s="2679"/>
      <c r="J26" s="445"/>
      <c r="K26" s="669"/>
      <c r="L26" s="1121"/>
      <c r="M26" s="1122"/>
      <c r="N26" s="1122"/>
      <c r="O26" s="1123"/>
      <c r="P26" s="3250"/>
      <c r="Q26" s="1782"/>
      <c r="R26" s="767"/>
      <c r="S26" s="768"/>
      <c r="T26" s="767"/>
      <c r="U26" s="768"/>
      <c r="V26" s="767"/>
      <c r="W26" s="768"/>
      <c r="X26" s="769"/>
      <c r="Y26" s="3250"/>
      <c r="Z26" s="54"/>
      <c r="AA26" s="770">
        <v>1</v>
      </c>
      <c r="AB26" s="770">
        <v>1</v>
      </c>
      <c r="AC26" s="770">
        <v>1</v>
      </c>
    </row>
    <row r="27" spans="1:29" ht="15">
      <c r="A27" s="425"/>
      <c r="B27" s="629" t="s">
        <v>2639</v>
      </c>
      <c r="C27" s="613"/>
      <c r="D27" s="432">
        <v>100</v>
      </c>
      <c r="E27" s="631"/>
      <c r="F27" s="432">
        <f>SUMIF(95:95,E27,96:96)-SUMIF(95:95,C27,96:96)+100</f>
        <v>100</v>
      </c>
      <c r="G27" s="631"/>
      <c r="H27" s="432">
        <f>SUMIF(95:95,G27,96:96)-SUMIF(95:95,C27,96:96)+100</f>
        <v>100</v>
      </c>
      <c r="I27" s="631"/>
      <c r="J27" s="432">
        <f>SUMIF(95:95,I27,96:96)-SUMIF(95:95,C27,96:96)+100</f>
        <v>100</v>
      </c>
      <c r="K27" s="670"/>
      <c r="L27" s="1129"/>
      <c r="M27" s="1120"/>
      <c r="N27" s="1120"/>
      <c r="O27" s="1128"/>
      <c r="P27" s="3250"/>
      <c r="Q27" s="1797" t="str">
        <f t="shared" si="8"/>
        <v>临街状况</v>
      </c>
      <c r="R27" s="771" t="s">
        <v>17</v>
      </c>
      <c r="S27" s="772">
        <f t="shared" ref="S27:S40" si="10">F27</f>
        <v>100</v>
      </c>
      <c r="T27" s="771" t="s">
        <v>17</v>
      </c>
      <c r="U27" s="772">
        <f t="shared" ref="U27:U40" si="11">H27</f>
        <v>100</v>
      </c>
      <c r="V27" s="771" t="s">
        <v>17</v>
      </c>
      <c r="W27" s="772">
        <f t="shared" ref="W27:W40" si="12">J27</f>
        <v>100</v>
      </c>
      <c r="X27" s="1800"/>
      <c r="Y27" s="3250"/>
      <c r="Z27" s="1801" t="str">
        <f t="shared" ref="Z27:Z40" si="13">Q27</f>
        <v>临街状况</v>
      </c>
      <c r="AA27" s="1798">
        <f t="shared" si="3"/>
        <v>1</v>
      </c>
      <c r="AB27" s="1798">
        <f t="shared" si="4"/>
        <v>1</v>
      </c>
      <c r="AC27" s="1798">
        <f t="shared" si="5"/>
        <v>1</v>
      </c>
    </row>
    <row r="28" spans="1:29" ht="27">
      <c r="A28" s="425"/>
      <c r="B28" s="630" t="s">
        <v>2674</v>
      </c>
      <c r="C28" s="2691">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29"/>
      <c r="M28" s="1120"/>
      <c r="N28" s="1120"/>
      <c r="O28" s="1128"/>
      <c r="P28" s="3250"/>
      <c r="Q28" s="1797" t="str">
        <f t="shared" si="8"/>
        <v>毗邻道路的类型与等级</v>
      </c>
      <c r="R28" s="771" t="s">
        <v>17</v>
      </c>
      <c r="S28" s="772">
        <f t="shared" si="10"/>
        <v>100</v>
      </c>
      <c r="T28" s="771" t="s">
        <v>17</v>
      </c>
      <c r="U28" s="772">
        <f t="shared" si="11"/>
        <v>100</v>
      </c>
      <c r="V28" s="771" t="s">
        <v>17</v>
      </c>
      <c r="W28" s="772">
        <f t="shared" si="12"/>
        <v>100</v>
      </c>
      <c r="X28" s="1800"/>
      <c r="Y28" s="3250"/>
      <c r="Z28" s="1801" t="str">
        <f t="shared" si="13"/>
        <v>毗邻道路的类型与等级</v>
      </c>
      <c r="AA28" s="1798">
        <f t="shared" si="3"/>
        <v>1</v>
      </c>
      <c r="AB28" s="1798">
        <f t="shared" si="4"/>
        <v>1</v>
      </c>
      <c r="AC28" s="1798">
        <f t="shared" si="5"/>
        <v>1</v>
      </c>
    </row>
    <row r="29" spans="1:29" ht="15">
      <c r="A29" s="425"/>
      <c r="B29" s="629"/>
      <c r="C29" s="444"/>
      <c r="D29" s="445"/>
      <c r="E29" s="2591"/>
      <c r="F29" s="445"/>
      <c r="G29" s="2591"/>
      <c r="H29" s="445"/>
      <c r="I29" s="2591"/>
      <c r="J29" s="445"/>
      <c r="K29" s="610"/>
      <c r="L29" s="1129"/>
      <c r="M29" s="1120"/>
      <c r="N29" s="1120"/>
      <c r="O29" s="1128"/>
      <c r="P29" s="3250"/>
      <c r="Q29" s="1797"/>
      <c r="R29" s="771"/>
      <c r="S29" s="772"/>
      <c r="T29" s="771"/>
      <c r="U29" s="772"/>
      <c r="V29" s="771"/>
      <c r="W29" s="772"/>
      <c r="X29" s="1800"/>
      <c r="Y29" s="3250"/>
      <c r="Z29" s="1801"/>
      <c r="AA29" s="1798">
        <v>1</v>
      </c>
      <c r="AB29" s="1798">
        <v>1</v>
      </c>
      <c r="AC29" s="1798">
        <v>1</v>
      </c>
    </row>
    <row r="30" spans="1:29" ht="15">
      <c r="A30" s="425"/>
      <c r="B30" s="651" t="s">
        <v>2733</v>
      </c>
      <c r="C30" s="1378">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29"/>
      <c r="M30" s="1120"/>
      <c r="N30" s="1120"/>
      <c r="O30" s="1128"/>
      <c r="P30" s="3250"/>
      <c r="Q30" s="1797" t="str">
        <f t="shared" si="8"/>
        <v>土地级别</v>
      </c>
      <c r="R30" s="771" t="s">
        <v>17</v>
      </c>
      <c r="S30" s="772">
        <f t="shared" si="10"/>
        <v>100</v>
      </c>
      <c r="T30" s="771" t="s">
        <v>17</v>
      </c>
      <c r="U30" s="772">
        <f t="shared" si="11"/>
        <v>100</v>
      </c>
      <c r="V30" s="771" t="s">
        <v>17</v>
      </c>
      <c r="W30" s="772">
        <f t="shared" si="12"/>
        <v>100</v>
      </c>
      <c r="X30" s="1800"/>
      <c r="Y30" s="3250"/>
      <c r="Z30" s="1801" t="str">
        <f t="shared" si="13"/>
        <v>土地级别</v>
      </c>
      <c r="AA30" s="1798">
        <f t="shared" si="3"/>
        <v>1</v>
      </c>
      <c r="AB30" s="1798">
        <f t="shared" si="4"/>
        <v>1</v>
      </c>
      <c r="AC30" s="1798">
        <f t="shared" si="5"/>
        <v>1</v>
      </c>
    </row>
    <row r="31" spans="1:29" ht="15">
      <c r="A31" s="402"/>
      <c r="B31" s="2656">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29"/>
      <c r="M31" s="1120"/>
      <c r="N31" s="1120"/>
      <c r="O31" s="1128"/>
      <c r="P31" s="3250"/>
      <c r="Q31" s="1797">
        <f t="shared" si="8"/>
        <v>111</v>
      </c>
      <c r="R31" s="771" t="s">
        <v>17</v>
      </c>
      <c r="S31" s="772">
        <f t="shared" si="10"/>
        <v>100</v>
      </c>
      <c r="T31" s="771" t="s">
        <v>17</v>
      </c>
      <c r="U31" s="772">
        <f t="shared" si="11"/>
        <v>100</v>
      </c>
      <c r="V31" s="771" t="s">
        <v>17</v>
      </c>
      <c r="W31" s="772">
        <f t="shared" si="12"/>
        <v>100</v>
      </c>
      <c r="X31" s="1800"/>
      <c r="Y31" s="3250"/>
      <c r="Z31" s="1801">
        <f t="shared" si="13"/>
        <v>111</v>
      </c>
      <c r="AA31" s="1798">
        <f t="shared" si="3"/>
        <v>1</v>
      </c>
      <c r="AB31" s="1798">
        <f t="shared" si="4"/>
        <v>1</v>
      </c>
      <c r="AC31" s="1798">
        <f t="shared" si="5"/>
        <v>1</v>
      </c>
    </row>
    <row r="32" spans="1:29" ht="15">
      <c r="A32" s="672"/>
      <c r="B32" s="2692">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29"/>
      <c r="M32" s="1120"/>
      <c r="N32" s="1120"/>
      <c r="O32" s="1128"/>
      <c r="P32" s="3251" t="s">
        <v>2548</v>
      </c>
      <c r="Q32" s="1797">
        <f t="shared" si="8"/>
        <v>111</v>
      </c>
      <c r="R32" s="771" t="s">
        <v>17</v>
      </c>
      <c r="S32" s="772">
        <f t="shared" si="10"/>
        <v>100</v>
      </c>
      <c r="T32" s="771" t="s">
        <v>17</v>
      </c>
      <c r="U32" s="772">
        <f t="shared" si="11"/>
        <v>100</v>
      </c>
      <c r="V32" s="771" t="s">
        <v>17</v>
      </c>
      <c r="W32" s="772">
        <f t="shared" si="12"/>
        <v>100</v>
      </c>
      <c r="X32" s="1800"/>
      <c r="Y32" s="3252" t="s">
        <v>2548</v>
      </c>
      <c r="Z32" s="1801">
        <f t="shared" si="13"/>
        <v>111</v>
      </c>
      <c r="AA32" s="1798">
        <f t="shared" si="3"/>
        <v>1</v>
      </c>
      <c r="AB32" s="1798">
        <f t="shared" si="4"/>
        <v>1</v>
      </c>
      <c r="AC32" s="1798">
        <f t="shared" si="5"/>
        <v>1</v>
      </c>
    </row>
    <row r="33" spans="1:29" s="468" customFormat="1" ht="15.75" thickBot="1">
      <c r="A33" s="673"/>
      <c r="B33" s="2693">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27"/>
      <c r="M33" s="1130"/>
      <c r="N33" s="1130"/>
      <c r="O33" s="1131"/>
      <c r="P33" s="3252"/>
      <c r="Q33" s="1797">
        <f t="shared" si="8"/>
        <v>111</v>
      </c>
      <c r="R33" s="774" t="s">
        <v>17</v>
      </c>
      <c r="S33" s="775">
        <f t="shared" si="10"/>
        <v>100</v>
      </c>
      <c r="T33" s="774" t="s">
        <v>17</v>
      </c>
      <c r="U33" s="775">
        <f t="shared" si="11"/>
        <v>100</v>
      </c>
      <c r="V33" s="774" t="s">
        <v>17</v>
      </c>
      <c r="W33" s="775">
        <f t="shared" si="12"/>
        <v>100</v>
      </c>
      <c r="X33" s="776"/>
      <c r="Y33" s="3252"/>
      <c r="Z33" s="777">
        <f t="shared" si="13"/>
        <v>111</v>
      </c>
      <c r="AA33" s="1798">
        <f t="shared" si="3"/>
        <v>1</v>
      </c>
      <c r="AB33" s="1798">
        <f t="shared" si="4"/>
        <v>1</v>
      </c>
      <c r="AC33" s="1798">
        <f t="shared" si="5"/>
        <v>1</v>
      </c>
    </row>
    <row r="34" spans="1:29" ht="15">
      <c r="A34" s="437" t="s">
        <v>2546</v>
      </c>
      <c r="B34" s="453" t="s">
        <v>2734</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29"/>
      <c r="M34" s="1120"/>
      <c r="N34" s="1120"/>
      <c r="O34" s="1128"/>
      <c r="P34" s="3252"/>
      <c r="Q34" s="1797" t="str">
        <f>B34</f>
        <v>宗地面积</v>
      </c>
      <c r="R34" s="771" t="s">
        <v>17</v>
      </c>
      <c r="S34" s="772" t="e">
        <f t="shared" si="10"/>
        <v>#N/A</v>
      </c>
      <c r="T34" s="771" t="s">
        <v>17</v>
      </c>
      <c r="U34" s="772" t="e">
        <f t="shared" si="11"/>
        <v>#N/A</v>
      </c>
      <c r="V34" s="771" t="s">
        <v>17</v>
      </c>
      <c r="W34" s="772" t="e">
        <f t="shared" si="12"/>
        <v>#N/A</v>
      </c>
      <c r="X34" s="1800"/>
      <c r="Y34" s="3252"/>
      <c r="Z34" s="1801" t="str">
        <f t="shared" si="13"/>
        <v>宗地面积</v>
      </c>
      <c r="AA34" s="1798" t="e">
        <f t="shared" si="3"/>
        <v>#N/A</v>
      </c>
      <c r="AB34" s="1798" t="e">
        <f t="shared" si="4"/>
        <v>#N/A</v>
      </c>
      <c r="AC34" s="1798" t="e">
        <f t="shared" si="5"/>
        <v>#N/A</v>
      </c>
    </row>
    <row r="35" spans="1:29" ht="15">
      <c r="A35" s="469"/>
      <c r="B35" s="419" t="s">
        <v>2735</v>
      </c>
      <c r="C35" s="2593"/>
      <c r="D35" s="432">
        <v>100</v>
      </c>
      <c r="E35" s="2593"/>
      <c r="F35" s="432">
        <f>SUMIF(110:110,E35,111:111)-SUMIF(110:110,C35,111:111)+100</f>
        <v>100</v>
      </c>
      <c r="G35" s="2593"/>
      <c r="H35" s="432">
        <f>SUMIF(110:110,G35,111:111)-SUMIF(110:110,C35,111:111)+100</f>
        <v>100</v>
      </c>
      <c r="I35" s="2593"/>
      <c r="J35" s="432">
        <f>SUMIF(110:110,I35,111:111)-SUMIF(110:110,C35,111:111)+100</f>
        <v>100</v>
      </c>
      <c r="K35" s="609"/>
      <c r="L35" s="1129"/>
      <c r="M35" s="1120"/>
      <c r="N35" s="1120"/>
      <c r="O35" s="1128"/>
      <c r="P35" s="3252"/>
      <c r="Q35" s="1797" t="str">
        <f t="shared" ref="Q35:Q40" si="14">B35</f>
        <v>宗地形状</v>
      </c>
      <c r="R35" s="771" t="s">
        <v>17</v>
      </c>
      <c r="S35" s="772">
        <f t="shared" si="10"/>
        <v>100</v>
      </c>
      <c r="T35" s="771" t="s">
        <v>17</v>
      </c>
      <c r="U35" s="772">
        <f t="shared" si="11"/>
        <v>100</v>
      </c>
      <c r="V35" s="771" t="s">
        <v>17</v>
      </c>
      <c r="W35" s="772">
        <f t="shared" si="12"/>
        <v>100</v>
      </c>
      <c r="X35" s="1800"/>
      <c r="Y35" s="3252"/>
      <c r="Z35" s="1801" t="str">
        <f t="shared" si="13"/>
        <v>宗地形状</v>
      </c>
      <c r="AA35" s="1798">
        <f t="shared" si="3"/>
        <v>1</v>
      </c>
      <c r="AB35" s="1798">
        <f t="shared" si="4"/>
        <v>1</v>
      </c>
      <c r="AC35" s="1798">
        <f t="shared" si="5"/>
        <v>1</v>
      </c>
    </row>
    <row r="36" spans="1:29" s="115" customFormat="1" ht="15">
      <c r="A36" s="470"/>
      <c r="B36" s="419" t="s">
        <v>2737</v>
      </c>
      <c r="C36" s="2680"/>
      <c r="D36" s="134">
        <v>100</v>
      </c>
      <c r="E36" s="2680"/>
      <c r="F36" s="432">
        <f>SUMIF(112:112,E36,113:113)-SUMIF(112:112,C36,113:113)+100</f>
        <v>100</v>
      </c>
      <c r="G36" s="2680"/>
      <c r="H36" s="432">
        <f>SUMIF(112:112,G36,113:113)-SUMIF(112:112,C36,113:113)+100</f>
        <v>100</v>
      </c>
      <c r="I36" s="2680"/>
      <c r="J36" s="432">
        <f>SUMIF(112:112,I36,113:113)-SUMIF(112:112,C36,113:113)+100</f>
        <v>100</v>
      </c>
      <c r="K36" s="609"/>
      <c r="L36" s="1121"/>
      <c r="M36" s="1122"/>
      <c r="N36" s="1122"/>
      <c r="O36" s="1123"/>
      <c r="P36" s="3252"/>
      <c r="Q36" s="1797" t="str">
        <f t="shared" si="14"/>
        <v>宗地开发程度</v>
      </c>
      <c r="R36" s="767" t="s">
        <v>17</v>
      </c>
      <c r="S36" s="768">
        <f t="shared" si="10"/>
        <v>100</v>
      </c>
      <c r="T36" s="767" t="s">
        <v>17</v>
      </c>
      <c r="U36" s="768">
        <f t="shared" si="11"/>
        <v>100</v>
      </c>
      <c r="V36" s="767" t="s">
        <v>17</v>
      </c>
      <c r="W36" s="768">
        <f t="shared" si="12"/>
        <v>100</v>
      </c>
      <c r="X36" s="769"/>
      <c r="Y36" s="3252"/>
      <c r="Z36" s="54" t="str">
        <f t="shared" si="13"/>
        <v>宗地开发程度</v>
      </c>
      <c r="AA36" s="770">
        <f t="shared" si="3"/>
        <v>1</v>
      </c>
      <c r="AB36" s="770">
        <f t="shared" si="4"/>
        <v>1</v>
      </c>
      <c r="AC36" s="770">
        <f t="shared" si="5"/>
        <v>1</v>
      </c>
    </row>
    <row r="37" spans="1:29" ht="15">
      <c r="A37" s="469"/>
      <c r="B37" s="419" t="s">
        <v>2738</v>
      </c>
      <c r="C37" s="2593"/>
      <c r="D37" s="432">
        <v>100</v>
      </c>
      <c r="E37" s="2593"/>
      <c r="F37" s="432">
        <f>SUMIF(114:114,E37,115:115)-SUMIF(114:114,C37,115:115)+100</f>
        <v>100</v>
      </c>
      <c r="G37" s="2593"/>
      <c r="H37" s="432">
        <f>SUMIF(114:114,G37,115:115)-SUMIF(114:114,C37,115:115)+100</f>
        <v>100</v>
      </c>
      <c r="I37" s="2593"/>
      <c r="J37" s="432">
        <f>SUMIF(114:114,I37,115:115)-SUMIF(114:114,C37,115:115)+100</f>
        <v>100</v>
      </c>
      <c r="K37" s="609"/>
      <c r="L37" s="1129"/>
      <c r="M37" s="1120"/>
      <c r="N37" s="1120"/>
      <c r="O37" s="1128"/>
      <c r="P37" s="3252" t="s">
        <v>2548</v>
      </c>
      <c r="Q37" s="1797" t="str">
        <f t="shared" si="14"/>
        <v>工程地质条件</v>
      </c>
      <c r="R37" s="771" t="s">
        <v>17</v>
      </c>
      <c r="S37" s="772">
        <f t="shared" si="10"/>
        <v>100</v>
      </c>
      <c r="T37" s="771" t="s">
        <v>17</v>
      </c>
      <c r="U37" s="772">
        <f t="shared" si="11"/>
        <v>100</v>
      </c>
      <c r="V37" s="771" t="s">
        <v>17</v>
      </c>
      <c r="W37" s="772">
        <f t="shared" si="12"/>
        <v>100</v>
      </c>
      <c r="X37" s="1800"/>
      <c r="Y37" s="3252" t="s">
        <v>2548</v>
      </c>
      <c r="Z37" s="1801" t="str">
        <f t="shared" si="13"/>
        <v>工程地质条件</v>
      </c>
      <c r="AA37" s="1798">
        <f t="shared" si="3"/>
        <v>1</v>
      </c>
      <c r="AB37" s="1798">
        <f t="shared" si="4"/>
        <v>1</v>
      </c>
      <c r="AC37" s="1798">
        <f t="shared" si="5"/>
        <v>1</v>
      </c>
    </row>
    <row r="38" spans="1:29" ht="15">
      <c r="A38" s="469"/>
      <c r="B38" s="1376">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29"/>
      <c r="M38" s="1120"/>
      <c r="N38" s="1120"/>
      <c r="O38" s="1128"/>
      <c r="P38" s="3252"/>
      <c r="Q38" s="1797">
        <f t="shared" si="14"/>
        <v>111</v>
      </c>
      <c r="R38" s="771" t="s">
        <v>17</v>
      </c>
      <c r="S38" s="772">
        <f t="shared" si="10"/>
        <v>100</v>
      </c>
      <c r="T38" s="771" t="s">
        <v>17</v>
      </c>
      <c r="U38" s="772">
        <f t="shared" si="11"/>
        <v>100</v>
      </c>
      <c r="V38" s="771" t="s">
        <v>17</v>
      </c>
      <c r="W38" s="772">
        <f t="shared" si="12"/>
        <v>100</v>
      </c>
      <c r="X38" s="1800"/>
      <c r="Y38" s="3252"/>
      <c r="Z38" s="1801">
        <f t="shared" si="13"/>
        <v>111</v>
      </c>
      <c r="AA38" s="1798">
        <f t="shared" si="3"/>
        <v>1</v>
      </c>
      <c r="AB38" s="1798">
        <f t="shared" si="4"/>
        <v>1</v>
      </c>
      <c r="AC38" s="1798">
        <f t="shared" si="5"/>
        <v>1</v>
      </c>
    </row>
    <row r="39" spans="1:29" ht="15">
      <c r="A39" s="469"/>
      <c r="B39" s="1376">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29"/>
      <c r="M39" s="1120"/>
      <c r="N39" s="1120"/>
      <c r="O39" s="1128"/>
      <c r="P39" s="3252"/>
      <c r="Q39" s="1797">
        <f t="shared" si="14"/>
        <v>111</v>
      </c>
      <c r="R39" s="771" t="s">
        <v>17</v>
      </c>
      <c r="S39" s="772">
        <f t="shared" si="10"/>
        <v>100</v>
      </c>
      <c r="T39" s="771" t="s">
        <v>17</v>
      </c>
      <c r="U39" s="772">
        <f t="shared" si="11"/>
        <v>100</v>
      </c>
      <c r="V39" s="771" t="s">
        <v>17</v>
      </c>
      <c r="W39" s="772">
        <f t="shared" si="12"/>
        <v>100</v>
      </c>
      <c r="X39" s="1800"/>
      <c r="Y39" s="3252"/>
      <c r="Z39" s="1801">
        <f t="shared" si="13"/>
        <v>111</v>
      </c>
      <c r="AA39" s="1798">
        <f t="shared" si="3"/>
        <v>1</v>
      </c>
      <c r="AB39" s="1798">
        <f t="shared" si="4"/>
        <v>1</v>
      </c>
      <c r="AC39" s="1798">
        <f t="shared" si="5"/>
        <v>1</v>
      </c>
    </row>
    <row r="40" spans="1:29" s="468" customFormat="1" ht="15.75" thickBot="1">
      <c r="A40" s="465"/>
      <c r="B40" s="1376">
        <v>111</v>
      </c>
      <c r="C40" s="2681"/>
      <c r="D40" s="135">
        <v>100</v>
      </c>
      <c r="E40" s="671"/>
      <c r="F40" s="435">
        <f>SUMIF(120:120,E40,121:121)-SUMIF(120:120,C40,121:121)+100</f>
        <v>100</v>
      </c>
      <c r="G40" s="671"/>
      <c r="H40" s="435">
        <f>SUMIF(120:120,G40,121:121)-SUMIF(120:120,C40,121:121)+100</f>
        <v>100</v>
      </c>
      <c r="I40" s="546"/>
      <c r="J40" s="435">
        <f>SUMIF(120:120,I40,121:121)-SUMIF(120:120,C40,121:121)+100</f>
        <v>100</v>
      </c>
      <c r="K40" s="678"/>
      <c r="L40" s="1127"/>
      <c r="M40" s="1130"/>
      <c r="N40" s="1130"/>
      <c r="O40" s="1131"/>
      <c r="P40" s="3252"/>
      <c r="Q40" s="1797">
        <f t="shared" si="14"/>
        <v>111</v>
      </c>
      <c r="R40" s="774" t="s">
        <v>17</v>
      </c>
      <c r="S40" s="775">
        <f t="shared" si="10"/>
        <v>100</v>
      </c>
      <c r="T40" s="774" t="s">
        <v>17</v>
      </c>
      <c r="U40" s="775">
        <f t="shared" si="11"/>
        <v>100</v>
      </c>
      <c r="V40" s="774" t="s">
        <v>17</v>
      </c>
      <c r="W40" s="775">
        <f t="shared" si="12"/>
        <v>100</v>
      </c>
      <c r="X40" s="776"/>
      <c r="Y40" s="3252"/>
      <c r="Z40" s="777">
        <f t="shared" si="13"/>
        <v>111</v>
      </c>
      <c r="AA40" s="1798">
        <f t="shared" si="3"/>
        <v>1</v>
      </c>
      <c r="AB40" s="1798">
        <f t="shared" si="4"/>
        <v>1</v>
      </c>
      <c r="AC40" s="1798">
        <f t="shared" si="5"/>
        <v>1</v>
      </c>
    </row>
    <row r="41" spans="1:29" ht="15">
      <c r="A41" s="476" t="s">
        <v>2703</v>
      </c>
      <c r="B41" s="2682" t="s">
        <v>2783</v>
      </c>
      <c r="C41" s="679" t="s">
        <v>1</v>
      </c>
      <c r="D41" s="478"/>
      <c r="E41" s="479"/>
      <c r="F41" s="480"/>
      <c r="G41" s="481"/>
      <c r="H41" s="482"/>
      <c r="I41" s="479"/>
      <c r="J41" s="482"/>
      <c r="K41" s="780"/>
      <c r="L41" s="1132"/>
      <c r="M41" s="1120"/>
      <c r="N41" s="1120"/>
      <c r="O41" s="1133"/>
      <c r="P41" s="3247" t="str">
        <f>A41</f>
        <v>成交单价</v>
      </c>
      <c r="Q41" s="3247"/>
      <c r="R41" s="3253">
        <f>E41</f>
        <v>0</v>
      </c>
      <c r="S41" s="3253"/>
      <c r="T41" s="3253">
        <f>G41</f>
        <v>0</v>
      </c>
      <c r="U41" s="3253"/>
      <c r="V41" s="3253">
        <f>I41</f>
        <v>0</v>
      </c>
      <c r="W41" s="3253"/>
      <c r="X41" s="756"/>
      <c r="Y41" s="778"/>
      <c r="Z41" s="756"/>
      <c r="AA41" s="756"/>
      <c r="AB41" s="756"/>
      <c r="AC41" s="756"/>
    </row>
    <row r="42" spans="1:29" ht="15.75" thickBot="1">
      <c r="A42" s="483" t="s">
        <v>2652</v>
      </c>
      <c r="B42" s="680"/>
      <c r="C42" s="487" t="e">
        <f>R43</f>
        <v>#DIV/0!</v>
      </c>
      <c r="D42" s="486"/>
      <c r="E42" s="487" t="e">
        <f>R42</f>
        <v>#DIV/0!</v>
      </c>
      <c r="F42" s="488"/>
      <c r="G42" s="485" t="e">
        <f>T42</f>
        <v>#DIV/0!</v>
      </c>
      <c r="H42" s="486"/>
      <c r="I42" s="487" t="e">
        <f>V42</f>
        <v>#DIV/0!</v>
      </c>
      <c r="J42" s="486"/>
      <c r="K42" s="781"/>
      <c r="L42" s="1132"/>
      <c r="M42" s="1120"/>
      <c r="N42" s="1120"/>
      <c r="O42" s="1133"/>
      <c r="P42" s="3247" t="str">
        <f>A42</f>
        <v>比较价值（元/平方米）</v>
      </c>
      <c r="Q42" s="3247"/>
      <c r="R42" s="3240" t="e">
        <f>ROUND(PRODUCT(R41,AA7:AA40),0)</f>
        <v>#DIV/0!</v>
      </c>
      <c r="S42" s="3240"/>
      <c r="T42" s="3240" t="e">
        <f>ROUND(PRODUCT(T41,AB7:AB40),0)</f>
        <v>#DIV/0!</v>
      </c>
      <c r="U42" s="3240"/>
      <c r="V42" s="3240" t="e">
        <f>ROUND(PRODUCT(V41,AC7:AC40),0)</f>
        <v>#DIV/0!</v>
      </c>
      <c r="W42" s="3240"/>
      <c r="X42" s="756"/>
      <c r="Y42" s="756"/>
      <c r="Z42" s="756"/>
      <c r="AA42" s="756"/>
      <c r="AB42" s="756"/>
      <c r="AC42" s="756"/>
    </row>
    <row r="43" spans="1:29" ht="15.75" thickBot="1">
      <c r="A43" s="489" t="s">
        <v>2653</v>
      </c>
      <c r="B43" s="490"/>
      <c r="C43" s="491" t="e">
        <f>R43</f>
        <v>#DIV/0!</v>
      </c>
      <c r="D43" s="491"/>
      <c r="E43" s="491"/>
      <c r="F43" s="491"/>
      <c r="G43" s="491"/>
      <c r="H43" s="491"/>
      <c r="I43" s="491"/>
      <c r="J43" s="491"/>
      <c r="K43" s="782"/>
      <c r="L43" s="1132"/>
      <c r="M43" s="1120"/>
      <c r="N43" s="1120"/>
      <c r="O43" s="1133"/>
      <c r="P43" s="3241" t="str">
        <f>A43</f>
        <v>估价对象XX用房的比较价值（楼面单价，元/平方米）</v>
      </c>
      <c r="Q43" s="3242"/>
      <c r="R43" s="3243" t="e">
        <f>ROUND(AVERAGE(R42:V42),0)</f>
        <v>#DIV/0!</v>
      </c>
      <c r="S43" s="3243"/>
      <c r="T43" s="3243"/>
      <c r="U43" s="3243"/>
      <c r="V43" s="3243"/>
      <c r="W43" s="3243"/>
      <c r="X43" s="756"/>
      <c r="Y43" s="756"/>
      <c r="Z43" s="756"/>
      <c r="AA43" s="756"/>
      <c r="AB43" s="756"/>
      <c r="AC43" s="756"/>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94" t="s">
        <v>2654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4"/>
      <c r="L46" s="1095"/>
      <c r="M46" s="1120"/>
      <c r="N46" s="1120"/>
      <c r="O46" s="1133"/>
    </row>
    <row r="47" spans="1:29" ht="13.5" customHeight="1">
      <c r="A47" s="1133"/>
      <c r="B47" s="1133"/>
      <c r="C47" s="494" t="s">
        <v>2655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4"/>
      <c r="L47" s="1095"/>
      <c r="M47" s="1133"/>
      <c r="N47" s="1133"/>
      <c r="O47" s="1133"/>
    </row>
    <row r="48" spans="1:29" s="499" customFormat="1" ht="13.5" customHeight="1">
      <c r="A48" s="1134"/>
      <c r="B48" s="1134"/>
      <c r="C48" s="494" t="s">
        <v>2656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7"/>
      <c r="L48" s="1138"/>
      <c r="M48" s="1134"/>
      <c r="N48" s="1134"/>
      <c r="O48" s="1134"/>
    </row>
    <row r="49" spans="1:17" s="499" customFormat="1" ht="15" thickBot="1">
      <c r="A49" s="1134"/>
      <c r="B49" s="1135"/>
      <c r="C49" s="759"/>
      <c r="D49" s="757"/>
      <c r="E49" s="757"/>
      <c r="F49" s="757"/>
      <c r="G49" s="757"/>
      <c r="H49" s="757"/>
      <c r="I49" s="757"/>
      <c r="J49" s="757"/>
      <c r="K49" s="1137"/>
      <c r="L49" s="1138"/>
      <c r="M49" s="1134"/>
      <c r="N49" s="1134"/>
      <c r="O49" s="1134"/>
    </row>
    <row r="50" spans="1:17" ht="27">
      <c r="A50" s="681" t="s">
        <v>2741</v>
      </c>
      <c r="B50" s="682" t="s">
        <v>2742</v>
      </c>
      <c r="C50" s="2683" t="s">
        <v>2743</v>
      </c>
      <c r="D50" s="2684" t="s">
        <v>2744</v>
      </c>
      <c r="E50" s="683" t="s">
        <v>2745</v>
      </c>
      <c r="F50" s="684" t="s">
        <v>2746</v>
      </c>
      <c r="G50" s="3244" t="s">
        <v>2747</v>
      </c>
      <c r="H50" s="3245"/>
      <c r="I50" s="1801" t="s">
        <v>2784</v>
      </c>
      <c r="J50" s="1801" t="str">
        <f>项目基本情况!F35</f>
        <v>贵州省</v>
      </c>
      <c r="K50" s="2686" t="s">
        <v>2749</v>
      </c>
      <c r="L50" s="1095"/>
      <c r="M50" s="1133"/>
      <c r="N50" s="1133"/>
      <c r="O50" s="1133"/>
    </row>
    <row r="51" spans="1:17" s="689" customFormat="1">
      <c r="A51" s="685" t="s">
        <v>2750</v>
      </c>
      <c r="B51" s="686" t="e">
        <f>C43</f>
        <v>#DIV/0!</v>
      </c>
      <c r="C51" s="687">
        <v>1</v>
      </c>
      <c r="D51" s="1152">
        <v>1</v>
      </c>
      <c r="E51" s="687">
        <f>'数据-汇总表'!E8+'数据-汇总表'!E9</f>
        <v>66687.25</v>
      </c>
      <c r="F51" s="688" t="e">
        <f t="shared" ref="F51:F60" si="15">ROUND(B51*E51/10000,0)</f>
        <v>#DIV/0!</v>
      </c>
      <c r="G51" s="3246"/>
      <c r="H51" s="3247"/>
      <c r="I51" s="932">
        <v>1</v>
      </c>
      <c r="J51" s="932">
        <v>1</v>
      </c>
      <c r="K51" s="1134"/>
      <c r="L51" s="931"/>
      <c r="M51" s="931"/>
      <c r="N51" s="931"/>
      <c r="O51" s="931"/>
    </row>
    <row r="52" spans="1:17" s="689" customFormat="1">
      <c r="A52" s="690" t="s">
        <v>2751</v>
      </c>
      <c r="B52" s="260" t="e">
        <f>ROUND($C$43*C52*D52,0)</f>
        <v>#DIV/0!</v>
      </c>
      <c r="C52" s="198">
        <f t="shared" ref="C52:C60" si="16">IF($C$50="北京市系数",I52,J52)</f>
        <v>0</v>
      </c>
      <c r="D52" s="1153">
        <v>0.25</v>
      </c>
      <c r="E52" s="691"/>
      <c r="F52" s="688" t="e">
        <f t="shared" si="15"/>
        <v>#DIV/0!</v>
      </c>
      <c r="G52" s="3248" t="s">
        <v>2752</v>
      </c>
      <c r="H52" s="1093">
        <f>项目基本情况!B37</f>
        <v>0</v>
      </c>
      <c r="I52" s="932">
        <f>SUMIF(修正!A45:A56,H52,修正!B45:B56)</f>
        <v>0</v>
      </c>
      <c r="J52" s="933"/>
      <c r="K52" s="1133"/>
      <c r="L52" s="931"/>
      <c r="M52" s="931"/>
      <c r="N52" s="931"/>
      <c r="O52" s="931"/>
    </row>
    <row r="53" spans="1:17" s="689" customFormat="1">
      <c r="A53" s="690" t="s">
        <v>2753</v>
      </c>
      <c r="B53" s="260" t="e">
        <f t="shared" ref="B53:B60" si="17">ROUND($C$43*C53*D53,0)</f>
        <v>#DIV/0!</v>
      </c>
      <c r="C53" s="198">
        <f t="shared" si="16"/>
        <v>0</v>
      </c>
      <c r="D53" s="1153">
        <v>0.25</v>
      </c>
      <c r="E53" s="691"/>
      <c r="F53" s="688" t="e">
        <f t="shared" si="15"/>
        <v>#DIV/0!</v>
      </c>
      <c r="G53" s="3248"/>
      <c r="H53" s="1093">
        <f>项目基本情况!B37</f>
        <v>0</v>
      </c>
      <c r="I53" s="932">
        <f>SUMIF(修正!A45:A56,H53,修正!C45:C56)</f>
        <v>0</v>
      </c>
      <c r="J53" s="933"/>
      <c r="K53" s="1134"/>
      <c r="L53" s="931"/>
      <c r="M53" s="931"/>
      <c r="N53" s="931"/>
      <c r="O53" s="931"/>
    </row>
    <row r="54" spans="1:17" s="689" customFormat="1">
      <c r="A54" s="690" t="s">
        <v>2754</v>
      </c>
      <c r="B54" s="260" t="e">
        <f t="shared" si="17"/>
        <v>#DIV/0!</v>
      </c>
      <c r="C54" s="198">
        <f t="shared" si="16"/>
        <v>0</v>
      </c>
      <c r="D54" s="1153">
        <v>0.25</v>
      </c>
      <c r="E54" s="691"/>
      <c r="F54" s="688" t="e">
        <f t="shared" si="15"/>
        <v>#DIV/0!</v>
      </c>
      <c r="G54" s="3248"/>
      <c r="H54" s="1093">
        <f>项目基本情况!B37</f>
        <v>0</v>
      </c>
      <c r="I54" s="932">
        <f>SUMIF(修正!A45:A56,H54,修正!D45:D56)</f>
        <v>0</v>
      </c>
      <c r="J54" s="933"/>
      <c r="K54" s="1133"/>
      <c r="L54" s="931"/>
      <c r="M54" s="931"/>
      <c r="N54" s="931"/>
      <c r="O54" s="931"/>
    </row>
    <row r="55" spans="1:17" s="689" customFormat="1">
      <c r="A55" s="690" t="s">
        <v>2755</v>
      </c>
      <c r="B55" s="260" t="e">
        <f t="shared" si="17"/>
        <v>#DIV/0!</v>
      </c>
      <c r="C55" s="198">
        <f t="shared" si="16"/>
        <v>0</v>
      </c>
      <c r="D55" s="1153">
        <v>0.25</v>
      </c>
      <c r="E55" s="691"/>
      <c r="F55" s="688" t="e">
        <f t="shared" si="15"/>
        <v>#DIV/0!</v>
      </c>
      <c r="G55" s="3248"/>
      <c r="H55" s="1093">
        <f>项目基本情况!B37</f>
        <v>0</v>
      </c>
      <c r="I55" s="932">
        <f>SUMIF(修正!A45:A56,H55,修正!E45:E56)</f>
        <v>0</v>
      </c>
      <c r="J55" s="933"/>
      <c r="K55" s="1134"/>
      <c r="L55" s="931"/>
      <c r="M55" s="931"/>
      <c r="N55" s="931"/>
      <c r="O55" s="931"/>
    </row>
    <row r="56" spans="1:17" s="689" customFormat="1">
      <c r="A56" s="690" t="s">
        <v>2756</v>
      </c>
      <c r="B56" s="260" t="e">
        <f t="shared" si="17"/>
        <v>#DIV/0!</v>
      </c>
      <c r="C56" s="198">
        <f t="shared" si="16"/>
        <v>0</v>
      </c>
      <c r="D56" s="1153">
        <v>0.25</v>
      </c>
      <c r="E56" s="259">
        <f>'数据-汇总表'!E11</f>
        <v>0</v>
      </c>
      <c r="F56" s="688" t="e">
        <f t="shared" si="15"/>
        <v>#DIV/0!</v>
      </c>
      <c r="G56" s="2687" t="s">
        <v>2757</v>
      </c>
      <c r="H56" s="1093">
        <f>项目基本情况!C37</f>
        <v>0</v>
      </c>
      <c r="I56" s="932">
        <f>SUMIF(修正!A45:A56,H56,修正!F45:F56)</f>
        <v>0</v>
      </c>
      <c r="J56" s="933"/>
      <c r="K56" s="1133"/>
      <c r="L56" s="931"/>
      <c r="M56" s="931"/>
      <c r="N56" s="931"/>
      <c r="O56" s="931"/>
    </row>
    <row r="57" spans="1:17" s="689" customFormat="1">
      <c r="A57" s="690" t="s">
        <v>2758</v>
      </c>
      <c r="B57" s="260" t="e">
        <f t="shared" si="17"/>
        <v>#DIV/0!</v>
      </c>
      <c r="C57" s="198">
        <f t="shared" si="16"/>
        <v>0</v>
      </c>
      <c r="D57" s="1153">
        <v>0.25</v>
      </c>
      <c r="E57" s="259">
        <f>'数据-汇总表'!E12</f>
        <v>0</v>
      </c>
      <c r="F57" s="688" t="e">
        <f t="shared" si="15"/>
        <v>#DIV/0!</v>
      </c>
      <c r="G57" s="1098" t="s">
        <v>2759</v>
      </c>
      <c r="H57" s="1093">
        <f>IF(G57="商业",项目基本情况!B37,IF(G57="办公",项目基本情况!C37,IF(G57="住宅",项目基本情况!D37,项目基本情况!E37)))</f>
        <v>0</v>
      </c>
      <c r="I57" s="932">
        <f>SUMIF(修正!A45:A56,H57,修正!G45:G56)</f>
        <v>0</v>
      </c>
      <c r="J57" s="933"/>
      <c r="K57" s="1134"/>
      <c r="L57" s="931"/>
      <c r="M57" s="931"/>
      <c r="N57" s="931"/>
      <c r="O57" s="931"/>
    </row>
    <row r="58" spans="1:17" s="689" customFormat="1">
      <c r="A58" s="690" t="s">
        <v>2760</v>
      </c>
      <c r="B58" s="260" t="e">
        <f t="shared" si="17"/>
        <v>#DIV/0!</v>
      </c>
      <c r="C58" s="198">
        <f t="shared" si="16"/>
        <v>0</v>
      </c>
      <c r="D58" s="1153">
        <v>0.25</v>
      </c>
      <c r="E58" s="259">
        <f>'数据-汇总表'!E13</f>
        <v>0</v>
      </c>
      <c r="F58" s="688" t="e">
        <f t="shared" si="15"/>
        <v>#DIV/0!</v>
      </c>
      <c r="G58" s="1098" t="s">
        <v>2761</v>
      </c>
      <c r="H58" s="1093">
        <f>IF(G58="商业",项目基本情况!B37,IF(G58="办公",项目基本情况!C37,IF(G58="住宅",项目基本情况!D37,项目基本情况!E37)))</f>
        <v>0</v>
      </c>
      <c r="I58" s="932">
        <f>SUMIF(修正!A45:A56,H58,修正!H45:H56)</f>
        <v>0</v>
      </c>
      <c r="J58" s="933"/>
      <c r="K58" s="1133"/>
      <c r="L58" s="931"/>
      <c r="M58" s="931"/>
      <c r="N58" s="931"/>
      <c r="O58" s="931"/>
    </row>
    <row r="59" spans="1:17" s="689" customFormat="1">
      <c r="A59" s="690" t="s">
        <v>2762</v>
      </c>
      <c r="B59" s="260" t="e">
        <f t="shared" si="17"/>
        <v>#DIV/0!</v>
      </c>
      <c r="C59" s="198">
        <f t="shared" si="16"/>
        <v>0</v>
      </c>
      <c r="D59" s="1153">
        <v>0.25</v>
      </c>
      <c r="E59" s="259">
        <f>'数据-汇总表'!E14</f>
        <v>0</v>
      </c>
      <c r="F59" s="688" t="e">
        <f t="shared" si="15"/>
        <v>#DIV/0!</v>
      </c>
      <c r="G59" s="2687" t="s">
        <v>2752</v>
      </c>
      <c r="H59" s="1093">
        <f>项目基本情况!B37</f>
        <v>0</v>
      </c>
      <c r="I59" s="932">
        <f>SUMIF(修正!A45:A56,H59,修正!H45:H56)</f>
        <v>0</v>
      </c>
      <c r="J59" s="933"/>
      <c r="K59" s="1134"/>
      <c r="L59" s="931"/>
      <c r="M59" s="931"/>
      <c r="N59" s="931"/>
      <c r="O59" s="931"/>
    </row>
    <row r="60" spans="1:17" s="689" customFormat="1" ht="15" thickBot="1">
      <c r="A60" s="690" t="s">
        <v>2763</v>
      </c>
      <c r="B60" s="260" t="e">
        <f t="shared" si="17"/>
        <v>#DIV/0!</v>
      </c>
      <c r="C60" s="198">
        <f t="shared" si="16"/>
        <v>0</v>
      </c>
      <c r="D60" s="1153">
        <v>0.25</v>
      </c>
      <c r="E60" s="259">
        <f>'数据-汇总表'!E15</f>
        <v>0</v>
      </c>
      <c r="F60" s="688" t="e">
        <f t="shared" si="15"/>
        <v>#DIV/0!</v>
      </c>
      <c r="G60" s="2688" t="s">
        <v>2757</v>
      </c>
      <c r="H60" s="1103">
        <f>项目基本情况!C37</f>
        <v>0</v>
      </c>
      <c r="I60" s="932">
        <f>SUMIF(修正!A45:A56,H60,修正!H45:H56)</f>
        <v>0</v>
      </c>
      <c r="J60" s="933"/>
      <c r="K60" s="1133"/>
      <c r="L60" s="931"/>
      <c r="M60" s="931"/>
      <c r="N60" s="931"/>
      <c r="O60" s="931"/>
    </row>
    <row r="61" spans="1:17" s="689" customFormat="1" ht="15" thickBot="1">
      <c r="A61" s="692" t="s">
        <v>2764</v>
      </c>
      <c r="B61" s="693" t="s">
        <v>28</v>
      </c>
      <c r="C61" s="693" t="s">
        <v>29</v>
      </c>
      <c r="D61" s="693" t="s">
        <v>1026</v>
      </c>
      <c r="E61" s="693">
        <f>IF(B41="楼面地价",SUM(E51:E60),'数据-汇总表'!D3)</f>
        <v>19053.5</v>
      </c>
      <c r="F61" s="694" t="e">
        <f>IF(B41="楼面地价",SUM(F51:F60),ROUND(C43*E61/10000,0))</f>
        <v>#DIV/0!</v>
      </c>
      <c r="G61" s="1147"/>
      <c r="H61" s="1147"/>
      <c r="I61" s="1147"/>
      <c r="J61" s="1147"/>
      <c r="K61" s="1094"/>
      <c r="L61" s="931"/>
      <c r="M61" s="931"/>
      <c r="N61" s="931"/>
      <c r="O61" s="931"/>
    </row>
    <row r="62" spans="1:17">
      <c r="A62" s="1133"/>
      <c r="B62" s="1135"/>
      <c r="C62" s="1139"/>
      <c r="D62" s="1133"/>
      <c r="E62" s="1133"/>
      <c r="F62" s="1133"/>
      <c r="G62" s="1133"/>
      <c r="H62" s="1133"/>
      <c r="I62" s="1133"/>
      <c r="J62" s="1133"/>
      <c r="K62" s="1094"/>
      <c r="L62" s="1095"/>
      <c r="M62" s="1133"/>
      <c r="N62" s="1133"/>
      <c r="O62" s="1133"/>
    </row>
    <row r="63" spans="1:17">
      <c r="A63" s="1133"/>
      <c r="B63" s="1135"/>
      <c r="C63" s="758" t="str">
        <f>YEAR(C7)&amp;"-"&amp;MONTH(C7)&amp;"-1"</f>
        <v>2020-5-1</v>
      </c>
      <c r="D63" s="758">
        <f>EDATE(C63,-3)</f>
        <v>43862</v>
      </c>
      <c r="E63" s="758">
        <f>EDATE(D63,-3)</f>
        <v>43770</v>
      </c>
      <c r="F63" s="758">
        <f t="shared" ref="F63:O63" si="18">EDATE(E63,-3)</f>
        <v>43678</v>
      </c>
      <c r="G63" s="758">
        <f t="shared" si="18"/>
        <v>43586</v>
      </c>
      <c r="H63" s="758">
        <f t="shared" si="18"/>
        <v>43497</v>
      </c>
      <c r="I63" s="758">
        <f t="shared" si="18"/>
        <v>43405</v>
      </c>
      <c r="J63" s="758">
        <f t="shared" si="18"/>
        <v>43313</v>
      </c>
      <c r="K63" s="758">
        <f t="shared" si="18"/>
        <v>43221</v>
      </c>
      <c r="L63" s="758">
        <f t="shared" si="18"/>
        <v>43132</v>
      </c>
      <c r="M63" s="758">
        <f t="shared" si="18"/>
        <v>43040</v>
      </c>
      <c r="N63" s="758">
        <f t="shared" si="18"/>
        <v>42948</v>
      </c>
      <c r="O63" s="758">
        <f t="shared" si="18"/>
        <v>42856</v>
      </c>
    </row>
    <row r="64" spans="1:17" ht="21.75" thickBot="1">
      <c r="A64" s="760" t="s">
        <v>2657</v>
      </c>
      <c r="B64" s="756"/>
      <c r="C64" s="761"/>
      <c r="D64" s="761"/>
      <c r="E64" s="761"/>
      <c r="F64" s="762"/>
      <c r="G64" s="762"/>
      <c r="H64" s="761"/>
      <c r="I64" s="761"/>
      <c r="J64" s="761"/>
      <c r="K64" s="763"/>
      <c r="L64" s="764"/>
      <c r="M64" s="761"/>
      <c r="N64" s="761"/>
      <c r="O64" s="1148"/>
      <c r="P64" s="500"/>
      <c r="Q64" s="501"/>
    </row>
    <row r="65" spans="1:17" s="505" customFormat="1" ht="15">
      <c r="A65" s="2689" t="s">
        <v>2765</v>
      </c>
      <c r="B65" s="1348"/>
      <c r="C65" s="1560" t="str">
        <f>YEAR(C63)&amp;"-"&amp;ROUNDUP(MONTH(C63)/3,0)</f>
        <v>2020-2</v>
      </c>
      <c r="D65" s="1560" t="str">
        <f t="shared" ref="D65:O65" si="19">YEAR(D63)&amp;"-"&amp;ROUNDUP(MONTH(D63)/3,0)</f>
        <v>2020-1</v>
      </c>
      <c r="E65" s="1560" t="str">
        <f t="shared" si="19"/>
        <v>2019-4</v>
      </c>
      <c r="F65" s="1560" t="str">
        <f t="shared" si="19"/>
        <v>2019-3</v>
      </c>
      <c r="G65" s="1560" t="str">
        <f t="shared" si="19"/>
        <v>2019-2</v>
      </c>
      <c r="H65" s="1560" t="str">
        <f t="shared" si="19"/>
        <v>2019-1</v>
      </c>
      <c r="I65" s="1560" t="str">
        <f t="shared" si="19"/>
        <v>2018-4</v>
      </c>
      <c r="J65" s="1560" t="str">
        <f t="shared" si="19"/>
        <v>2018-3</v>
      </c>
      <c r="K65" s="1560" t="str">
        <f t="shared" si="19"/>
        <v>2018-2</v>
      </c>
      <c r="L65" s="1560" t="str">
        <f t="shared" si="19"/>
        <v>2018-1</v>
      </c>
      <c r="M65" s="1560" t="str">
        <f t="shared" si="19"/>
        <v>2017-4</v>
      </c>
      <c r="N65" s="1560" t="str">
        <f t="shared" si="19"/>
        <v>2017-3</v>
      </c>
      <c r="O65" s="1560" t="str">
        <f t="shared" si="19"/>
        <v>2017-2</v>
      </c>
      <c r="P65" s="504"/>
    </row>
    <row r="66" spans="1:17" s="115" customFormat="1" ht="30.75" customHeight="1">
      <c r="A66" s="2694" t="s">
        <v>2785</v>
      </c>
      <c r="B66" s="330" t="str">
        <f>"北京市平均增长率"&amp;TEXT(基准地价修正!P24,"0.00%")</f>
        <v>北京市平均增长率0.00%</v>
      </c>
      <c r="C66" s="600">
        <v>100</v>
      </c>
      <c r="D66" s="592"/>
      <c r="E66" s="592"/>
      <c r="F66" s="592"/>
      <c r="G66" s="592"/>
      <c r="H66" s="592"/>
      <c r="I66" s="592"/>
      <c r="J66" s="592"/>
      <c r="K66" s="592"/>
      <c r="L66" s="592"/>
      <c r="M66" s="1556"/>
      <c r="N66" s="1556"/>
      <c r="O66" s="1557"/>
      <c r="P66" s="501"/>
    </row>
    <row r="67" spans="1:17" s="115" customFormat="1" ht="15.75" thickBot="1">
      <c r="A67" s="512" t="s">
        <v>2568</v>
      </c>
      <c r="B67" s="513"/>
      <c r="C67" s="514"/>
      <c r="D67" s="515"/>
      <c r="E67" s="515"/>
      <c r="F67" s="515"/>
      <c r="G67" s="515"/>
      <c r="H67" s="515"/>
      <c r="I67" s="515"/>
      <c r="J67" s="515"/>
      <c r="K67" s="515"/>
      <c r="L67" s="515"/>
      <c r="M67" s="516"/>
      <c r="N67" s="516"/>
      <c r="O67" s="517"/>
      <c r="P67" s="501"/>
      <c r="Q67" s="501"/>
    </row>
    <row r="68" spans="1:17" s="115" customFormat="1" ht="15">
      <c r="A68" s="518" t="s">
        <v>2533</v>
      </c>
      <c r="B68" s="507"/>
      <c r="C68" s="519" t="s">
        <v>2635</v>
      </c>
      <c r="D68" s="520"/>
      <c r="E68" s="520"/>
      <c r="F68" s="520"/>
      <c r="G68" s="520"/>
      <c r="H68" s="520"/>
      <c r="I68" s="520"/>
      <c r="J68" s="520"/>
      <c r="K68" s="520"/>
      <c r="L68" s="521"/>
      <c r="M68" s="522"/>
      <c r="N68" s="1140"/>
      <c r="O68" s="1140"/>
      <c r="P68" s="523"/>
      <c r="Q68" s="501"/>
    </row>
    <row r="69" spans="1:17" s="115" customFormat="1" ht="15.75" thickBot="1">
      <c r="A69" s="518"/>
      <c r="B69" s="507"/>
      <c r="C69" s="636">
        <v>100</v>
      </c>
      <c r="D69" s="509"/>
      <c r="E69" s="509"/>
      <c r="F69" s="509"/>
      <c r="G69" s="509"/>
      <c r="H69" s="509"/>
      <c r="I69" s="509"/>
      <c r="J69" s="509"/>
      <c r="K69" s="509"/>
      <c r="L69" s="509"/>
      <c r="M69" s="511"/>
      <c r="N69" s="1140"/>
      <c r="O69" s="1140"/>
      <c r="P69" s="501"/>
      <c r="Q69" s="501"/>
    </row>
    <row r="70" spans="1:17">
      <c r="A70" s="524" t="s">
        <v>2571</v>
      </c>
      <c r="B70" s="525" t="s">
        <v>2537</v>
      </c>
      <c r="C70" s="527"/>
      <c r="D70" s="527"/>
      <c r="E70" s="527"/>
      <c r="F70" s="527"/>
      <c r="G70" s="527"/>
      <c r="H70" s="527"/>
      <c r="I70" s="527"/>
      <c r="J70" s="527"/>
      <c r="K70" s="528"/>
      <c r="L70" s="529"/>
      <c r="M70" s="530"/>
      <c r="N70" s="1141"/>
      <c r="O70" s="1141"/>
      <c r="P70" s="44"/>
      <c r="Q70" s="501"/>
    </row>
    <row r="71" spans="1:17" ht="15.75" thickBot="1">
      <c r="A71" s="531"/>
      <c r="B71" s="532"/>
      <c r="C71" s="533"/>
      <c r="D71" s="533"/>
      <c r="E71" s="533"/>
      <c r="F71" s="533"/>
      <c r="G71" s="533"/>
      <c r="H71" s="533"/>
      <c r="I71" s="533"/>
      <c r="J71" s="533"/>
      <c r="K71" s="533"/>
      <c r="L71" s="533"/>
      <c r="M71" s="534"/>
      <c r="N71" s="1142"/>
      <c r="O71" s="1142"/>
      <c r="P71" s="44"/>
      <c r="Q71" s="501"/>
    </row>
    <row r="72" spans="1:17" ht="27.75" thickTop="1">
      <c r="A72" s="531"/>
      <c r="B72" s="535" t="s">
        <v>2540</v>
      </c>
      <c r="C72" s="536"/>
      <c r="D72" s="536"/>
      <c r="E72" s="536"/>
      <c r="F72" s="536"/>
      <c r="G72" s="536"/>
      <c r="H72" s="536"/>
      <c r="I72" s="536"/>
      <c r="J72" s="536"/>
      <c r="K72" s="537"/>
      <c r="L72" s="538"/>
      <c r="M72" s="539"/>
      <c r="N72" s="1141"/>
      <c r="O72" s="1141"/>
      <c r="P72" s="44"/>
      <c r="Q72" s="501"/>
    </row>
    <row r="73" spans="1:17" ht="15.75" thickBot="1">
      <c r="A73" s="531"/>
      <c r="B73" s="540"/>
      <c r="C73" s="541"/>
      <c r="D73" s="541"/>
      <c r="E73" s="541"/>
      <c r="F73" s="541"/>
      <c r="G73" s="541"/>
      <c r="H73" s="541"/>
      <c r="I73" s="541"/>
      <c r="J73" s="541"/>
      <c r="K73" s="541"/>
      <c r="L73" s="541"/>
      <c r="M73" s="542"/>
      <c r="N73" s="1142"/>
      <c r="O73" s="1142"/>
      <c r="P73" s="44"/>
      <c r="Q73" s="501"/>
    </row>
    <row r="74" spans="1:17" ht="15.75" thickTop="1">
      <c r="A74" s="531"/>
      <c r="B74" s="543" t="s">
        <v>2541</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2"/>
      <c r="O74" s="1142"/>
      <c r="P74" s="44"/>
      <c r="Q74" s="501"/>
    </row>
    <row r="75" spans="1:17" ht="15">
      <c r="A75" s="531"/>
      <c r="B75" s="545"/>
      <c r="C75" s="546"/>
      <c r="D75" s="546"/>
      <c r="E75" s="546"/>
      <c r="F75" s="546"/>
      <c r="G75" s="546"/>
      <c r="H75" s="546"/>
      <c r="I75" s="546"/>
      <c r="J75" s="546"/>
      <c r="K75" s="547"/>
      <c r="L75" s="548"/>
      <c r="M75" s="549"/>
      <c r="N75" s="1141"/>
      <c r="O75" s="1141"/>
      <c r="P75" s="44"/>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2"/>
      <c r="O76" s="1142"/>
      <c r="P76" s="44"/>
      <c r="Q76" s="501"/>
    </row>
    <row r="77" spans="1:17" s="468" customFormat="1" ht="15.75" thickTop="1">
      <c r="A77" s="550"/>
      <c r="B77" s="535">
        <f>B12</f>
        <v>111</v>
      </c>
      <c r="C77" s="551"/>
      <c r="D77" s="551"/>
      <c r="E77" s="551"/>
      <c r="F77" s="551"/>
      <c r="G77" s="551"/>
      <c r="H77" s="552"/>
      <c r="I77" s="552"/>
      <c r="J77" s="552"/>
      <c r="K77" s="552"/>
      <c r="L77" s="553"/>
      <c r="M77" s="554"/>
      <c r="N77" s="1143"/>
      <c r="O77" s="1143"/>
      <c r="P77" s="555"/>
      <c r="Q77" s="556"/>
    </row>
    <row r="78" spans="1:17" s="468" customFormat="1" ht="15.75" thickBot="1">
      <c r="A78" s="550"/>
      <c r="B78" s="540"/>
      <c r="C78" s="557"/>
      <c r="D78" s="533"/>
      <c r="E78" s="533"/>
      <c r="F78" s="533"/>
      <c r="G78" s="533"/>
      <c r="H78" s="533"/>
      <c r="I78" s="533"/>
      <c r="J78" s="533"/>
      <c r="K78" s="533"/>
      <c r="L78" s="533"/>
      <c r="M78" s="534"/>
      <c r="N78" s="1142"/>
      <c r="O78" s="1142"/>
      <c r="P78" s="555"/>
      <c r="Q78" s="556"/>
    </row>
    <row r="79" spans="1:17" s="468" customFormat="1" ht="15.75" thickTop="1">
      <c r="A79" s="550"/>
      <c r="B79" s="535">
        <f>B13</f>
        <v>111</v>
      </c>
      <c r="C79" s="551"/>
      <c r="D79" s="551"/>
      <c r="E79" s="551"/>
      <c r="F79" s="551"/>
      <c r="G79" s="551"/>
      <c r="H79" s="552"/>
      <c r="I79" s="552"/>
      <c r="J79" s="552"/>
      <c r="K79" s="552"/>
      <c r="L79" s="553"/>
      <c r="M79" s="554"/>
      <c r="N79" s="1143"/>
      <c r="O79" s="1143"/>
      <c r="P79" s="467"/>
      <c r="Q79" s="558"/>
    </row>
    <row r="80" spans="1:17" s="468" customFormat="1" ht="15.75" thickBot="1">
      <c r="A80" s="550"/>
      <c r="B80" s="540"/>
      <c r="C80" s="557"/>
      <c r="D80" s="557"/>
      <c r="E80" s="557"/>
      <c r="F80" s="557"/>
      <c r="G80" s="557"/>
      <c r="H80" s="559"/>
      <c r="I80" s="559"/>
      <c r="J80" s="559"/>
      <c r="K80" s="559"/>
      <c r="L80" s="559"/>
      <c r="M80" s="560"/>
      <c r="N80" s="1143"/>
      <c r="O80" s="1143"/>
      <c r="P80" s="555"/>
      <c r="Q80" s="556"/>
    </row>
    <row r="81" spans="1:17" s="468" customFormat="1" ht="15.75" thickTop="1">
      <c r="A81" s="550"/>
      <c r="B81" s="543">
        <f>B14</f>
        <v>111</v>
      </c>
      <c r="C81" s="520"/>
      <c r="D81" s="520"/>
      <c r="E81" s="520"/>
      <c r="F81" s="520"/>
      <c r="G81" s="520"/>
      <c r="H81" s="561"/>
      <c r="I81" s="561"/>
      <c r="J81" s="561"/>
      <c r="K81" s="561"/>
      <c r="L81" s="562"/>
      <c r="M81" s="563"/>
      <c r="N81" s="1143"/>
      <c r="O81" s="1143"/>
      <c r="P81" s="564"/>
      <c r="Q81" s="556"/>
    </row>
    <row r="82" spans="1:17" s="468" customFormat="1" ht="15.75" thickBot="1">
      <c r="A82" s="565"/>
      <c r="B82" s="566"/>
      <c r="C82" s="567"/>
      <c r="D82" s="567"/>
      <c r="E82" s="567"/>
      <c r="F82" s="567"/>
      <c r="G82" s="567"/>
      <c r="H82" s="568"/>
      <c r="I82" s="568"/>
      <c r="J82" s="568"/>
      <c r="K82" s="568"/>
      <c r="L82" s="568"/>
      <c r="M82" s="569"/>
      <c r="N82" s="1143"/>
      <c r="O82" s="1143"/>
      <c r="P82" s="555"/>
      <c r="Q82" s="556"/>
    </row>
    <row r="83" spans="1:17">
      <c r="A83" s="524" t="s">
        <v>2542</v>
      </c>
      <c r="B83" s="525" t="s">
        <v>2688</v>
      </c>
      <c r="C83" s="570" t="s">
        <v>2580</v>
      </c>
      <c r="D83" s="570" t="s">
        <v>2581</v>
      </c>
      <c r="E83" s="570" t="s">
        <v>2582</v>
      </c>
      <c r="F83" s="570" t="s">
        <v>2583</v>
      </c>
      <c r="G83" s="570" t="s">
        <v>2584</v>
      </c>
      <c r="H83" s="526"/>
      <c r="I83" s="526"/>
      <c r="J83" s="526"/>
      <c r="K83" s="571"/>
      <c r="L83" s="572"/>
      <c r="M83" s="573"/>
      <c r="N83" s="1141"/>
      <c r="O83" s="1141"/>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2"/>
      <c r="O84" s="1142"/>
      <c r="P84" s="44"/>
      <c r="Q84" s="501"/>
    </row>
    <row r="85" spans="1:17" ht="15.75" thickTop="1">
      <c r="A85" s="531"/>
      <c r="B85" s="535" t="s">
        <v>2585</v>
      </c>
      <c r="C85" s="575" t="s">
        <v>2580</v>
      </c>
      <c r="D85" s="575" t="s">
        <v>2581</v>
      </c>
      <c r="E85" s="575" t="s">
        <v>2582</v>
      </c>
      <c r="F85" s="575" t="s">
        <v>2583</v>
      </c>
      <c r="G85" s="575" t="s">
        <v>2584</v>
      </c>
      <c r="H85" s="536"/>
      <c r="I85" s="536"/>
      <c r="J85" s="536"/>
      <c r="K85" s="537"/>
      <c r="L85" s="538"/>
      <c r="M85" s="539"/>
      <c r="N85" s="1141"/>
      <c r="O85" s="1141"/>
      <c r="P85" s="44"/>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2"/>
      <c r="O86" s="1142"/>
      <c r="P86" s="44"/>
      <c r="Q86" s="501"/>
    </row>
    <row r="87" spans="1:17" s="115" customFormat="1" ht="15.75" thickTop="1">
      <c r="A87" s="576"/>
      <c r="B87" s="535" t="s">
        <v>2768</v>
      </c>
      <c r="C87" s="570" t="s">
        <v>2580</v>
      </c>
      <c r="D87" s="570" t="s">
        <v>2581</v>
      </c>
      <c r="E87" s="570" t="s">
        <v>2582</v>
      </c>
      <c r="F87" s="570" t="s">
        <v>2583</v>
      </c>
      <c r="G87" s="570" t="s">
        <v>2584</v>
      </c>
      <c r="H87" s="575"/>
      <c r="I87" s="575"/>
      <c r="J87" s="575"/>
      <c r="K87" s="575"/>
      <c r="L87" s="695"/>
      <c r="M87" s="619"/>
      <c r="N87" s="1140"/>
      <c r="O87" s="1140"/>
      <c r="P87" s="44"/>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2"/>
      <c r="O88" s="1142"/>
      <c r="P88" s="44"/>
      <c r="Q88" s="501"/>
    </row>
    <row r="89" spans="1:17" s="115" customFormat="1" ht="27.75" thickTop="1">
      <c r="A89" s="576"/>
      <c r="B89" s="535" t="s">
        <v>2769</v>
      </c>
      <c r="C89" s="570" t="s">
        <v>2580</v>
      </c>
      <c r="D89" s="570" t="s">
        <v>2581</v>
      </c>
      <c r="E89" s="570" t="s">
        <v>2582</v>
      </c>
      <c r="F89" s="570" t="s">
        <v>2583</v>
      </c>
      <c r="G89" s="570" t="s">
        <v>2584</v>
      </c>
      <c r="H89" s="575"/>
      <c r="I89" s="575"/>
      <c r="J89" s="575"/>
      <c r="K89" s="575"/>
      <c r="L89" s="575"/>
      <c r="M89" s="619"/>
      <c r="N89" s="1140"/>
      <c r="O89" s="1140"/>
      <c r="P89" s="44"/>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2"/>
      <c r="O90" s="1142"/>
      <c r="P90" s="44"/>
      <c r="Q90" s="501"/>
    </row>
    <row r="91" spans="1:17" s="468" customFormat="1" ht="15.75" thickTop="1">
      <c r="A91" s="550"/>
      <c r="B91" s="535" t="s">
        <v>2637</v>
      </c>
      <c r="C91" s="570" t="s">
        <v>2580</v>
      </c>
      <c r="D91" s="570" t="s">
        <v>2581</v>
      </c>
      <c r="E91" s="570" t="s">
        <v>2582</v>
      </c>
      <c r="F91" s="570" t="s">
        <v>2583</v>
      </c>
      <c r="G91" s="570" t="s">
        <v>2584</v>
      </c>
      <c r="H91" s="597"/>
      <c r="I91" s="597"/>
      <c r="J91" s="597"/>
      <c r="K91" s="597"/>
      <c r="L91" s="598"/>
      <c r="M91" s="599"/>
      <c r="N91" s="1143"/>
      <c r="O91" s="1143"/>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3"/>
      <c r="O92" s="1143"/>
      <c r="P92" s="555"/>
      <c r="Q92" s="556"/>
    </row>
    <row r="93" spans="1:17" s="468" customFormat="1" ht="15.75" thickTop="1">
      <c r="A93" s="550"/>
      <c r="B93" s="543" t="s">
        <v>2786</v>
      </c>
      <c r="C93" s="657" t="s">
        <v>2658</v>
      </c>
      <c r="D93" s="657" t="s">
        <v>2659</v>
      </c>
      <c r="E93" s="657" t="s">
        <v>2660</v>
      </c>
      <c r="F93" s="657" t="s">
        <v>2661</v>
      </c>
      <c r="G93" s="657" t="s">
        <v>2662</v>
      </c>
      <c r="H93" s="597"/>
      <c r="I93" s="597"/>
      <c r="J93" s="597"/>
      <c r="K93" s="597"/>
      <c r="L93" s="597"/>
      <c r="M93" s="599"/>
      <c r="N93" s="1143"/>
      <c r="O93" s="1143"/>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4"/>
      <c r="N94" s="1143"/>
      <c r="O94" s="1143"/>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1"/>
      <c r="O95" s="1141"/>
      <c r="P95" s="44"/>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2"/>
      <c r="O96" s="1142"/>
      <c r="P96" s="44"/>
      <c r="Q96" s="501"/>
    </row>
    <row r="97" spans="1:17" ht="27.75" thickTop="1">
      <c r="A97" s="531"/>
      <c r="B97" s="535" t="s">
        <v>2674</v>
      </c>
      <c r="C97" s="551"/>
      <c r="D97" s="551"/>
      <c r="E97" s="551"/>
      <c r="F97" s="551"/>
      <c r="G97" s="551"/>
      <c r="H97" s="580"/>
      <c r="I97" s="580"/>
      <c r="J97" s="580"/>
      <c r="K97" s="581"/>
      <c r="L97" s="582"/>
      <c r="M97" s="583"/>
      <c r="N97" s="1141"/>
      <c r="O97" s="1141"/>
      <c r="P97" s="44"/>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2"/>
      <c r="O98" s="1142"/>
      <c r="P98" s="44"/>
      <c r="Q98" s="501"/>
    </row>
    <row r="99" spans="1:17" ht="15.75" thickTop="1">
      <c r="A99" s="531"/>
      <c r="B99" s="535" t="s">
        <v>2733</v>
      </c>
      <c r="C99" s="580"/>
      <c r="D99" s="580"/>
      <c r="E99" s="580"/>
      <c r="F99" s="580"/>
      <c r="G99" s="580"/>
      <c r="H99" s="580"/>
      <c r="I99" s="580"/>
      <c r="J99" s="580"/>
      <c r="K99" s="581"/>
      <c r="L99" s="582"/>
      <c r="M99" s="583"/>
      <c r="N99" s="1141"/>
      <c r="O99" s="1141"/>
      <c r="P99" s="44"/>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2"/>
      <c r="O100" s="1142"/>
      <c r="P100" s="44"/>
      <c r="Q100" s="501"/>
    </row>
    <row r="101" spans="1:17" ht="15.75" thickTop="1">
      <c r="A101" s="531"/>
      <c r="B101" s="543">
        <f>B31</f>
        <v>111</v>
      </c>
      <c r="C101" s="551"/>
      <c r="D101" s="551"/>
      <c r="E101" s="551"/>
      <c r="F101" s="551"/>
      <c r="G101" s="584"/>
      <c r="H101" s="584"/>
      <c r="I101" s="584"/>
      <c r="J101" s="584"/>
      <c r="K101" s="585"/>
      <c r="L101" s="586"/>
      <c r="M101" s="587"/>
      <c r="N101" s="1141"/>
      <c r="O101" s="1141"/>
      <c r="P101" s="44"/>
      <c r="Q101" s="501"/>
    </row>
    <row r="102" spans="1:17" ht="15.75" thickBot="1">
      <c r="A102" s="531"/>
      <c r="B102" s="566"/>
      <c r="C102" s="557"/>
      <c r="D102" s="533"/>
      <c r="E102" s="533"/>
      <c r="F102" s="533"/>
      <c r="G102" s="588"/>
      <c r="H102" s="588"/>
      <c r="I102" s="588"/>
      <c r="J102" s="588"/>
      <c r="K102" s="588"/>
      <c r="L102" s="588"/>
      <c r="M102" s="589"/>
      <c r="N102" s="1142"/>
      <c r="O102" s="1142"/>
      <c r="P102" s="44"/>
      <c r="Q102" s="501"/>
    </row>
    <row r="103" spans="1:17" ht="15" thickTop="1">
      <c r="A103" s="672"/>
      <c r="B103" s="535">
        <f>B32</f>
        <v>111</v>
      </c>
      <c r="C103" s="551"/>
      <c r="D103" s="551"/>
      <c r="E103" s="551"/>
      <c r="F103" s="551"/>
      <c r="G103" s="580"/>
      <c r="H103" s="580"/>
      <c r="I103" s="580"/>
      <c r="J103" s="580"/>
      <c r="K103" s="581"/>
      <c r="L103" s="582"/>
      <c r="M103" s="583"/>
      <c r="N103" s="1141"/>
      <c r="O103" s="1141"/>
      <c r="P103" s="44"/>
      <c r="Q103" s="501"/>
    </row>
    <row r="104" spans="1:17" ht="15.75" thickBot="1">
      <c r="A104" s="531"/>
      <c r="B104" s="540"/>
      <c r="C104" s="557"/>
      <c r="D104" s="557"/>
      <c r="E104" s="557"/>
      <c r="F104" s="557"/>
      <c r="G104" s="533"/>
      <c r="H104" s="533"/>
      <c r="I104" s="533"/>
      <c r="J104" s="533"/>
      <c r="K104" s="533"/>
      <c r="L104" s="533"/>
      <c r="M104" s="534"/>
      <c r="N104" s="1142"/>
      <c r="O104" s="1142"/>
      <c r="P104" s="44"/>
      <c r="Q104" s="501"/>
    </row>
    <row r="105" spans="1:17" s="468" customFormat="1" ht="15" thickTop="1">
      <c r="A105" s="590"/>
      <c r="B105" s="591">
        <f>B33</f>
        <v>111</v>
      </c>
      <c r="C105" s="520"/>
      <c r="D105" s="520"/>
      <c r="E105" s="520"/>
      <c r="F105" s="520"/>
      <c r="G105" s="592"/>
      <c r="H105" s="592"/>
      <c r="I105" s="592"/>
      <c r="J105" s="593"/>
      <c r="K105" s="593"/>
      <c r="L105" s="594"/>
      <c r="M105" s="595"/>
      <c r="N105" s="1143"/>
      <c r="O105" s="1143"/>
      <c r="P105" s="555"/>
      <c r="Q105" s="556"/>
    </row>
    <row r="106" spans="1:17" s="468" customFormat="1" ht="15.75" thickBot="1">
      <c r="A106" s="550"/>
      <c r="B106" s="543"/>
      <c r="C106" s="567"/>
      <c r="D106" s="567"/>
      <c r="E106" s="567"/>
      <c r="F106" s="567"/>
      <c r="G106" s="674"/>
      <c r="H106" s="674"/>
      <c r="I106" s="674"/>
      <c r="J106" s="674"/>
      <c r="K106" s="674"/>
      <c r="L106" s="674"/>
      <c r="M106" s="696"/>
      <c r="N106" s="1142"/>
      <c r="O106" s="1142"/>
      <c r="P106" s="555"/>
      <c r="Q106" s="556"/>
    </row>
    <row r="107" spans="1:17">
      <c r="A107" s="524" t="s">
        <v>2546</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3" t="str">
        <f t="shared" si="25"/>
        <v>(含)-</v>
      </c>
      <c r="L107" s="1753" t="str">
        <f t="shared" si="25"/>
        <v>(含)-</v>
      </c>
      <c r="M107" s="1754" t="str">
        <f>M108&amp;"(含)"&amp;"-"&amp;P108</f>
        <v>(含)-</v>
      </c>
      <c r="N107" s="1141"/>
      <c r="O107" s="1141"/>
      <c r="P107" s="44"/>
      <c r="Q107" s="501"/>
    </row>
    <row r="108" spans="1:17" ht="15">
      <c r="A108" s="531"/>
      <c r="B108" s="543"/>
      <c r="C108" s="592"/>
      <c r="D108" s="592"/>
      <c r="E108" s="592"/>
      <c r="F108" s="592"/>
      <c r="G108" s="592"/>
      <c r="H108" s="592"/>
      <c r="I108" s="592"/>
      <c r="J108" s="593"/>
      <c r="K108" s="593"/>
      <c r="L108" s="594"/>
      <c r="M108" s="595"/>
      <c r="N108" s="1141"/>
      <c r="O108" s="1141"/>
      <c r="P108" s="44"/>
      <c r="Q108" s="501"/>
    </row>
    <row r="109" spans="1:17" ht="15.75" thickBot="1">
      <c r="A109" s="531"/>
      <c r="B109" s="540"/>
      <c r="C109" s="567"/>
      <c r="D109" s="588"/>
      <c r="E109" s="588"/>
      <c r="F109" s="588"/>
      <c r="G109" s="588"/>
      <c r="H109" s="588"/>
      <c r="I109" s="588"/>
      <c r="J109" s="588"/>
      <c r="K109" s="588"/>
      <c r="L109" s="588"/>
      <c r="M109" s="589"/>
      <c r="N109" s="1142"/>
      <c r="O109" s="1142"/>
      <c r="P109" s="44"/>
      <c r="Q109" s="501"/>
    </row>
    <row r="110" spans="1:17" ht="15" thickTop="1">
      <c r="A110" s="596"/>
      <c r="B110" s="535" t="s">
        <v>2775</v>
      </c>
      <c r="C110" s="580"/>
      <c r="D110" s="580"/>
      <c r="E110" s="580"/>
      <c r="F110" s="580"/>
      <c r="G110" s="580"/>
      <c r="H110" s="580"/>
      <c r="I110" s="580"/>
      <c r="J110" s="580"/>
      <c r="K110" s="581"/>
      <c r="L110" s="582"/>
      <c r="M110" s="583"/>
      <c r="N110" s="1141"/>
      <c r="O110" s="1141"/>
      <c r="P110" s="44"/>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2"/>
      <c r="O111" s="1142"/>
      <c r="P111" s="44"/>
      <c r="Q111" s="501"/>
    </row>
    <row r="112" spans="1:17" s="468" customFormat="1" ht="15" thickTop="1">
      <c r="A112" s="590"/>
      <c r="B112" s="535" t="s">
        <v>2777</v>
      </c>
      <c r="C112" s="551"/>
      <c r="D112" s="551"/>
      <c r="E112" s="551"/>
      <c r="F112" s="551"/>
      <c r="G112" s="551"/>
      <c r="H112" s="580"/>
      <c r="I112" s="580"/>
      <c r="J112" s="580"/>
      <c r="K112" s="581"/>
      <c r="L112" s="582"/>
      <c r="M112" s="583"/>
      <c r="N112" s="1143"/>
      <c r="O112" s="1143"/>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3"/>
      <c r="O113" s="1143"/>
      <c r="P113" s="555"/>
      <c r="Q113" s="556"/>
    </row>
    <row r="114" spans="1:17" ht="15" thickTop="1">
      <c r="A114" s="596"/>
      <c r="B114" s="535" t="s">
        <v>2778</v>
      </c>
      <c r="C114" s="551"/>
      <c r="D114" s="551"/>
      <c r="E114" s="580"/>
      <c r="F114" s="580"/>
      <c r="G114" s="580"/>
      <c r="H114" s="580"/>
      <c r="I114" s="580"/>
      <c r="J114" s="580"/>
      <c r="K114" s="581"/>
      <c r="L114" s="582"/>
      <c r="M114" s="583"/>
      <c r="N114" s="1141"/>
      <c r="O114" s="1141"/>
      <c r="P114" s="44"/>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2"/>
      <c r="O115" s="1142"/>
      <c r="P115" s="44"/>
      <c r="Q115" s="501"/>
    </row>
    <row r="116" spans="1:17" ht="15" thickTop="1">
      <c r="A116" s="596"/>
      <c r="B116" s="535">
        <f>B38</f>
        <v>111</v>
      </c>
      <c r="C116" s="551"/>
      <c r="D116" s="551"/>
      <c r="E116" s="551"/>
      <c r="F116" s="551"/>
      <c r="G116" s="551"/>
      <c r="H116" s="580"/>
      <c r="I116" s="580"/>
      <c r="J116" s="580"/>
      <c r="K116" s="581"/>
      <c r="L116" s="582"/>
      <c r="M116" s="583"/>
      <c r="N116" s="1141"/>
      <c r="O116" s="1141"/>
      <c r="P116" s="44"/>
      <c r="Q116" s="501"/>
    </row>
    <row r="117" spans="1:17" ht="15.75" thickBot="1">
      <c r="A117" s="531"/>
      <c r="B117" s="540"/>
      <c r="C117" s="557"/>
      <c r="D117" s="533"/>
      <c r="E117" s="533"/>
      <c r="F117" s="533"/>
      <c r="G117" s="533"/>
      <c r="H117" s="533"/>
      <c r="I117" s="533"/>
      <c r="J117" s="533"/>
      <c r="K117" s="533"/>
      <c r="L117" s="533"/>
      <c r="M117" s="534"/>
      <c r="N117" s="1142"/>
      <c r="O117" s="1142"/>
      <c r="P117" s="44"/>
      <c r="Q117" s="501"/>
    </row>
    <row r="118" spans="1:17" ht="15" thickTop="1">
      <c r="A118" s="596"/>
      <c r="B118" s="535">
        <f>B39</f>
        <v>111</v>
      </c>
      <c r="C118" s="551"/>
      <c r="D118" s="551"/>
      <c r="E118" s="551"/>
      <c r="F118" s="551"/>
      <c r="G118" s="580"/>
      <c r="H118" s="580"/>
      <c r="I118" s="580"/>
      <c r="J118" s="580"/>
      <c r="K118" s="581"/>
      <c r="L118" s="582"/>
      <c r="M118" s="583"/>
      <c r="N118" s="1141"/>
      <c r="O118" s="1141"/>
      <c r="P118" s="44"/>
      <c r="Q118" s="501"/>
    </row>
    <row r="119" spans="1:17" ht="15.75" thickBot="1">
      <c r="A119" s="531"/>
      <c r="B119" s="540"/>
      <c r="C119" s="557"/>
      <c r="D119" s="557"/>
      <c r="E119" s="557"/>
      <c r="F119" s="557"/>
      <c r="G119" s="533"/>
      <c r="H119" s="533"/>
      <c r="I119" s="533"/>
      <c r="J119" s="533"/>
      <c r="K119" s="533"/>
      <c r="L119" s="533"/>
      <c r="M119" s="534"/>
      <c r="N119" s="1142"/>
      <c r="O119" s="1142"/>
      <c r="P119" s="44"/>
      <c r="Q119" s="501"/>
    </row>
    <row r="120" spans="1:17" s="468" customFormat="1" ht="15" thickTop="1">
      <c r="A120" s="590"/>
      <c r="B120" s="535">
        <f>B40</f>
        <v>111</v>
      </c>
      <c r="C120" s="520"/>
      <c r="D120" s="520"/>
      <c r="E120" s="520"/>
      <c r="F120" s="520"/>
      <c r="G120" s="552"/>
      <c r="H120" s="552"/>
      <c r="I120" s="552"/>
      <c r="J120" s="552"/>
      <c r="K120" s="552"/>
      <c r="L120" s="553"/>
      <c r="M120" s="554"/>
      <c r="N120" s="1143"/>
      <c r="O120" s="1143"/>
      <c r="P120" s="555"/>
      <c r="Q120" s="556"/>
    </row>
    <row r="121" spans="1:17" s="468" customFormat="1" ht="15.75" thickBot="1">
      <c r="A121" s="565"/>
      <c r="B121" s="697"/>
      <c r="C121" s="567"/>
      <c r="D121" s="567"/>
      <c r="E121" s="567"/>
      <c r="F121" s="567"/>
      <c r="G121" s="588"/>
      <c r="H121" s="588"/>
      <c r="I121" s="588"/>
      <c r="J121" s="588"/>
      <c r="K121" s="588"/>
      <c r="L121" s="588"/>
      <c r="M121" s="589"/>
      <c r="N121" s="1143"/>
      <c r="O121" s="1143"/>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66" customWidth="1"/>
    <col min="2" max="2" width="19.25" style="2872" customWidth="1"/>
    <col min="3" max="4" width="12" style="2698"/>
    <col min="5" max="5" width="14.625" style="2698" customWidth="1"/>
    <col min="6" max="8" width="12" style="2698"/>
    <col min="9" max="9" width="12.25" style="2698" bestFit="1" customWidth="1"/>
    <col min="10" max="10" width="12" style="2698"/>
    <col min="11" max="11" width="8.125" style="2761" customWidth="1"/>
    <col min="12" max="12" width="12" style="2698"/>
    <col min="13" max="13" width="8.5" style="2698" customWidth="1"/>
    <col min="14" max="14" width="9.75" style="2698" customWidth="1"/>
    <col min="15" max="25" width="12" style="2698"/>
    <col min="26" max="26" width="9.375" style="2766" customWidth="1"/>
    <col min="27" max="32" width="9.375" style="1361" customWidth="1"/>
    <col min="33" max="36" width="9.375" style="2766" customWidth="1"/>
    <col min="37" max="38" width="9.375" style="2698" customWidth="1"/>
    <col min="39" max="16384" width="12" style="2698"/>
  </cols>
  <sheetData>
    <row r="1" spans="1:36" ht="28.5">
      <c r="A1" s="238" t="s">
        <v>2787</v>
      </c>
      <c r="B1" s="239"/>
      <c r="C1" s="243" t="s">
        <v>2788</v>
      </c>
      <c r="D1" s="386">
        <f>SUM(D29:D30,D33:D39)</f>
        <v>0</v>
      </c>
      <c r="E1" s="2695"/>
      <c r="F1" s="2695"/>
      <c r="G1" s="2695"/>
      <c r="H1" s="2695"/>
      <c r="I1" s="2695"/>
      <c r="J1" s="2695"/>
      <c r="K1" s="1359"/>
      <c r="L1" s="2696" t="s">
        <v>2789</v>
      </c>
      <c r="M1" s="1069">
        <f>SUMPRODUCT((区片价!B5:B9=I2)*(区片价!C3:F3=E2)*(区片价!C5:F9))</f>
        <v>0</v>
      </c>
      <c r="N1" s="1072">
        <f>SUMPRODUCT((因素修正幅度!B5:B9=I2)*(因素修正幅度!C3:F3=E2)*(因素修正幅度!C5:F9))</f>
        <v>0</v>
      </c>
      <c r="O1" s="2697"/>
      <c r="P1" s="2697"/>
      <c r="Q1" s="1359"/>
      <c r="R1" s="1590" t="s">
        <v>2790</v>
      </c>
      <c r="S1" s="1590" t="s">
        <v>2791</v>
      </c>
      <c r="T1" s="1590" t="s">
        <v>2792</v>
      </c>
      <c r="U1" s="1590" t="s">
        <v>2793</v>
      </c>
      <c r="V1" s="1590" t="s">
        <v>2794</v>
      </c>
      <c r="W1" s="1594"/>
      <c r="X1" s="1594"/>
      <c r="Y1" s="1594"/>
      <c r="Z1" s="1594"/>
      <c r="AA1" s="1594"/>
      <c r="AB1" s="1594"/>
      <c r="AC1" s="1595"/>
      <c r="AD1" s="1596"/>
      <c r="AE1" s="1596"/>
      <c r="AF1" s="1596"/>
      <c r="AG1" s="1596"/>
      <c r="AH1" s="1596"/>
      <c r="AI1" s="1596"/>
      <c r="AJ1" s="1597"/>
    </row>
    <row r="2" spans="1:36" ht="15.75">
      <c r="A2" s="243" t="s">
        <v>2795</v>
      </c>
      <c r="B2" s="246" t="e">
        <f>C26</f>
        <v>#DIV/0!</v>
      </c>
      <c r="C2" s="2699" t="s">
        <v>2796</v>
      </c>
      <c r="D2" s="2700" t="s">
        <v>2797</v>
      </c>
      <c r="E2" s="2701"/>
      <c r="F2" s="2700" t="s">
        <v>2798</v>
      </c>
      <c r="G2" s="2702">
        <f>IF(E2="商业",项目基本情况!B37,IF(E2="办公",项目基本情况!C37,IF(E2="住宅",项目基本情况!D37,项目基本情况!E37)))</f>
        <v>0</v>
      </c>
      <c r="H2" s="2700" t="s">
        <v>2799</v>
      </c>
      <c r="I2" s="2702">
        <f>IF(E2="商业",项目基本情况!B38,IF(E2="办公",项目基本情况!C38,IF(E2="住宅",项目基本情况!D38,项目基本情况!E38)))</f>
        <v>0</v>
      </c>
      <c r="J2" s="2703"/>
      <c r="K2" s="1359"/>
      <c r="L2" s="2704" t="s">
        <v>2800</v>
      </c>
      <c r="M2" s="1070">
        <f>SUMPRODUCT((区片价!B10:B28=I2)*(区片价!C3:F3=E2)*(区片价!C10:F28))</f>
        <v>0</v>
      </c>
      <c r="N2" s="1072">
        <f>SUMPRODUCT((因素修正幅度!B10:B28=I2)*(因素修正幅度!C3:F3=E2)*(因素修正幅度!C10:F28))</f>
        <v>0</v>
      </c>
      <c r="O2" s="1359"/>
      <c r="P2" s="1359"/>
      <c r="Q2" s="1359"/>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45" t="s">
        <v>2801</v>
      </c>
      <c r="B3" s="246" t="e">
        <f>ROUND(B2*10000/D1,0)</f>
        <v>#DIV/0!</v>
      </c>
      <c r="C3" s="2699" t="s">
        <v>2802</v>
      </c>
      <c r="D3" s="2700" t="s">
        <v>2803</v>
      </c>
      <c r="E3" s="2705"/>
      <c r="F3" s="2706" t="s">
        <v>2804</v>
      </c>
      <c r="G3" s="906">
        <f>IF(F3="宗地容积率",'数据-汇总表'!I4,IF(F3="估价对象容积率",'数据-汇总表'!I6,'数据-汇总表'!I7))</f>
        <v>3.5</v>
      </c>
      <c r="H3" s="196" t="s">
        <v>2805</v>
      </c>
      <c r="I3" s="934"/>
      <c r="J3" s="2703" t="s">
        <v>2806</v>
      </c>
      <c r="K3" s="1359"/>
      <c r="L3" s="2704" t="s">
        <v>2807</v>
      </c>
      <c r="M3" s="1070">
        <f>SUMPRODUCT((区片价!B29:B48=I2)*(区片价!C3:F3=E2)*(区片价!C29:F48))</f>
        <v>0</v>
      </c>
      <c r="N3" s="1072">
        <f>SUMPRODUCT((因素修正幅度!B29:B48=I2)*(因素修正幅度!C3:F3=E2)*(因素修正幅度!C29:F48))</f>
        <v>0</v>
      </c>
      <c r="O3" s="1359"/>
      <c r="P3" s="1359"/>
      <c r="Q3" s="1359"/>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345"/>
      <c r="B4" s="3346"/>
      <c r="C4" s="3346"/>
      <c r="D4" s="3347"/>
      <c r="E4" s="3347"/>
      <c r="F4" s="3347"/>
      <c r="G4" s="3347"/>
      <c r="H4" s="3347"/>
      <c r="I4" s="3347"/>
      <c r="J4" s="3348"/>
      <c r="K4" s="1359"/>
      <c r="L4" s="2704" t="s">
        <v>2808</v>
      </c>
      <c r="M4" s="1070">
        <f>SUMPRODUCT((区片价!B49:B75=I2)*(区片价!C3:F3=E2)*(区片价!C49:F75))</f>
        <v>0</v>
      </c>
      <c r="N4" s="1072">
        <f>SUMPRODUCT((因素修正幅度!B49:B75=I2)*(因素修正幅度!C3:F3=E2)*(因素修正幅度!C49:F75))</f>
        <v>0</v>
      </c>
      <c r="O4" s="1359"/>
      <c r="P4" s="1359"/>
      <c r="Q4" s="1359"/>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16" customFormat="1" ht="15.75" thickBot="1">
      <c r="A5" s="2707" t="s">
        <v>807</v>
      </c>
      <c r="B5" s="2708" t="s">
        <v>2809</v>
      </c>
      <c r="C5" s="907" t="e">
        <f>ROUND(IF(E2="商业",C6*C7+C16,(IF(E2="住宅",C6*C12+C16,C6+C16))),0)</f>
        <v>#DIV/0!</v>
      </c>
      <c r="D5" s="1774" t="e">
        <f>ROUND(C6+C16,0)</f>
        <v>#DIV/0!</v>
      </c>
      <c r="E5" s="1774"/>
      <c r="F5" s="2709"/>
      <c r="G5" s="2710"/>
      <c r="H5" s="2710"/>
      <c r="I5" s="2710"/>
      <c r="J5" s="2711"/>
      <c r="K5" s="2712"/>
      <c r="L5" s="2704" t="s">
        <v>2810</v>
      </c>
      <c r="M5" s="1070">
        <f>SUMPRODUCT((区片价!B76:B109=I2)*(区片价!C3:F3=E2)*(区片价!C76:F109))</f>
        <v>0</v>
      </c>
      <c r="N5" s="1072">
        <f>SUMPRODUCT((因素修正幅度!B76:B109=I2)*(因素修正幅度!C3:F3=E2)*(因素修正幅度!C76:F109))</f>
        <v>0</v>
      </c>
      <c r="O5" s="1359"/>
      <c r="P5" s="1359"/>
      <c r="Q5" s="1359"/>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13"/>
      <c r="AD5" s="2714"/>
      <c r="AE5" s="2714"/>
      <c r="AF5" s="2714"/>
      <c r="AG5" s="2714"/>
      <c r="AH5" s="2714"/>
      <c r="AI5" s="2714"/>
      <c r="AJ5" s="2715"/>
    </row>
    <row r="6" spans="1:36" ht="15.75" thickBot="1">
      <c r="A6" s="2717" t="s">
        <v>2811</v>
      </c>
      <c r="B6" s="2718" t="s">
        <v>2812</v>
      </c>
      <c r="C6" s="908">
        <f>SUMIF(L1:L12,G2,M1:M12)</f>
        <v>0</v>
      </c>
      <c r="D6" s="2719" t="s">
        <v>2813</v>
      </c>
      <c r="E6" s="2720"/>
      <c r="F6" s="2720"/>
      <c r="G6" s="2721"/>
      <c r="H6" s="2721"/>
      <c r="I6" s="2721"/>
      <c r="J6" s="2722"/>
      <c r="K6" s="1829"/>
      <c r="L6" s="2704" t="s">
        <v>2814</v>
      </c>
      <c r="M6" s="1070">
        <f>SUMPRODUCT((区片价!B110:B157=I2)*(区片价!C3:F3=E2)*(区片价!C110:F157))</f>
        <v>0</v>
      </c>
      <c r="N6" s="1072">
        <f>SUMPRODUCT((因素修正幅度!B110:B157=I2)*(因素修正幅度!C3:F3=E2)*(因素修正幅度!C110:F157))</f>
        <v>0</v>
      </c>
      <c r="O6" s="1359"/>
      <c r="P6" s="1359"/>
      <c r="Q6" s="1359"/>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13"/>
      <c r="AD6" s="2714"/>
      <c r="AE6" s="2714"/>
      <c r="AF6" s="2714"/>
      <c r="AG6" s="2714"/>
      <c r="AH6" s="2714"/>
      <c r="AI6" s="2714"/>
      <c r="AJ6" s="2715"/>
    </row>
    <row r="7" spans="1:36" ht="24">
      <c r="A7" s="3349" t="str">
        <f>IF(E2="商业",IF(C8="不临58条商业街","",2),"")</f>
        <v/>
      </c>
      <c r="B7" s="2723" t="s">
        <v>2815</v>
      </c>
      <c r="C7" s="909" t="e">
        <f>IF(C8="不临58条商业街",1,ROUND(1+(1.6*E8+1.2*E9+0.8*E10+0.4*E11)*C9,4))</f>
        <v>#DIV/0!</v>
      </c>
      <c r="D7" s="2724" t="s">
        <v>2816</v>
      </c>
      <c r="E7" s="935"/>
      <c r="F7" s="2725"/>
      <c r="G7" s="2726"/>
      <c r="H7" s="2726"/>
      <c r="I7" s="2726"/>
      <c r="J7" s="2727"/>
      <c r="K7" s="1829"/>
      <c r="L7" s="2704" t="s">
        <v>2817</v>
      </c>
      <c r="M7" s="1070">
        <f>SUMPRODUCT((区片价!B158:B205=I2)*(区片价!C3:F3=E2)*(区片价!C158:F205))</f>
        <v>0</v>
      </c>
      <c r="N7" s="1072">
        <f>SUMPRODUCT((因素修正幅度!B158:B205=I2)*(因素修正幅度!C3:F3=E2)*(因素修正幅度!C158:F205))</f>
        <v>0</v>
      </c>
      <c r="O7" s="1359"/>
      <c r="P7" s="1359"/>
      <c r="Q7" s="1359"/>
      <c r="R7" s="1590">
        <v>6</v>
      </c>
      <c r="S7" s="1590">
        <f>ROUND(IF(G3&gt;1,IF(R7&lt;7,SUMPRODUCT((B93:B98=R7)*(C92:N92=G2)*(C93:N98)),SUMIF(C92:N92,G2,C100:N100)),IF(R7&lt;7,SUMPRODUCT((B102:B107=R7)*(C92:N92=G2)*(C102:N107)),SUMIF(C92:N92,G2,C109:N109))),4)</f>
        <v>0</v>
      </c>
      <c r="T7" s="1590" t="e">
        <f t="shared" si="0"/>
        <v>#DIV/0!</v>
      </c>
      <c r="U7" s="1591"/>
      <c r="V7" s="1590" t="e">
        <f t="shared" si="1"/>
        <v>#DIV/0!</v>
      </c>
      <c r="W7" s="1803" t="s">
        <v>2818</v>
      </c>
      <c r="X7" s="1592">
        <f>G2</f>
        <v>0</v>
      </c>
      <c r="Y7" s="1592" t="s">
        <v>2819</v>
      </c>
      <c r="Z7" s="1593">
        <f>G3</f>
        <v>3.5</v>
      </c>
      <c r="AA7" s="1594"/>
      <c r="AB7" s="1594"/>
      <c r="AC7" s="1595"/>
      <c r="AD7" s="1596"/>
      <c r="AE7" s="1596"/>
      <c r="AF7" s="1596"/>
      <c r="AG7" s="1596"/>
      <c r="AH7" s="1596"/>
      <c r="AI7" s="1596"/>
      <c r="AJ7" s="1597"/>
    </row>
    <row r="8" spans="1:36" ht="15">
      <c r="A8" s="3350"/>
      <c r="B8" s="196" t="s">
        <v>2820</v>
      </c>
      <c r="C8" s="2728"/>
      <c r="D8" s="910" t="s">
        <v>139</v>
      </c>
      <c r="E8" s="911" t="e">
        <f>ROUND(C11/E7,4)</f>
        <v>#DIV/0!</v>
      </c>
      <c r="F8" s="2729" t="s">
        <v>2821</v>
      </c>
      <c r="G8" s="2730"/>
      <c r="H8" s="2730"/>
      <c r="I8" s="2730"/>
      <c r="J8" s="2731"/>
      <c r="K8" s="1359"/>
      <c r="L8" s="2704" t="s">
        <v>2822</v>
      </c>
      <c r="M8" s="1070">
        <f>SUMPRODUCT((区片价!B206:B244=I2)*(区片价!C3:F3=E2)*(区片价!C206:F244))</f>
        <v>0</v>
      </c>
      <c r="N8" s="1072">
        <f>SUMPRODUCT((因素修正幅度!B206:B244=I2)*(因素修正幅度!C3:F3=E2)*(因素修正幅度!C206:F244))</f>
        <v>0</v>
      </c>
      <c r="O8" s="1359"/>
      <c r="P8" s="1359"/>
      <c r="Q8" s="1359"/>
      <c r="R8" s="1590">
        <v>7</v>
      </c>
      <c r="S8" s="1591"/>
      <c r="T8" s="1590" t="e">
        <f t="shared" si="0"/>
        <v>#DIV/0!</v>
      </c>
      <c r="U8" s="1591"/>
      <c r="V8" s="1590" t="e">
        <f t="shared" si="1"/>
        <v>#DIV/0!</v>
      </c>
      <c r="W8" s="3342" t="s">
        <v>2823</v>
      </c>
      <c r="X8" s="3343"/>
      <c r="Y8" s="1598" t="s">
        <v>2824</v>
      </c>
      <c r="Z8" s="1598" t="s">
        <v>2825</v>
      </c>
      <c r="AA8" s="1598" t="s">
        <v>2826</v>
      </c>
      <c r="AB8" s="1598" t="s">
        <v>2827</v>
      </c>
      <c r="AC8" s="1598" t="s">
        <v>2828</v>
      </c>
      <c r="AD8" s="1598" t="s">
        <v>2829</v>
      </c>
      <c r="AE8" s="1598" t="s">
        <v>2830</v>
      </c>
      <c r="AF8" s="1598" t="s">
        <v>2831</v>
      </c>
      <c r="AG8" s="1598" t="s">
        <v>2832</v>
      </c>
      <c r="AH8" s="1598" t="s">
        <v>2833</v>
      </c>
      <c r="AI8" s="1598" t="s">
        <v>2834</v>
      </c>
      <c r="AJ8" s="1598" t="s">
        <v>2835</v>
      </c>
    </row>
    <row r="9" spans="1:36" ht="15">
      <c r="A9" s="3350"/>
      <c r="B9" s="196" t="s">
        <v>2836</v>
      </c>
      <c r="C9" s="912">
        <f>SUMIF(修正!C59:C119,C8,修正!E59:E119)</f>
        <v>0</v>
      </c>
      <c r="D9" s="198" t="s">
        <v>140</v>
      </c>
      <c r="E9" s="198" t="e">
        <f>ROUND(C11/E7,4)</f>
        <v>#DIV/0!</v>
      </c>
      <c r="F9" s="2729" t="s">
        <v>2837</v>
      </c>
      <c r="G9" s="2730"/>
      <c r="H9" s="2730"/>
      <c r="I9" s="2730"/>
      <c r="J9" s="2731"/>
      <c r="K9" s="1359"/>
      <c r="L9" s="2704" t="s">
        <v>2838</v>
      </c>
      <c r="M9" s="1070">
        <f>SUMPRODUCT((区片价!B245:B289=I2)*(区片价!C3:F3=E2)*(区片价!C245:F289))</f>
        <v>0</v>
      </c>
      <c r="N9" s="1072">
        <f>SUMPRODUCT((因素修正幅度!B245:B289=I2)*(因素修正幅度!C3:F3=E2)*(因素修正幅度!C245:F289))</f>
        <v>0</v>
      </c>
      <c r="O9" s="1359"/>
      <c r="P9" s="1359"/>
      <c r="Q9" s="1359"/>
      <c r="R9" s="1590">
        <v>8</v>
      </c>
      <c r="S9" s="1591"/>
      <c r="T9" s="1590" t="e">
        <f t="shared" si="0"/>
        <v>#DIV/0!</v>
      </c>
      <c r="U9" s="1591"/>
      <c r="V9" s="1590" t="e">
        <f t="shared" si="1"/>
        <v>#DIV/0!</v>
      </c>
      <c r="W9" s="3344" t="s">
        <v>2839</v>
      </c>
      <c r="X9" s="1599" t="s">
        <v>2840</v>
      </c>
      <c r="Y9" s="1759"/>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350"/>
      <c r="B10" s="196" t="s">
        <v>2841</v>
      </c>
      <c r="C10" s="198">
        <f>SUMIF(修正!C59:C119,C8,修正!F59:F119)</f>
        <v>0</v>
      </c>
      <c r="D10" s="198" t="s">
        <v>141</v>
      </c>
      <c r="E10" s="198" t="e">
        <f>ROUND(C11/E7,4)</f>
        <v>#DIV/0!</v>
      </c>
      <c r="F10" s="2729" t="s">
        <v>2842</v>
      </c>
      <c r="G10" s="2730"/>
      <c r="H10" s="2730"/>
      <c r="I10" s="2730"/>
      <c r="J10" s="2731"/>
      <c r="K10" s="1359"/>
      <c r="L10" s="2704" t="s">
        <v>2843</v>
      </c>
      <c r="M10" s="1070">
        <f>SUMPRODUCT((区片价!B290:B316=I2)*(区片价!C3:F3=E2)*(区片价!C290:F316))</f>
        <v>0</v>
      </c>
      <c r="N10" s="1072">
        <f>SUMPRODUCT((因素修正幅度!B290:B316=I2)*(因素修正幅度!C3:F3=E2)*(因素修正幅度!C290:F316))</f>
        <v>0</v>
      </c>
      <c r="O10" s="1359"/>
      <c r="P10" s="1359"/>
      <c r="Q10" s="1359"/>
      <c r="R10" s="1590">
        <v>9</v>
      </c>
      <c r="S10" s="1591"/>
      <c r="T10" s="1590" t="e">
        <f t="shared" si="0"/>
        <v>#DIV/0!</v>
      </c>
      <c r="U10" s="1591"/>
      <c r="V10" s="1590" t="e">
        <f t="shared" si="1"/>
        <v>#DIV/0!</v>
      </c>
      <c r="W10" s="3344"/>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350"/>
      <c r="B11" s="2732" t="s">
        <v>2844</v>
      </c>
      <c r="C11" s="913">
        <f>C10/4</f>
        <v>0</v>
      </c>
      <c r="D11" s="913" t="s">
        <v>142</v>
      </c>
      <c r="E11" s="913" t="e">
        <f>ROUND(C11/E7,4)</f>
        <v>#DIV/0!</v>
      </c>
      <c r="F11" s="2733" t="s">
        <v>2845</v>
      </c>
      <c r="G11" s="2734"/>
      <c r="H11" s="2734"/>
      <c r="I11" s="2734"/>
      <c r="J11" s="2735"/>
      <c r="K11" s="1359"/>
      <c r="L11" s="2704" t="s">
        <v>2846</v>
      </c>
      <c r="M11" s="1070">
        <f>SUMPRODUCT((区片价!B317:B337=I2)*(区片价!C3:F3=E2)*(区片价!C317:F337))</f>
        <v>0</v>
      </c>
      <c r="N11" s="1072">
        <f>SUMPRODUCT((因素修正幅度!B317:B337=I2)*(因素修正幅度!C3:F3=E2)*(因素修正幅度!C317:F337))</f>
        <v>0</v>
      </c>
      <c r="O11" s="1359"/>
      <c r="P11" s="1359"/>
      <c r="Q11" s="1359"/>
      <c r="R11" s="1590">
        <v>10</v>
      </c>
      <c r="S11" s="1591"/>
      <c r="T11" s="1590" t="e">
        <f t="shared" si="0"/>
        <v>#DIV/0!</v>
      </c>
      <c r="U11" s="1591"/>
      <c r="V11" s="1590" t="e">
        <f t="shared" si="1"/>
        <v>#DIV/0!</v>
      </c>
      <c r="W11" s="3344" t="s">
        <v>2847</v>
      </c>
      <c r="X11" s="1602" t="s">
        <v>2848</v>
      </c>
      <c r="Y11" s="1603">
        <f>$G$3</f>
        <v>3.5</v>
      </c>
      <c r="Z11" s="1603">
        <f t="shared" ref="Z11:AJ11" si="3">$G$3</f>
        <v>3.5</v>
      </c>
      <c r="AA11" s="1603">
        <f t="shared" si="3"/>
        <v>3.5</v>
      </c>
      <c r="AB11" s="1603">
        <f t="shared" si="3"/>
        <v>3.5</v>
      </c>
      <c r="AC11" s="1603">
        <f t="shared" si="3"/>
        <v>3.5</v>
      </c>
      <c r="AD11" s="1603">
        <f t="shared" si="3"/>
        <v>3.5</v>
      </c>
      <c r="AE11" s="1603">
        <f t="shared" si="3"/>
        <v>3.5</v>
      </c>
      <c r="AF11" s="1603">
        <f t="shared" si="3"/>
        <v>3.5</v>
      </c>
      <c r="AG11" s="1603">
        <f t="shared" si="3"/>
        <v>3.5</v>
      </c>
      <c r="AH11" s="1603">
        <f t="shared" si="3"/>
        <v>3.5</v>
      </c>
      <c r="AI11" s="1603">
        <f t="shared" si="3"/>
        <v>3.5</v>
      </c>
      <c r="AJ11" s="1603">
        <f t="shared" si="3"/>
        <v>3.5</v>
      </c>
    </row>
    <row r="12" spans="1:36" ht="25.5" thickBot="1">
      <c r="A12" s="3349" t="s">
        <v>2849</v>
      </c>
      <c r="B12" s="2736" t="s">
        <v>2850</v>
      </c>
      <c r="C12" s="909">
        <f>ROUND(C15*D15*E15*F15*G15*H15*I15*J15,4)</f>
        <v>1</v>
      </c>
      <c r="D12" s="2737" t="s">
        <v>2851</v>
      </c>
      <c r="E12" s="2738"/>
      <c r="F12" s="2738"/>
      <c r="G12" s="2739"/>
      <c r="H12" s="2739"/>
      <c r="I12" s="2739"/>
      <c r="J12" s="2740"/>
      <c r="K12" s="1359"/>
      <c r="L12" s="2741" t="s">
        <v>2852</v>
      </c>
      <c r="M12" s="1071">
        <f>SUMPRODUCT((区片价!B338:B344=I2)*(区片价!C3:F3=E2)*(区片价!C338:F344))</f>
        <v>0</v>
      </c>
      <c r="N12" s="1072">
        <f>SUMPRODUCT((因素修正幅度!B338:B344=I2)*(因素修正幅度!C3:F3=E2)*(因素修正幅度!C338:F344))</f>
        <v>0</v>
      </c>
      <c r="O12" s="1359"/>
      <c r="P12" s="1359"/>
      <c r="Q12" s="1359"/>
      <c r="R12" s="1590">
        <v>11</v>
      </c>
      <c r="S12" s="1591"/>
      <c r="T12" s="1590" t="e">
        <f t="shared" si="0"/>
        <v>#DIV/0!</v>
      </c>
      <c r="U12" s="1591"/>
      <c r="V12" s="1590" t="e">
        <f t="shared" si="1"/>
        <v>#DIV/0!</v>
      </c>
      <c r="W12" s="3344"/>
      <c r="X12" s="1604" t="s">
        <v>2853</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351"/>
      <c r="B13" s="2742" t="s">
        <v>2854</v>
      </c>
      <c r="C13" s="2743" t="s">
        <v>2855</v>
      </c>
      <c r="D13" s="1795" t="s">
        <v>2856</v>
      </c>
      <c r="E13" s="1795" t="s">
        <v>2857</v>
      </c>
      <c r="F13" s="29" t="s">
        <v>2858</v>
      </c>
      <c r="G13" s="2744" t="s">
        <v>2859</v>
      </c>
      <c r="H13" s="2744" t="s">
        <v>2859</v>
      </c>
      <c r="I13" s="2744" t="s">
        <v>2859</v>
      </c>
      <c r="J13" s="2745" t="s">
        <v>2859</v>
      </c>
      <c r="K13" s="1359"/>
      <c r="L13" s="1359"/>
      <c r="M13" s="1359"/>
      <c r="N13" s="1359"/>
      <c r="O13" s="1359"/>
      <c r="P13" s="1359"/>
      <c r="Q13" s="1359"/>
      <c r="R13" s="1590">
        <v>12</v>
      </c>
      <c r="S13" s="1591"/>
      <c r="T13" s="1590" t="e">
        <f t="shared" si="0"/>
        <v>#DIV/0!</v>
      </c>
      <c r="U13" s="1591"/>
      <c r="V13" s="1590" t="e">
        <f t="shared" si="1"/>
        <v>#DIV/0!</v>
      </c>
      <c r="W13" s="3344"/>
      <c r="X13" s="1604"/>
      <c r="Y13" s="1601">
        <f>(-0.163*(Y12^2)-0.59*Y12+7617)*(10^(-4))/Y11</f>
        <v>0.21762857142857145</v>
      </c>
      <c r="Z13" s="1601">
        <f t="shared" ref="Z13:AJ13" si="5">(-0.163*(Z12^2)-0.59*Z12+7617)*(10^(-4))/Z11</f>
        <v>0.21762857142857145</v>
      </c>
      <c r="AA13" s="1601">
        <f t="shared" si="5"/>
        <v>0.21762857142857145</v>
      </c>
      <c r="AB13" s="1601">
        <f t="shared" si="5"/>
        <v>0.21762857142857145</v>
      </c>
      <c r="AC13" s="1601">
        <f t="shared" si="5"/>
        <v>0.21762857142857145</v>
      </c>
      <c r="AD13" s="1601">
        <f t="shared" si="5"/>
        <v>0.21762857142857145</v>
      </c>
      <c r="AE13" s="1601">
        <f t="shared" si="5"/>
        <v>0.21762857142857145</v>
      </c>
      <c r="AF13" s="1601">
        <f t="shared" si="5"/>
        <v>0.21762857142857145</v>
      </c>
      <c r="AG13" s="1601">
        <f t="shared" si="5"/>
        <v>0.21762857142857145</v>
      </c>
      <c r="AH13" s="1601">
        <f t="shared" si="5"/>
        <v>0.21762857142857145</v>
      </c>
      <c r="AI13" s="1601">
        <f t="shared" si="5"/>
        <v>0.21762857142857145</v>
      </c>
      <c r="AJ13" s="1601">
        <f t="shared" si="5"/>
        <v>0.21762857142857145</v>
      </c>
    </row>
    <row r="14" spans="1:36" ht="15">
      <c r="A14" s="3351"/>
      <c r="B14" s="2746"/>
      <c r="C14" s="2747"/>
      <c r="D14" s="2748"/>
      <c r="E14" s="2748"/>
      <c r="F14" s="2749"/>
      <c r="G14" s="2750" t="s">
        <v>2860</v>
      </c>
      <c r="H14" s="2751"/>
      <c r="I14" s="2752"/>
      <c r="J14" s="2753"/>
      <c r="K14" s="1359"/>
      <c r="L14" s="1359"/>
      <c r="M14" s="1359"/>
      <c r="N14" s="1359"/>
      <c r="O14" s="1359"/>
      <c r="P14" s="1359"/>
      <c r="Q14" s="1359"/>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352"/>
      <c r="B15" s="2754" t="s">
        <v>2861</v>
      </c>
      <c r="C15" s="227">
        <f>IF(C14="有",1.1,1)</f>
        <v>1</v>
      </c>
      <c r="D15" s="227">
        <f>IF(D14="有",1.1,1)</f>
        <v>1</v>
      </c>
      <c r="E15" s="227">
        <f>IF(E14="有",1.1,1)</f>
        <v>1</v>
      </c>
      <c r="F15" s="227">
        <f>IF(F14="500米范围内",1.2,IF(F14="500-1000米",1.1,1))</f>
        <v>1</v>
      </c>
      <c r="G15" s="936">
        <v>1</v>
      </c>
      <c r="H15" s="936">
        <v>1</v>
      </c>
      <c r="I15" s="936">
        <v>1</v>
      </c>
      <c r="J15" s="937">
        <v>1</v>
      </c>
      <c r="K15" s="1359"/>
      <c r="Q15" s="1359"/>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6" customHeight="1">
      <c r="A16" s="3349" t="s">
        <v>2866</v>
      </c>
      <c r="B16" s="2723" t="s">
        <v>2867</v>
      </c>
      <c r="C16" s="2910" t="e">
        <f>ROUND(IF(F17="与级别开发程度一致",0,(G17-E17)/C17),0)</f>
        <v>#DIV/0!</v>
      </c>
      <c r="D16" s="3363" t="s">
        <v>2871</v>
      </c>
      <c r="E16" s="3364"/>
      <c r="F16" s="3363" t="s">
        <v>2868</v>
      </c>
      <c r="G16" s="3364"/>
      <c r="H16" s="2757"/>
      <c r="I16" s="2757"/>
      <c r="J16" s="2914"/>
      <c r="K16" s="2757"/>
      <c r="L16" s="2757"/>
      <c r="M16" s="2757"/>
      <c r="N16" s="2757"/>
      <c r="O16" s="2758"/>
      <c r="Q16" s="1359"/>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353"/>
      <c r="B17" s="2921" t="s">
        <v>2870</v>
      </c>
      <c r="C17" s="2922">
        <f>SUMPRODUCT((修正!A2:A5=E2)*(修正!B1:M1=G2)*(修正!B2:M5))</f>
        <v>0</v>
      </c>
      <c r="D17" s="227" t="str">
        <f>IF(OR(G2="八级",G2="九级",G2="十级",G2="十一级",G2="十二级"),"五通一平","七通一平")</f>
        <v>七通一平</v>
      </c>
      <c r="E17" s="2911">
        <f>SUMPRODUCT((修正!B1:M1=G2)*(修正!B15:M15))</f>
        <v>0</v>
      </c>
      <c r="F17" s="2912"/>
      <c r="G17" s="2913">
        <f>SUM(H17:O17)</f>
        <v>0</v>
      </c>
      <c r="H17" s="2922">
        <f>SUMPRODUCT((七通一平=H16)*(修正!B1:M1=G2)*(修正!B6:M14))</f>
        <v>0</v>
      </c>
      <c r="I17" s="2922">
        <f>SUMPRODUCT((七通一平=I16)*(修正!B1:M1=G2)*(修正!B6:M14))</f>
        <v>0</v>
      </c>
      <c r="J17" s="2923">
        <f>SUMPRODUCT((七通一平=J16)*(修正!B1:M1=G2)*(修正!B6:M14))</f>
        <v>0</v>
      </c>
      <c r="K17" s="2922">
        <f>SUMPRODUCT((七通一平=K16)*(修正!B1:M1=G2)*(修正!B6:M14))</f>
        <v>0</v>
      </c>
      <c r="L17" s="2922">
        <f>SUMPRODUCT((七通一平=L16)*(修正!B1:M1=G2)*(修正!B6:M14))</f>
        <v>0</v>
      </c>
      <c r="M17" s="2922">
        <f>SUMPRODUCT((七通一平=M16)*(修正!B1:M1=G2)*(修正!B6:M14))</f>
        <v>0</v>
      </c>
      <c r="N17" s="2922">
        <f>SUMPRODUCT((七通一平=N16)*(修正!B1:M1=G2)*(修正!B6:M14))</f>
        <v>0</v>
      </c>
      <c r="O17" s="2924">
        <f>SUMPRODUCT((七通一平=O16)*(修正!B1:M1=G2)*(修正!B6:M14))</f>
        <v>0</v>
      </c>
      <c r="Q17" s="1359"/>
      <c r="R17" s="1359"/>
      <c r="S17" s="1359"/>
      <c r="T17" s="1359"/>
      <c r="U17" s="1359"/>
      <c r="V17" s="1359"/>
      <c r="W17" s="1359"/>
      <c r="X17" s="1359"/>
      <c r="Y17" s="1359"/>
      <c r="Z17" s="1360"/>
      <c r="AE17" s="2761"/>
      <c r="AF17" s="2761"/>
      <c r="AG17" s="2698"/>
      <c r="AH17" s="2698"/>
      <c r="AI17" s="2698"/>
      <c r="AJ17" s="2698"/>
    </row>
    <row r="18" spans="1:37" s="2716" customFormat="1" ht="15.75" thickBot="1">
      <c r="A18" s="2915" t="s">
        <v>808</v>
      </c>
      <c r="B18" s="2916" t="s">
        <v>2873</v>
      </c>
      <c r="C18" s="2917">
        <f>SUMIF(修正!C18:C39,E3,修正!E18:E39)</f>
        <v>0</v>
      </c>
      <c r="D18" s="2918"/>
      <c r="E18" s="2919"/>
      <c r="F18" s="2919"/>
      <c r="G18" s="2919"/>
      <c r="H18" s="2919"/>
      <c r="I18" s="2919"/>
      <c r="J18" s="2920"/>
      <c r="K18" s="1366"/>
      <c r="O18" s="1364"/>
      <c r="P18" s="1364"/>
      <c r="Q18" s="1365"/>
      <c r="R18" s="1365"/>
      <c r="S18" s="1365"/>
      <c r="T18" s="1360"/>
      <c r="U18" s="1360"/>
      <c r="V18" s="1360"/>
      <c r="W18" s="1359"/>
      <c r="X18" s="1359"/>
      <c r="Y18" s="1359"/>
      <c r="Z18" s="1366"/>
      <c r="AA18" s="1367"/>
      <c r="AB18" s="1367"/>
      <c r="AC18" s="1367"/>
      <c r="AD18" s="1367"/>
      <c r="AE18" s="1361"/>
      <c r="AF18" s="1361"/>
      <c r="AG18" s="2766"/>
      <c r="AH18" s="2766"/>
      <c r="AI18" s="2766"/>
    </row>
    <row r="19" spans="1:37" s="2716" customFormat="1" ht="27.75" thickBot="1">
      <c r="A19" s="2762" t="s">
        <v>809</v>
      </c>
      <c r="B19" s="2763" t="s">
        <v>2874</v>
      </c>
      <c r="C19" s="914" t="e">
        <f>ROUND(IF(H19="按公示增长率计算",SUMPRODUCT((地价!A3:A27=YEAR(G19)&amp;"-"&amp;ROUNDUP(MONTH(G19)/3,0))*(地价!X2:AB2=E2)*(地价!X3:AB27)),IF(H19="地价指数",M20/M19,(1+I19)^O19)),4)</f>
        <v>#VALUE!</v>
      </c>
      <c r="D19" s="2767" t="s">
        <v>2875</v>
      </c>
      <c r="E19" s="915">
        <v>41640</v>
      </c>
      <c r="F19" s="2767" t="s">
        <v>2876</v>
      </c>
      <c r="G19" s="916">
        <f>'数据-取费表'!B2</f>
        <v>43970</v>
      </c>
      <c r="H19" s="2768"/>
      <c r="I19" s="917" t="str">
        <f>IF(H19="季度增幅（自定义）",SUMIF(N21:N24,E2,O21:O24),"")</f>
        <v/>
      </c>
      <c r="J19" s="2765"/>
      <c r="K19" s="1366"/>
      <c r="L19" s="2769" t="s">
        <v>2877</v>
      </c>
      <c r="M19" s="1722">
        <f>ROUND(SUMIF(地价!B2:F2,E2,地价!B27:F27),0)</f>
        <v>0</v>
      </c>
      <c r="N19" s="2770" t="s">
        <v>2878</v>
      </c>
      <c r="O19" s="918">
        <f>ROUNDDOWN(DATEDIF(E19,G19,"M")/3,0)</f>
        <v>25</v>
      </c>
      <c r="P19" s="1363"/>
      <c r="Q19" s="1365"/>
      <c r="R19" s="1365"/>
      <c r="S19" s="1365"/>
      <c r="T19" s="1360"/>
      <c r="U19" s="1360"/>
      <c r="V19" s="1360"/>
      <c r="W19" s="1359"/>
      <c r="X19" s="1359"/>
      <c r="Y19" s="1359"/>
      <c r="Z19" s="1366"/>
      <c r="AA19" s="1367"/>
      <c r="AB19" s="1367"/>
      <c r="AC19" s="1367"/>
      <c r="AD19" s="1367"/>
      <c r="AE19" s="1367"/>
      <c r="AF19" s="2771"/>
      <c r="AG19" s="2772"/>
      <c r="AH19" s="2766"/>
      <c r="AI19" s="2773"/>
      <c r="AJ19" s="2773"/>
      <c r="AK19" s="2773"/>
    </row>
    <row r="20" spans="1:37" s="2716" customFormat="1" ht="27.75" thickBot="1">
      <c r="A20" s="2774" t="s">
        <v>810</v>
      </c>
      <c r="B20" s="2775" t="s">
        <v>2879</v>
      </c>
      <c r="C20" s="919" t="e">
        <f>ROUND(POWER(1+G20,J20-I20)*(POWER(1+G20,I20)-1)/(POWER(1+G20,J20)-1),4)</f>
        <v>#DIV/0!</v>
      </c>
      <c r="D20" s="2776" t="s">
        <v>2880</v>
      </c>
      <c r="E20" s="1755">
        <f ca="1">存贷款利率!D4/100</f>
        <v>4.3499999999999997E-2</v>
      </c>
      <c r="F20" s="2776" t="s">
        <v>2872</v>
      </c>
      <c r="G20" s="924">
        <f>SUMIF(M26:P26,E2,M28:P28)</f>
        <v>0</v>
      </c>
      <c r="H20" s="2776" t="s">
        <v>2881</v>
      </c>
      <c r="I20" s="925" t="e">
        <f>SUMIF('数据-取费表'!C6:C15,E2,'数据-取费表'!F6:F15)/COUNTIF('数据-取费表'!C6:C15,E2)</f>
        <v>#DIV/0!</v>
      </c>
      <c r="J20" s="926">
        <f>IF(E2="住宅",70,IF(E2="商业",40,50))</f>
        <v>50</v>
      </c>
      <c r="K20" s="1366"/>
      <c r="L20" s="2777" t="s">
        <v>2882</v>
      </c>
      <c r="M20" s="1723">
        <f>ROUND(SUMPRODUCT((地价!A4:A27=YEAR(G19)&amp;"-"&amp;ROUNDUP(MONTH(G19)/3,0))*(地价!B2:F2=E2)*(地价!B4:F27)),0)</f>
        <v>0</v>
      </c>
      <c r="N20" s="2778" t="s">
        <v>2883</v>
      </c>
      <c r="O20" s="2779" t="s">
        <v>2884</v>
      </c>
      <c r="P20" s="2780" t="s">
        <v>2885</v>
      </c>
      <c r="R20" s="1365"/>
      <c r="S20" s="1365"/>
      <c r="T20" s="1360"/>
      <c r="U20" s="1360"/>
      <c r="V20" s="1360"/>
      <c r="W20" s="1359"/>
      <c r="X20" s="1359"/>
      <c r="Y20" s="1359"/>
      <c r="Z20" s="1366"/>
      <c r="AA20" s="1367"/>
      <c r="AB20" s="1367"/>
      <c r="AC20" s="1367"/>
      <c r="AD20" s="1367"/>
      <c r="AE20" s="1367"/>
      <c r="AF20" s="1367"/>
    </row>
    <row r="21" spans="1:37" s="2716" customFormat="1" ht="15">
      <c r="A21" s="2781" t="s">
        <v>811</v>
      </c>
      <c r="B21" s="2782" t="s">
        <v>2886</v>
      </c>
      <c r="C21" s="927">
        <f>IF(B21="容积率修正",IF(G3&lt;=10,D22,J22),C23)</f>
        <v>0</v>
      </c>
      <c r="D21" s="2783"/>
      <c r="E21" s="2783"/>
      <c r="F21" s="2783"/>
      <c r="G21" s="2783"/>
      <c r="H21" s="2783"/>
      <c r="I21" s="2783"/>
      <c r="J21" s="2784"/>
      <c r="K21" s="1366"/>
      <c r="N21" s="2785" t="s">
        <v>2887</v>
      </c>
      <c r="O21" s="1550"/>
      <c r="P21" s="1551">
        <f>SUMPRODUCT((地价!A3:A27=YEAR(G19)&amp;"-"&amp;ROUNDUP(MONTH(G19)/3,0))*(地价!AD2:AH2=N21)*(地价!AD3:AH27))</f>
        <v>0</v>
      </c>
      <c r="R21" s="1365"/>
      <c r="S21" s="1365"/>
      <c r="T21" s="1360"/>
      <c r="U21" s="1360"/>
      <c r="V21" s="1360"/>
      <c r="W21" s="1359"/>
      <c r="X21" s="1359"/>
      <c r="Y21" s="1359"/>
      <c r="Z21" s="1366"/>
      <c r="AA21" s="1367"/>
      <c r="AB21" s="1367"/>
      <c r="AC21" s="1367"/>
      <c r="AD21" s="1367"/>
      <c r="AE21" s="1367"/>
      <c r="AF21" s="1367"/>
    </row>
    <row r="22" spans="1:37" s="2716" customFormat="1" ht="14.25">
      <c r="A22" s="2642" t="s">
        <v>2888</v>
      </c>
      <c r="B22" s="2786" t="s">
        <v>2889</v>
      </c>
      <c r="C22" s="1797" t="s">
        <v>2890</v>
      </c>
      <c r="D22" s="1797" t="b">
        <f>IF(E22=G22,F22,IF(G3&lt;=10,ROUND(F22+(H22-F22)*(G3-E22)/(G22-E22),4),"——"))</f>
        <v>0</v>
      </c>
      <c r="E22" s="906">
        <f>ROUNDDOWN(G3,1)</f>
        <v>3.5</v>
      </c>
      <c r="F22" s="17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3.5</v>
      </c>
      <c r="H22" s="17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7" t="s">
        <v>155</v>
      </c>
      <c r="J22" s="928" t="str">
        <f>IF(G3&gt;10,D113,"——")</f>
        <v>——</v>
      </c>
      <c r="K22" s="1366"/>
      <c r="N22" s="2785" t="s">
        <v>2891</v>
      </c>
      <c r="O22" s="1550"/>
      <c r="P22" s="1551">
        <f>SUMPRODUCT((地价!A3:A27=YEAR(G19)&amp;"-"&amp;ROUNDUP(MONTH(G19)/3,0))*(地价!AD2:AH2=N22)*(地价!AD3:AH27))</f>
        <v>0</v>
      </c>
      <c r="R22" s="1365"/>
      <c r="S22" s="1365"/>
      <c r="T22" s="1360"/>
      <c r="U22" s="1360"/>
      <c r="V22" s="1360"/>
      <c r="W22" s="1359"/>
      <c r="X22" s="1359"/>
      <c r="Y22" s="1359"/>
      <c r="Z22" s="1366"/>
      <c r="AA22" s="1367"/>
      <c r="AB22" s="1367"/>
      <c r="AC22" s="1367"/>
      <c r="AD22" s="1367"/>
      <c r="AE22" s="1367"/>
      <c r="AF22" s="1367"/>
    </row>
    <row r="23" spans="1:37" ht="27.75" thickBot="1">
      <c r="A23" s="2642" t="s">
        <v>2892</v>
      </c>
      <c r="B23" s="2787" t="s">
        <v>2893</v>
      </c>
      <c r="C23" s="1003">
        <f>ROUND(IF(G3&gt;1,IF(I3&lt;7,SUMPRODUCT((B93:B98=I3)*(C92:N92=G2)*(C93:N98)),SUMIF(C92:N92,G2,C100:N100)),IF(I3&lt;7,SUMPRODUCT((B102:B107=I3)*(C92:N92=G2)*(C102:N107)),SUMIF(C92:N92,G2,C109:N109))),4)</f>
        <v>0</v>
      </c>
      <c r="D23" s="2751"/>
      <c r="E23" s="2751"/>
      <c r="F23" s="2788"/>
      <c r="G23" s="2789"/>
      <c r="H23" s="2790"/>
      <c r="I23" s="2791"/>
      <c r="J23" s="2792"/>
      <c r="K23" s="1359"/>
      <c r="N23" s="2785" t="s">
        <v>2894</v>
      </c>
      <c r="O23" s="1550"/>
      <c r="P23" s="1551">
        <f>SUMPRODUCT((地价!A3:A27=YEAR(G19)&amp;"-"&amp;ROUNDUP(MONTH(G19)/3,0))*(地价!AD2:AH2=N23)*(地价!AD3:AH27))</f>
        <v>0</v>
      </c>
      <c r="R23" s="1365"/>
      <c r="S23" s="1365"/>
      <c r="T23" s="1360"/>
      <c r="U23" s="1360"/>
      <c r="V23" s="1360"/>
      <c r="W23" s="1359"/>
      <c r="X23" s="1359"/>
      <c r="Y23" s="1359"/>
      <c r="Z23" s="1366"/>
      <c r="AA23" s="1367"/>
      <c r="AB23" s="1367"/>
      <c r="AC23" s="1367"/>
      <c r="AD23" s="1367"/>
      <c r="AK23" s="2766"/>
    </row>
    <row r="24" spans="1:37" s="2716" customFormat="1" ht="15.75" thickBot="1">
      <c r="A24" s="2774" t="s">
        <v>812</v>
      </c>
      <c r="B24" s="2763" t="s">
        <v>2895</v>
      </c>
      <c r="C24" s="914">
        <f>SUMIF(A45:A88,E2,B45:B88)</f>
        <v>0</v>
      </c>
      <c r="D24" s="2764"/>
      <c r="E24" s="2793"/>
      <c r="F24" s="2793"/>
      <c r="G24" s="2793"/>
      <c r="H24" s="2793"/>
      <c r="I24" s="2793"/>
      <c r="J24" s="2794"/>
      <c r="K24" s="1366"/>
      <c r="N24" s="2795" t="s">
        <v>2896</v>
      </c>
      <c r="O24" s="1552"/>
      <c r="P24" s="1553">
        <f>SUMPRODUCT((地价!A3:A27=YEAR(G19)&amp;"-"&amp;ROUNDUP(MONTH(G19)/3,0))*(地价!AD2:AH2=N24)*(地价!AD3:AH27))</f>
        <v>0</v>
      </c>
      <c r="R24" s="1365"/>
      <c r="S24" s="1365"/>
      <c r="T24" s="1360"/>
      <c r="U24" s="1360"/>
      <c r="V24" s="1360"/>
      <c r="W24" s="1359"/>
      <c r="X24" s="1359"/>
      <c r="Y24" s="1359"/>
      <c r="Z24" s="1366"/>
      <c r="AA24" s="1367"/>
      <c r="AB24" s="1367"/>
      <c r="AC24" s="1367"/>
      <c r="AD24" s="1367"/>
      <c r="AE24" s="1367"/>
      <c r="AF24" s="1367"/>
    </row>
    <row r="25" spans="1:37" ht="15.75" thickBot="1">
      <c r="A25" s="2774" t="s">
        <v>813</v>
      </c>
      <c r="B25" s="2796" t="s">
        <v>2897</v>
      </c>
      <c r="C25" s="920"/>
      <c r="D25" s="2726"/>
      <c r="E25" s="2726"/>
      <c r="F25" s="2797"/>
      <c r="G25" s="2726"/>
      <c r="H25" s="2726"/>
      <c r="I25" s="2726"/>
      <c r="J25" s="2727"/>
      <c r="K25" s="1359"/>
      <c r="N25" s="2798" t="s">
        <v>2898</v>
      </c>
      <c r="O25" s="1554"/>
      <c r="P25" s="1553">
        <f>SUMPRODUCT((地价!A3:A27=YEAR(G19)&amp;"-"&amp;ROUNDUP(MONTH(G19)/3,0))*(地价!AD2:AH2=N25)*(地价!AD3:AH27))</f>
        <v>0</v>
      </c>
      <c r="R25" s="1365"/>
      <c r="S25" s="1365"/>
      <c r="T25" s="1360"/>
      <c r="U25" s="1360"/>
      <c r="V25" s="1360"/>
      <c r="W25" s="1359"/>
      <c r="X25" s="1359"/>
      <c r="Y25" s="1359"/>
      <c r="Z25" s="1366"/>
      <c r="AA25" s="1367"/>
      <c r="AB25" s="1367"/>
      <c r="AC25" s="1367"/>
      <c r="AD25" s="1367"/>
    </row>
    <row r="26" spans="1:37" ht="15">
      <c r="A26" s="2799"/>
      <c r="B26" s="2786" t="s">
        <v>2899</v>
      </c>
      <c r="C26" s="204" t="e">
        <f>E29+SUM(E33:E39)</f>
        <v>#DIV/0!</v>
      </c>
      <c r="D26" s="2800"/>
      <c r="E26" s="2751"/>
      <c r="F26" s="2801"/>
      <c r="G26" s="2751"/>
      <c r="H26" s="2751"/>
      <c r="I26" s="2751"/>
      <c r="J26" s="2802"/>
      <c r="K26" s="1359"/>
      <c r="L26" s="2755" t="s">
        <v>2797</v>
      </c>
      <c r="M26" s="910" t="s">
        <v>2862</v>
      </c>
      <c r="N26" s="910" t="s">
        <v>2863</v>
      </c>
      <c r="O26" s="910" t="s">
        <v>2864</v>
      </c>
      <c r="P26" s="2756" t="s">
        <v>2865</v>
      </c>
      <c r="R26" s="1365"/>
      <c r="S26" s="1365"/>
      <c r="T26" s="1360"/>
      <c r="U26" s="1360"/>
      <c r="V26" s="1360"/>
      <c r="W26" s="1359"/>
      <c r="X26" s="1359"/>
      <c r="Y26" s="1359"/>
      <c r="Z26" s="1366"/>
      <c r="AA26" s="1367"/>
      <c r="AB26" s="1367"/>
      <c r="AC26" s="1367"/>
      <c r="AD26" s="1367"/>
    </row>
    <row r="27" spans="1:37" ht="15.75" thickBot="1">
      <c r="A27" s="2799"/>
      <c r="B27" s="2803" t="s">
        <v>2900</v>
      </c>
      <c r="C27" s="921" t="e">
        <f>E30+SUM(I33:I39)</f>
        <v>#DIV/0!</v>
      </c>
      <c r="D27" s="2804"/>
      <c r="E27" s="2805"/>
      <c r="F27" s="2806"/>
      <c r="G27" s="2805"/>
      <c r="H27" s="2805"/>
      <c r="I27" s="2805"/>
      <c r="J27" s="2807"/>
      <c r="K27" s="1359"/>
      <c r="L27" s="2759" t="s">
        <v>2869</v>
      </c>
      <c r="M27" s="912">
        <v>0.25</v>
      </c>
      <c r="N27" s="912">
        <v>0.2</v>
      </c>
      <c r="O27" s="912">
        <v>0.15</v>
      </c>
      <c r="P27" s="1358">
        <v>0.1</v>
      </c>
      <c r="Q27" s="1365"/>
      <c r="R27" s="1365"/>
      <c r="S27" s="1365"/>
      <c r="T27" s="1360"/>
      <c r="U27" s="1360"/>
      <c r="V27" s="1360"/>
      <c r="W27" s="1359"/>
      <c r="X27" s="1359"/>
      <c r="Y27" s="1359"/>
      <c r="Z27" s="1366"/>
      <c r="AA27" s="1367"/>
      <c r="AB27" s="1367"/>
      <c r="AC27" s="1367"/>
      <c r="AD27" s="1367"/>
    </row>
    <row r="28" spans="1:37" ht="15.75" thickBot="1">
      <c r="A28" s="2808"/>
      <c r="B28" s="2809" t="s">
        <v>2901</v>
      </c>
      <c r="C28" s="2810" t="s">
        <v>2902</v>
      </c>
      <c r="D28" s="2810" t="s">
        <v>2903</v>
      </c>
      <c r="E28" s="2811" t="s">
        <v>2904</v>
      </c>
      <c r="F28" s="2812"/>
      <c r="G28" s="2739"/>
      <c r="H28" s="2739"/>
      <c r="I28" s="2739"/>
      <c r="J28" s="2740"/>
      <c r="K28" s="1359"/>
      <c r="L28" s="2760" t="s">
        <v>2872</v>
      </c>
      <c r="M28" s="209">
        <f ca="1">ROUND($E$20*(1+M27),3)</f>
        <v>5.3999999999999999E-2</v>
      </c>
      <c r="N28" s="209">
        <f ca="1">ROUND($E$20*(1+N27),3)</f>
        <v>5.1999999999999998E-2</v>
      </c>
      <c r="O28" s="209">
        <f ca="1">ROUND($E$20*(1+O27),3)</f>
        <v>0.05</v>
      </c>
      <c r="P28" s="1362">
        <f ca="1">ROUND($E$20*(1+P27),3)</f>
        <v>4.8000000000000001E-2</v>
      </c>
      <c r="Q28" s="1365"/>
      <c r="R28" s="1365"/>
      <c r="S28" s="1365"/>
      <c r="T28" s="1360"/>
      <c r="U28" s="1360"/>
      <c r="V28" s="1360"/>
      <c r="W28" s="1359"/>
      <c r="X28" s="1359"/>
      <c r="Y28" s="1359"/>
      <c r="Z28" s="1366"/>
      <c r="AA28" s="1367"/>
      <c r="AB28" s="1367"/>
      <c r="AC28" s="1367"/>
      <c r="AD28" s="1367"/>
    </row>
    <row r="29" spans="1:37" ht="22.5" customHeight="1">
      <c r="A29" s="2813"/>
      <c r="B29" s="2814" t="s">
        <v>2905</v>
      </c>
      <c r="C29" s="204" t="e">
        <f>ROUND(C5*C18*C19*C20*C21*C24,0)</f>
        <v>#DIV/0!</v>
      </c>
      <c r="D29" s="2815"/>
      <c r="E29" s="932" t="e">
        <f>ROUND(C29*D29/10000,0)</f>
        <v>#DIV/0!</v>
      </c>
      <c r="F29" s="2816" t="s">
        <v>2906</v>
      </c>
      <c r="G29" s="2817"/>
      <c r="H29" s="2817"/>
      <c r="I29" s="2817"/>
      <c r="J29" s="2818"/>
      <c r="K29" s="1359"/>
      <c r="L29" s="1359"/>
      <c r="M29" s="1359"/>
      <c r="N29" s="1359"/>
      <c r="O29" s="1364"/>
      <c r="P29" s="1364"/>
      <c r="Q29" s="1365"/>
      <c r="R29" s="1365"/>
      <c r="S29" s="1365"/>
      <c r="T29" s="1360"/>
      <c r="U29" s="1360"/>
      <c r="V29" s="1360"/>
      <c r="W29" s="1359"/>
      <c r="X29" s="1359"/>
      <c r="Y29" s="1359"/>
      <c r="Z29" s="1366"/>
      <c r="AA29" s="1367"/>
      <c r="AB29" s="1367"/>
      <c r="AC29" s="1367"/>
      <c r="AD29" s="1367"/>
      <c r="AE29" s="2761"/>
      <c r="AF29" s="2761"/>
      <c r="AG29" s="2698"/>
      <c r="AH29" s="2698"/>
      <c r="AI29" s="2698"/>
      <c r="AJ29" s="2698"/>
    </row>
    <row r="30" spans="1:37" ht="25.5" thickBot="1">
      <c r="A30" s="2819"/>
      <c r="B30" s="2820" t="s">
        <v>2907</v>
      </c>
      <c r="C30" s="227" t="e">
        <f>ROUND(IF(E2="工业",C29*M39,C29*M38),0)</f>
        <v>#DIV/0!</v>
      </c>
      <c r="D30" s="2821"/>
      <c r="E30" s="932" t="e">
        <f>ROUND(C30*D30/10000,0)</f>
        <v>#DIV/0!</v>
      </c>
      <c r="F30" s="2822" t="s">
        <v>2908</v>
      </c>
      <c r="G30" s="2823"/>
      <c r="H30" s="2823"/>
      <c r="I30" s="2823"/>
      <c r="J30" s="2824"/>
      <c r="K30" s="1359"/>
      <c r="L30" s="1359"/>
      <c r="M30" s="1359"/>
      <c r="N30" s="1359"/>
      <c r="O30" s="1364"/>
      <c r="P30" s="1364"/>
      <c r="Q30" s="1365"/>
      <c r="R30" s="1365"/>
      <c r="S30" s="1365"/>
      <c r="T30" s="1360"/>
      <c r="U30" s="1360"/>
      <c r="V30" s="1360"/>
      <c r="W30" s="1359"/>
      <c r="X30" s="1359"/>
      <c r="Y30" s="1359"/>
      <c r="Z30" s="1366"/>
      <c r="AA30" s="1367"/>
      <c r="AB30" s="1367"/>
      <c r="AC30" s="1367"/>
      <c r="AD30" s="1367"/>
      <c r="AE30" s="2761"/>
      <c r="AF30" s="2761"/>
      <c r="AG30" s="2698"/>
      <c r="AH30" s="2698"/>
      <c r="AI30" s="2698"/>
      <c r="AJ30" s="2698"/>
    </row>
    <row r="31" spans="1:37" ht="14.25">
      <c r="A31" s="2825"/>
      <c r="B31" s="2826" t="s">
        <v>2909</v>
      </c>
      <c r="C31" s="2827" t="s">
        <v>2910</v>
      </c>
      <c r="D31" s="2739"/>
      <c r="E31" s="2827"/>
      <c r="F31" s="2827"/>
      <c r="G31" s="2737" t="s">
        <v>2911</v>
      </c>
      <c r="H31" s="2739"/>
      <c r="I31" s="2828"/>
      <c r="J31" s="2740"/>
      <c r="K31" s="1359"/>
      <c r="L31" s="1359"/>
      <c r="M31" s="1359"/>
      <c r="N31" s="1359"/>
      <c r="O31" s="1364"/>
      <c r="P31" s="1364"/>
      <c r="Q31" s="1365"/>
      <c r="R31" s="1365"/>
      <c r="S31" s="1365"/>
      <c r="T31" s="1360"/>
      <c r="U31" s="1360"/>
      <c r="V31" s="1360"/>
      <c r="W31" s="1359"/>
      <c r="X31" s="1359"/>
      <c r="Y31" s="1359"/>
      <c r="Z31" s="1366"/>
      <c r="AA31" s="1367"/>
      <c r="AB31" s="1367"/>
      <c r="AC31" s="1367"/>
      <c r="AD31" s="1367"/>
      <c r="AE31" s="2761"/>
      <c r="AF31" s="2761"/>
      <c r="AG31" s="2698"/>
      <c r="AH31" s="2698"/>
      <c r="AI31" s="2698"/>
      <c r="AJ31" s="2698"/>
    </row>
    <row r="32" spans="1:37" ht="24">
      <c r="A32" s="2813"/>
      <c r="B32" s="2829"/>
      <c r="C32" s="498" t="s">
        <v>2902</v>
      </c>
      <c r="D32" s="495" t="s">
        <v>2903</v>
      </c>
      <c r="E32" s="495" t="s">
        <v>2904</v>
      </c>
      <c r="F32" s="386" t="s">
        <v>2912</v>
      </c>
      <c r="G32" s="2830" t="s">
        <v>2902</v>
      </c>
      <c r="H32" s="2830" t="s">
        <v>2903</v>
      </c>
      <c r="I32" s="2830" t="s">
        <v>2904</v>
      </c>
      <c r="J32" s="285"/>
      <c r="K32" s="1359"/>
      <c r="L32" s="1359"/>
      <c r="M32" s="1359"/>
      <c r="N32" s="1359"/>
      <c r="O32" s="1364"/>
      <c r="P32" s="1364"/>
      <c r="Q32" s="1365"/>
      <c r="R32" s="1365"/>
      <c r="S32" s="1365"/>
      <c r="T32" s="1360"/>
      <c r="U32" s="1360"/>
      <c r="V32" s="1360"/>
      <c r="W32" s="1359"/>
      <c r="X32" s="1359"/>
      <c r="Y32" s="1359"/>
      <c r="Z32" s="1366"/>
      <c r="AA32" s="1367"/>
      <c r="AB32" s="1367"/>
      <c r="AC32" s="1367"/>
      <c r="AD32" s="1367"/>
      <c r="AE32" s="2761"/>
      <c r="AF32" s="2761"/>
      <c r="AG32" s="2698"/>
      <c r="AH32" s="2698"/>
      <c r="AI32" s="2698"/>
      <c r="AJ32" s="2698"/>
    </row>
    <row r="33" spans="1:37" ht="36" customHeight="1">
      <c r="A33" s="3360" t="s">
        <v>2913</v>
      </c>
      <c r="B33" s="2831" t="s">
        <v>2914</v>
      </c>
      <c r="C33" s="204" t="e">
        <f>ROUND(D5*C19*C20*C24*F33,0)</f>
        <v>#DIV/0!</v>
      </c>
      <c r="D33" s="2815"/>
      <c r="E33" s="198" t="e">
        <f>ROUND(C33*D33/10000,0)</f>
        <v>#DIV/0!</v>
      </c>
      <c r="F33" s="198">
        <f>SUMIF(修正!A45:A56,G2,修正!B45:B56)</f>
        <v>0</v>
      </c>
      <c r="G33" s="198" t="e">
        <f t="shared" ref="G33" si="6">ROUND(IF(E2="工业",C33*$M$39,C33*$M$38),0)</f>
        <v>#DIV/0!</v>
      </c>
      <c r="H33" s="198">
        <f>D33</f>
        <v>0</v>
      </c>
      <c r="I33" s="198" t="e">
        <f>ROUND(G33*H33/10000,0)</f>
        <v>#DIV/0!</v>
      </c>
      <c r="J33" s="2832"/>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4.25">
      <c r="A34" s="3361"/>
      <c r="B34" s="2743" t="s">
        <v>2915</v>
      </c>
      <c r="C34" s="204" t="e">
        <f>ROUND(D5*C19*C20*C24*F34,0)</f>
        <v>#DIV/0!</v>
      </c>
      <c r="D34" s="2815"/>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2"/>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361"/>
      <c r="B35" s="2743" t="s">
        <v>2916</v>
      </c>
      <c r="C35" s="204" t="e">
        <f>ROUND(D5*C19*C20*C24*F35,0)</f>
        <v>#DIV/0!</v>
      </c>
      <c r="D35" s="2815"/>
      <c r="E35" s="198" t="e">
        <f t="shared" si="7"/>
        <v>#DIV/0!</v>
      </c>
      <c r="F35" s="198">
        <f>SUMIF(修正!A45:A56,G2,修正!D45:D56)</f>
        <v>0</v>
      </c>
      <c r="G35" s="198" t="e">
        <f>ROUND(IF(E2="工业",C35*$M$39,C35*$M$38),0)</f>
        <v>#DIV/0!</v>
      </c>
      <c r="H35" s="198">
        <f t="shared" si="8"/>
        <v>0</v>
      </c>
      <c r="I35" s="198" t="e">
        <f t="shared" si="9"/>
        <v>#DIV/0!</v>
      </c>
      <c r="J35" s="2832"/>
      <c r="K35" s="1359"/>
      <c r="L35" s="1359"/>
      <c r="M35" s="1359"/>
      <c r="N35" s="1359"/>
      <c r="O35" s="1359"/>
      <c r="P35" s="1359"/>
      <c r="Q35" s="1359"/>
      <c r="R35" s="1359"/>
      <c r="S35" s="1359"/>
      <c r="T35" s="1359"/>
      <c r="U35" s="1359"/>
      <c r="V35" s="1359"/>
      <c r="W35" s="1359"/>
      <c r="X35" s="1359"/>
      <c r="Y35" s="1359"/>
      <c r="Z35" s="1360"/>
    </row>
    <row r="36" spans="1:37" ht="13.5" thickBot="1">
      <c r="A36" s="3362"/>
      <c r="B36" s="2743" t="s">
        <v>2917</v>
      </c>
      <c r="C36" s="204" t="e">
        <f>ROUND(D5*C19*C20*C24*F36,0)</f>
        <v>#DIV/0!</v>
      </c>
      <c r="D36" s="2815"/>
      <c r="E36" s="198" t="e">
        <f t="shared" si="7"/>
        <v>#DIV/0!</v>
      </c>
      <c r="F36" s="198">
        <f>SUMIF(修正!A45:A56,G2,修正!E45:E56)</f>
        <v>0</v>
      </c>
      <c r="G36" s="198" t="e">
        <f>ROUND(IF(E2="工业",C36*$M$39,C36*$M$38),0)</f>
        <v>#DIV/0!</v>
      </c>
      <c r="H36" s="198">
        <f t="shared" si="8"/>
        <v>0</v>
      </c>
      <c r="I36" s="198" t="e">
        <f t="shared" si="9"/>
        <v>#DIV/0!</v>
      </c>
      <c r="J36" s="2832"/>
      <c r="K36" s="1359"/>
      <c r="L36" s="2697"/>
      <c r="M36" s="2697"/>
      <c r="N36" s="1359"/>
      <c r="O36" s="1359"/>
      <c r="P36" s="1359"/>
      <c r="Q36" s="1359"/>
      <c r="R36" s="1359"/>
      <c r="S36" s="1359"/>
      <c r="T36" s="1359"/>
      <c r="U36" s="1359"/>
      <c r="V36" s="1359"/>
      <c r="W36" s="1359"/>
      <c r="X36" s="1359"/>
      <c r="Y36" s="1359"/>
      <c r="Z36" s="1360"/>
    </row>
    <row r="37" spans="1:37">
      <c r="A37" s="2833"/>
      <c r="B37" s="2743" t="s">
        <v>2918</v>
      </c>
      <c r="C37" s="198" t="e">
        <f>ROUND(D5*C19*C20*C24*F37,0)</f>
        <v>#DIV/0!</v>
      </c>
      <c r="D37" s="2815"/>
      <c r="E37" s="198" t="e">
        <f t="shared" si="7"/>
        <v>#DIV/0!</v>
      </c>
      <c r="F37" s="204">
        <f>SUMIF(修正!A45:A56,G2,修正!F45:F56)</f>
        <v>0</v>
      </c>
      <c r="G37" s="198" t="e">
        <f>ROUND(IF(E2="工业",C37*$M$39,C37*$M$38),0)</f>
        <v>#DIV/0!</v>
      </c>
      <c r="H37" s="198">
        <f t="shared" si="8"/>
        <v>0</v>
      </c>
      <c r="I37" s="198" t="e">
        <f t="shared" si="9"/>
        <v>#DIV/0!</v>
      </c>
      <c r="J37" s="2832"/>
      <c r="K37" s="1359"/>
      <c r="L37" s="2834" t="s">
        <v>2919</v>
      </c>
      <c r="M37" s="2835"/>
      <c r="N37" s="1359"/>
      <c r="O37" s="1359"/>
      <c r="P37" s="1359"/>
      <c r="Q37" s="1359"/>
      <c r="R37" s="1359"/>
      <c r="S37" s="1359"/>
      <c r="T37" s="1359"/>
      <c r="U37" s="1359"/>
      <c r="V37" s="1359"/>
      <c r="W37" s="1359"/>
      <c r="X37" s="1359"/>
      <c r="Y37" s="1359"/>
      <c r="Z37" s="1360"/>
    </row>
    <row r="38" spans="1:37">
      <c r="A38" s="2833"/>
      <c r="B38" s="2743" t="s">
        <v>2920</v>
      </c>
      <c r="C38" s="198" t="e">
        <f>ROUND(D5*C19*C41*C24*F38,0)</f>
        <v>#DIV/0!</v>
      </c>
      <c r="D38" s="2815"/>
      <c r="E38" s="198" t="e">
        <f t="shared" si="7"/>
        <v>#DIV/0!</v>
      </c>
      <c r="F38" s="204">
        <f>SUMIF(修正!A45:A56,G2,修正!G45:G56)</f>
        <v>0</v>
      </c>
      <c r="G38" s="198" t="e">
        <f>ROUND(IF(E2="工业",C38*$M$39,C38*$M$38),0)</f>
        <v>#DIV/0!</v>
      </c>
      <c r="H38" s="198">
        <f t="shared" si="8"/>
        <v>0</v>
      </c>
      <c r="I38" s="198" t="e">
        <f t="shared" si="9"/>
        <v>#DIV/0!</v>
      </c>
      <c r="J38" s="2832"/>
      <c r="K38" s="1359"/>
      <c r="L38" s="1874" t="s">
        <v>2921</v>
      </c>
      <c r="M38" s="2836">
        <v>0.25</v>
      </c>
      <c r="N38" s="1359"/>
      <c r="O38" s="1359"/>
      <c r="P38" s="1359"/>
      <c r="Q38" s="1359"/>
      <c r="R38" s="1359"/>
      <c r="S38" s="1359"/>
      <c r="T38" s="1359"/>
      <c r="U38" s="1359"/>
      <c r="V38" s="1359"/>
      <c r="W38" s="1359"/>
      <c r="X38" s="1359"/>
      <c r="Y38" s="1359"/>
      <c r="Z38" s="1360"/>
    </row>
    <row r="39" spans="1:37" ht="13.5" thickBot="1">
      <c r="A39" s="2819"/>
      <c r="B39" s="2837" t="s">
        <v>2922</v>
      </c>
      <c r="C39" s="227" t="e">
        <f>ROUND(D5*C19*C41*C24*F39,0)</f>
        <v>#DIV/0!</v>
      </c>
      <c r="D39" s="2821"/>
      <c r="E39" s="227" t="e">
        <f t="shared" si="7"/>
        <v>#DIV/0!</v>
      </c>
      <c r="F39" s="922">
        <f>SUMIF(修正!A45:A56,G2,修正!H45:H56)</f>
        <v>0</v>
      </c>
      <c r="G39" s="227" t="e">
        <f>ROUND(IF(E2="工业",C39*$M$39,C39*$M$38),0)</f>
        <v>#DIV/0!</v>
      </c>
      <c r="H39" s="227">
        <f t="shared" si="8"/>
        <v>0</v>
      </c>
      <c r="I39" s="227" t="e">
        <f t="shared" si="9"/>
        <v>#DIV/0!</v>
      </c>
      <c r="J39" s="2838"/>
      <c r="K39" s="1359"/>
      <c r="L39" s="2839" t="s">
        <v>2865</v>
      </c>
      <c r="M39" s="2840">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908" t="s">
        <v>3030</v>
      </c>
      <c r="C41" s="386" t="e">
        <f>ROUND(POWER(1+E41,H41-G41)*(POWER(1+E41,G41)-1)/(POWER(1+E41,H41)-1),4)</f>
        <v>#DIV/0!</v>
      </c>
      <c r="D41" s="198" t="s">
        <v>2872</v>
      </c>
      <c r="E41" s="2907">
        <f>G20</f>
        <v>0</v>
      </c>
      <c r="F41" s="198" t="s">
        <v>2881</v>
      </c>
      <c r="G41" s="216"/>
      <c r="H41" s="198">
        <v>50</v>
      </c>
      <c r="Z41" s="1360"/>
      <c r="AA41" s="1360"/>
      <c r="AB41" s="1360"/>
      <c r="AC41" s="1360"/>
      <c r="AD41" s="1360"/>
      <c r="AE41" s="1360"/>
      <c r="AF41" s="1360"/>
      <c r="AG41" s="1360"/>
      <c r="AH41" s="1360"/>
      <c r="AI41" s="1360"/>
      <c r="AJ41" s="1360"/>
    </row>
    <row r="42" spans="1:37" s="1359" customFormat="1">
      <c r="A42" s="1360"/>
      <c r="B42" s="2841"/>
      <c r="Z42" s="1360"/>
      <c r="AA42" s="1360"/>
      <c r="AB42" s="1360"/>
      <c r="AC42" s="1360"/>
      <c r="AD42" s="1360"/>
      <c r="AE42" s="1360"/>
      <c r="AF42" s="1360"/>
      <c r="AG42" s="1360"/>
      <c r="AH42" s="1360"/>
      <c r="AI42" s="1360"/>
      <c r="AJ42" s="1360"/>
    </row>
    <row r="43" spans="1:37" s="1359" customFormat="1">
      <c r="A43" s="1360"/>
      <c r="B43" s="2841"/>
      <c r="Z43" s="1360"/>
      <c r="AA43" s="1360"/>
      <c r="AB43" s="1360"/>
      <c r="AC43" s="1360"/>
      <c r="AD43" s="1360"/>
      <c r="AE43" s="1360"/>
      <c r="AF43" s="1360"/>
      <c r="AG43" s="1360"/>
      <c r="AH43" s="1360"/>
      <c r="AI43" s="1360"/>
      <c r="AJ43" s="1360"/>
    </row>
    <row r="44" spans="1:37" s="1359" customFormat="1">
      <c r="A44" s="1360"/>
      <c r="B44" s="2841"/>
      <c r="Z44" s="1360"/>
      <c r="AA44" s="1360"/>
      <c r="AB44" s="1360"/>
      <c r="AC44" s="1360"/>
      <c r="AD44" s="1360"/>
      <c r="AE44" s="1360"/>
      <c r="AF44" s="1360"/>
      <c r="AG44" s="1360"/>
      <c r="AH44" s="1360"/>
      <c r="AI44" s="1360"/>
      <c r="AJ44" s="1360"/>
    </row>
    <row r="45" spans="1:37" s="1359" customFormat="1" ht="15.75" thickBot="1">
      <c r="A45" s="2842" t="s">
        <v>2923</v>
      </c>
      <c r="B45" s="2843"/>
      <c r="C45" s="7"/>
      <c r="D45" s="7"/>
      <c r="E45" s="7"/>
      <c r="F45" s="6"/>
      <c r="G45" s="6"/>
      <c r="H45" s="6"/>
      <c r="I45" s="7"/>
      <c r="J45" s="7"/>
      <c r="K45" s="7"/>
      <c r="L45" s="7"/>
      <c r="M45" s="7"/>
      <c r="N45" s="2761"/>
      <c r="Z45" s="1360"/>
      <c r="AA45" s="1360"/>
      <c r="AB45" s="1360"/>
      <c r="AC45" s="1360"/>
      <c r="AD45" s="1360"/>
      <c r="AE45" s="1360"/>
      <c r="AF45" s="1360"/>
      <c r="AG45" s="1360"/>
      <c r="AH45" s="1360"/>
      <c r="AI45" s="1360"/>
      <c r="AJ45" s="1360"/>
    </row>
    <row r="46" spans="1:37" s="1359" customFormat="1" ht="15">
      <c r="A46" s="2844" t="s">
        <v>2924</v>
      </c>
      <c r="B46" s="2845">
        <f>1+E48</f>
        <v>1</v>
      </c>
      <c r="C46" s="2846"/>
      <c r="D46" s="804"/>
      <c r="E46" s="805"/>
      <c r="F46" s="2847"/>
      <c r="G46" s="6"/>
      <c r="H46" s="7"/>
      <c r="I46" s="7"/>
      <c r="J46" s="7"/>
      <c r="K46" s="7"/>
      <c r="L46" s="7"/>
      <c r="M46" s="7"/>
      <c r="N46" s="2761"/>
      <c r="Z46" s="1360"/>
      <c r="AA46" s="1360"/>
      <c r="AB46" s="1360"/>
      <c r="AC46" s="1360"/>
      <c r="AD46" s="1360"/>
      <c r="AE46" s="1360"/>
      <c r="AF46" s="1360"/>
      <c r="AG46" s="1360"/>
      <c r="AH46" s="1360"/>
      <c r="AI46" s="1360"/>
      <c r="AJ46" s="1360"/>
    </row>
    <row r="47" spans="1:37" s="1359" customFormat="1" ht="24.75">
      <c r="A47" s="2848" t="s">
        <v>2925</v>
      </c>
      <c r="B47" s="1796" t="s">
        <v>2926</v>
      </c>
      <c r="C47" s="1796" t="s">
        <v>2927</v>
      </c>
      <c r="D47" s="1796" t="s">
        <v>2928</v>
      </c>
      <c r="E47" s="809" t="s">
        <v>2929</v>
      </c>
      <c r="F47" s="2849" t="s">
        <v>2930</v>
      </c>
      <c r="G47" s="1796" t="s">
        <v>754</v>
      </c>
      <c r="H47" s="2850" t="s">
        <v>2931</v>
      </c>
      <c r="I47" s="1796" t="s">
        <v>2932</v>
      </c>
      <c r="J47" s="600" t="s">
        <v>2580</v>
      </c>
      <c r="K47" s="600" t="s">
        <v>2581</v>
      </c>
      <c r="L47" s="600" t="s">
        <v>2582</v>
      </c>
      <c r="M47" s="600" t="s">
        <v>2583</v>
      </c>
      <c r="N47" s="600" t="s">
        <v>2584</v>
      </c>
      <c r="AA47" s="1360"/>
      <c r="AB47" s="1360"/>
      <c r="AC47" s="1360"/>
      <c r="AD47" s="1360"/>
      <c r="AE47" s="1360"/>
      <c r="AF47" s="1360"/>
      <c r="AG47" s="1360"/>
      <c r="AH47" s="1360"/>
      <c r="AI47" s="1360"/>
      <c r="AJ47" s="1360"/>
      <c r="AK47" s="1360"/>
    </row>
    <row r="48" spans="1:37" s="1359" customFormat="1" ht="24.75">
      <c r="A48" s="2848" t="s">
        <v>2933</v>
      </c>
      <c r="B48" s="2851" t="str">
        <f>估价对象房地状况!C4</f>
        <v>差</v>
      </c>
      <c r="C48" s="2748"/>
      <c r="D48" s="1275">
        <f t="shared" ref="D48:D56" si="10">SUMIF($J$47:$N$47,C48,J48:N48)</f>
        <v>0</v>
      </c>
      <c r="E48" s="811">
        <f>ROUND(SUM(D48:D56),4)</f>
        <v>0</v>
      </c>
      <c r="F48" s="2482" t="str">
        <f>IF(E2="商业",SUMIF(L1:L12,G2,N1:N12),"——")</f>
        <v>——</v>
      </c>
      <c r="G48" s="1273"/>
      <c r="H48" s="1277" t="str">
        <f t="shared" ref="H48:H56" si="11">IFERROR(ROUNDDOWN($F$48*I48/2,4),"——")</f>
        <v>——</v>
      </c>
      <c r="I48" s="810">
        <v>0.33</v>
      </c>
      <c r="J48" s="1274">
        <f t="shared" ref="J48:J56" si="12">K48+$G48</f>
        <v>0</v>
      </c>
      <c r="K48" s="1274">
        <f t="shared" ref="K48:K56" si="13">$L48+$G48</f>
        <v>0</v>
      </c>
      <c r="L48" s="1274">
        <v>0</v>
      </c>
      <c r="M48" s="1274">
        <f t="shared" ref="M48:N56" si="14">L48-$G48</f>
        <v>0</v>
      </c>
      <c r="N48" s="1274">
        <f t="shared" si="14"/>
        <v>0</v>
      </c>
      <c r="AA48" s="1360"/>
      <c r="AB48" s="1360"/>
      <c r="AC48" s="1360"/>
      <c r="AD48" s="1360"/>
      <c r="AE48" s="1360"/>
      <c r="AF48" s="1360"/>
      <c r="AG48" s="1360"/>
      <c r="AH48" s="1360"/>
      <c r="AI48" s="1360"/>
      <c r="AJ48" s="1360"/>
      <c r="AK48" s="1360"/>
    </row>
    <row r="49" spans="1:37" s="1359" customFormat="1" ht="14.25">
      <c r="A49" s="2848" t="s">
        <v>2934</v>
      </c>
      <c r="B49" s="2852" t="str">
        <f>估价对象房地状况!C18</f>
        <v>一般</v>
      </c>
      <c r="C49" s="2748"/>
      <c r="D49" s="1275">
        <f t="shared" si="10"/>
        <v>0</v>
      </c>
      <c r="E49" s="812"/>
      <c r="F49" s="2482"/>
      <c r="G49" s="1273"/>
      <c r="H49" s="1277" t="str">
        <f t="shared" si="11"/>
        <v>——</v>
      </c>
      <c r="I49" s="810">
        <v>0.25</v>
      </c>
      <c r="J49" s="1274">
        <f t="shared" si="12"/>
        <v>0</v>
      </c>
      <c r="K49" s="1274">
        <f t="shared" si="13"/>
        <v>0</v>
      </c>
      <c r="L49" s="1274">
        <v>0</v>
      </c>
      <c r="M49" s="1274">
        <f t="shared" si="14"/>
        <v>0</v>
      </c>
      <c r="N49" s="1274">
        <f t="shared" si="14"/>
        <v>0</v>
      </c>
      <c r="AA49" s="1360"/>
      <c r="AB49" s="1360"/>
      <c r="AC49" s="1360"/>
      <c r="AD49" s="1360"/>
      <c r="AE49" s="1360"/>
      <c r="AF49" s="1360"/>
      <c r="AG49" s="1360"/>
      <c r="AH49" s="1360"/>
      <c r="AI49" s="1360"/>
      <c r="AJ49" s="1360"/>
      <c r="AK49" s="1360"/>
    </row>
    <row r="50" spans="1:37" s="1359" customFormat="1" ht="24">
      <c r="A50" s="2848" t="s">
        <v>2935</v>
      </c>
      <c r="B50" s="2852" t="str">
        <f>估价对象房地状况!C19</f>
        <v>较好</v>
      </c>
      <c r="C50" s="2748"/>
      <c r="D50" s="1275">
        <f t="shared" si="10"/>
        <v>0</v>
      </c>
      <c r="E50" s="812"/>
      <c r="F50" s="2482"/>
      <c r="G50" s="1273"/>
      <c r="H50" s="1277" t="str">
        <f t="shared" si="11"/>
        <v>——</v>
      </c>
      <c r="I50" s="810">
        <v>0.05</v>
      </c>
      <c r="J50" s="1274">
        <f t="shared" si="12"/>
        <v>0</v>
      </c>
      <c r="K50" s="1274">
        <f t="shared" si="13"/>
        <v>0</v>
      </c>
      <c r="L50" s="1274">
        <v>0</v>
      </c>
      <c r="M50" s="1274">
        <f t="shared" si="14"/>
        <v>0</v>
      </c>
      <c r="N50" s="1274">
        <f t="shared" si="14"/>
        <v>0</v>
      </c>
      <c r="AA50" s="1360"/>
      <c r="AB50" s="1360"/>
      <c r="AC50" s="1360"/>
      <c r="AD50" s="1360"/>
      <c r="AE50" s="1360"/>
      <c r="AF50" s="1360"/>
      <c r="AG50" s="1360"/>
      <c r="AH50" s="1360"/>
      <c r="AI50" s="1360"/>
      <c r="AJ50" s="1360"/>
      <c r="AK50" s="1360"/>
    </row>
    <row r="51" spans="1:37" s="1359" customFormat="1" ht="36.75">
      <c r="A51" s="2848" t="s">
        <v>2936</v>
      </c>
      <c r="B51" s="2853" t="s">
        <v>2937</v>
      </c>
      <c r="C51" s="2748"/>
      <c r="D51" s="1275">
        <f t="shared" si="10"/>
        <v>0</v>
      </c>
      <c r="E51" s="812"/>
      <c r="F51" s="2482"/>
      <c r="G51" s="1273"/>
      <c r="H51" s="1277" t="str">
        <f t="shared" si="11"/>
        <v>——</v>
      </c>
      <c r="I51" s="810">
        <v>0.05</v>
      </c>
      <c r="J51" s="1274">
        <f t="shared" si="12"/>
        <v>0</v>
      </c>
      <c r="K51" s="1274">
        <f t="shared" si="13"/>
        <v>0</v>
      </c>
      <c r="L51" s="1274">
        <v>0</v>
      </c>
      <c r="M51" s="1274">
        <f t="shared" si="14"/>
        <v>0</v>
      </c>
      <c r="N51" s="1274">
        <f t="shared" si="14"/>
        <v>0</v>
      </c>
      <c r="AA51" s="1360"/>
      <c r="AB51" s="1360"/>
      <c r="AC51" s="1360"/>
      <c r="AD51" s="1360"/>
      <c r="AE51" s="1360"/>
      <c r="AF51" s="1360"/>
      <c r="AG51" s="1360"/>
      <c r="AH51" s="1360"/>
      <c r="AI51" s="1360"/>
      <c r="AJ51" s="1360"/>
      <c r="AK51" s="1360"/>
    </row>
    <row r="52" spans="1:37" s="1359" customFormat="1" ht="24">
      <c r="A52" s="2848" t="s">
        <v>2938</v>
      </c>
      <c r="B52" s="2852">
        <f>估价对象房地状况!C24</f>
        <v>0</v>
      </c>
      <c r="C52" s="2748"/>
      <c r="D52" s="1275">
        <f t="shared" si="10"/>
        <v>0</v>
      </c>
      <c r="E52" s="812"/>
      <c r="F52" s="2482"/>
      <c r="G52" s="1273"/>
      <c r="H52" s="1277" t="str">
        <f t="shared" si="11"/>
        <v>——</v>
      </c>
      <c r="I52" s="810">
        <v>0.08</v>
      </c>
      <c r="J52" s="1274">
        <f t="shared" si="12"/>
        <v>0</v>
      </c>
      <c r="K52" s="1274">
        <f t="shared" si="13"/>
        <v>0</v>
      </c>
      <c r="L52" s="1274">
        <v>0</v>
      </c>
      <c r="M52" s="1274">
        <f t="shared" si="14"/>
        <v>0</v>
      </c>
      <c r="N52" s="1274">
        <f t="shared" si="14"/>
        <v>0</v>
      </c>
      <c r="AA52" s="1360"/>
      <c r="AB52" s="1360"/>
      <c r="AC52" s="1360"/>
      <c r="AD52" s="1360"/>
      <c r="AE52" s="1360"/>
      <c r="AF52" s="1360"/>
      <c r="AG52" s="1360"/>
      <c r="AH52" s="1360"/>
      <c r="AI52" s="1360"/>
      <c r="AJ52" s="1360"/>
      <c r="AK52" s="1360"/>
    </row>
    <row r="53" spans="1:37" s="1359" customFormat="1" ht="24">
      <c r="A53" s="2848" t="s">
        <v>2939</v>
      </c>
      <c r="B53" s="2854" t="s">
        <v>2940</v>
      </c>
      <c r="C53" s="2748"/>
      <c r="D53" s="1275">
        <f t="shared" si="10"/>
        <v>0</v>
      </c>
      <c r="E53" s="812"/>
      <c r="F53" s="2482"/>
      <c r="G53" s="1273"/>
      <c r="H53" s="1277" t="str">
        <f t="shared" si="11"/>
        <v>——</v>
      </c>
      <c r="I53" s="810">
        <v>0.03</v>
      </c>
      <c r="J53" s="1274">
        <f t="shared" si="12"/>
        <v>0</v>
      </c>
      <c r="K53" s="1274">
        <f t="shared" si="13"/>
        <v>0</v>
      </c>
      <c r="L53" s="1274">
        <v>0</v>
      </c>
      <c r="M53" s="1274">
        <f t="shared" si="14"/>
        <v>0</v>
      </c>
      <c r="N53" s="1274">
        <f t="shared" si="14"/>
        <v>0</v>
      </c>
      <c r="AA53" s="1360"/>
      <c r="AB53" s="1360"/>
      <c r="AC53" s="1360"/>
      <c r="AD53" s="1360"/>
      <c r="AE53" s="1360"/>
      <c r="AF53" s="1360"/>
      <c r="AG53" s="1360"/>
      <c r="AH53" s="1360"/>
      <c r="AI53" s="1360"/>
      <c r="AJ53" s="1360"/>
      <c r="AK53" s="1360"/>
    </row>
    <row r="54" spans="1:37" s="1359" customFormat="1" ht="24">
      <c r="A54" s="2855" t="s">
        <v>2941</v>
      </c>
      <c r="B54" s="1713" t="str">
        <f>估价对象房地状况!C21</f>
        <v>较差</v>
      </c>
      <c r="C54" s="2748"/>
      <c r="D54" s="1275">
        <f t="shared" si="10"/>
        <v>0</v>
      </c>
      <c r="E54" s="812"/>
      <c r="F54" s="2482"/>
      <c r="G54" s="1273"/>
      <c r="H54" s="1277" t="str">
        <f t="shared" si="11"/>
        <v>——</v>
      </c>
      <c r="I54" s="810">
        <v>0.05</v>
      </c>
      <c r="J54" s="1274">
        <f t="shared" si="12"/>
        <v>0</v>
      </c>
      <c r="K54" s="1274">
        <f t="shared" si="13"/>
        <v>0</v>
      </c>
      <c r="L54" s="1274">
        <v>0</v>
      </c>
      <c r="M54" s="1274">
        <f t="shared" si="14"/>
        <v>0</v>
      </c>
      <c r="N54" s="1274">
        <f t="shared" si="14"/>
        <v>0</v>
      </c>
      <c r="AA54" s="1360"/>
      <c r="AB54" s="1360"/>
      <c r="AC54" s="1360"/>
      <c r="AD54" s="1360"/>
      <c r="AE54" s="1360"/>
      <c r="AF54" s="1360"/>
      <c r="AG54" s="1360"/>
      <c r="AH54" s="1360"/>
      <c r="AI54" s="1360"/>
      <c r="AJ54" s="1360"/>
      <c r="AK54" s="1360"/>
    </row>
    <row r="55" spans="1:37" s="1359" customFormat="1" ht="24">
      <c r="A55" s="2855" t="s">
        <v>2942</v>
      </c>
      <c r="B55" s="2852" t="str">
        <f>估价对象房地状况!C22</f>
        <v>六通</v>
      </c>
      <c r="C55" s="2748"/>
      <c r="D55" s="1275">
        <f t="shared" si="10"/>
        <v>0</v>
      </c>
      <c r="E55" s="812"/>
      <c r="F55" s="2482"/>
      <c r="G55" s="1273"/>
      <c r="H55" s="1277" t="str">
        <f t="shared" si="11"/>
        <v>——</v>
      </c>
      <c r="I55" s="810">
        <v>0.1</v>
      </c>
      <c r="J55" s="1274">
        <f t="shared" si="12"/>
        <v>0</v>
      </c>
      <c r="K55" s="1274">
        <f t="shared" si="13"/>
        <v>0</v>
      </c>
      <c r="L55" s="1274">
        <v>0</v>
      </c>
      <c r="M55" s="1274">
        <f t="shared" si="14"/>
        <v>0</v>
      </c>
      <c r="N55" s="1274">
        <f t="shared" si="14"/>
        <v>0</v>
      </c>
      <c r="AA55" s="1360"/>
      <c r="AB55" s="1360"/>
      <c r="AC55" s="1360"/>
      <c r="AD55" s="1360"/>
      <c r="AE55" s="1360"/>
      <c r="AF55" s="1360"/>
      <c r="AG55" s="1360"/>
      <c r="AH55" s="1360"/>
      <c r="AI55" s="1360"/>
      <c r="AJ55" s="1360"/>
      <c r="AK55" s="1360"/>
    </row>
    <row r="56" spans="1:37" s="1359" customFormat="1" ht="24.75" thickBot="1">
      <c r="A56" s="2856" t="s">
        <v>2943</v>
      </c>
      <c r="B56" s="2857" t="str">
        <f>估价对象房地状况!C20</f>
        <v>较好</v>
      </c>
      <c r="C56" s="2748"/>
      <c r="D56" s="1275">
        <f t="shared" si="10"/>
        <v>0</v>
      </c>
      <c r="E56" s="815"/>
      <c r="F56" s="2482"/>
      <c r="G56" s="1273"/>
      <c r="H56" s="1277" t="str">
        <f t="shared" si="11"/>
        <v>——</v>
      </c>
      <c r="I56" s="814">
        <v>0.06</v>
      </c>
      <c r="J56" s="1274">
        <f t="shared" si="12"/>
        <v>0</v>
      </c>
      <c r="K56" s="1274">
        <f t="shared" si="13"/>
        <v>0</v>
      </c>
      <c r="L56" s="1274">
        <v>0</v>
      </c>
      <c r="M56" s="1274">
        <f t="shared" si="14"/>
        <v>0</v>
      </c>
      <c r="N56" s="1274">
        <f t="shared" si="14"/>
        <v>0</v>
      </c>
      <c r="AA56" s="1360"/>
      <c r="AB56" s="1360"/>
      <c r="AC56" s="1360"/>
      <c r="AD56" s="1360"/>
      <c r="AE56" s="1360"/>
      <c r="AF56" s="1360"/>
      <c r="AG56" s="1360"/>
      <c r="AH56" s="1360"/>
      <c r="AI56" s="1360"/>
      <c r="AJ56" s="1360"/>
      <c r="AK56" s="1360"/>
    </row>
    <row r="57" spans="1:37" s="1359" customFormat="1" ht="15">
      <c r="A57" s="2844" t="s">
        <v>2944</v>
      </c>
      <c r="B57" s="2845">
        <f>1+E59</f>
        <v>1</v>
      </c>
      <c r="C57" s="804"/>
      <c r="D57" s="804"/>
      <c r="E57" s="805"/>
      <c r="F57" s="2847"/>
      <c r="G57" s="6"/>
      <c r="H57" s="6"/>
      <c r="I57" s="6"/>
      <c r="J57" s="7"/>
      <c r="K57" s="7"/>
      <c r="L57" s="7"/>
      <c r="M57" s="7"/>
      <c r="N57" s="7"/>
      <c r="AA57" s="1360"/>
      <c r="AB57" s="1360"/>
      <c r="AC57" s="1360"/>
      <c r="AD57" s="1360"/>
      <c r="AE57" s="1360"/>
      <c r="AF57" s="1360"/>
      <c r="AG57" s="1360"/>
      <c r="AH57" s="1360"/>
      <c r="AI57" s="1360"/>
      <c r="AJ57" s="1360"/>
      <c r="AK57" s="1360"/>
    </row>
    <row r="58" spans="1:37" s="1359" customFormat="1" ht="24.75">
      <c r="A58" s="2848" t="s">
        <v>2925</v>
      </c>
      <c r="B58" s="1796"/>
      <c r="C58" s="1796" t="s">
        <v>2927</v>
      </c>
      <c r="D58" s="1796" t="s">
        <v>2928</v>
      </c>
      <c r="E58" s="809" t="s">
        <v>2929</v>
      </c>
      <c r="F58" s="2849" t="s">
        <v>2945</v>
      </c>
      <c r="G58" s="1796" t="s">
        <v>754</v>
      </c>
      <c r="H58" s="2850" t="s">
        <v>2931</v>
      </c>
      <c r="I58" s="1796" t="s">
        <v>2932</v>
      </c>
      <c r="J58" s="600" t="s">
        <v>2580</v>
      </c>
      <c r="K58" s="600" t="s">
        <v>2581</v>
      </c>
      <c r="L58" s="600" t="s">
        <v>2582</v>
      </c>
      <c r="M58" s="600" t="s">
        <v>2583</v>
      </c>
      <c r="N58" s="600" t="s">
        <v>2584</v>
      </c>
      <c r="AA58" s="1360"/>
      <c r="AB58" s="1360"/>
      <c r="AC58" s="1360"/>
      <c r="AD58" s="1360"/>
      <c r="AE58" s="1360"/>
      <c r="AF58" s="1360"/>
      <c r="AG58" s="1360"/>
      <c r="AH58" s="1360"/>
      <c r="AI58" s="1360"/>
      <c r="AJ58" s="1360"/>
      <c r="AK58" s="1360"/>
    </row>
    <row r="59" spans="1:37" s="1359" customFormat="1" ht="24">
      <c r="A59" s="2848" t="s">
        <v>2946</v>
      </c>
      <c r="B59" s="2851" t="str">
        <f>估价对象房地状况!C17</f>
        <v>差</v>
      </c>
      <c r="C59" s="2748"/>
      <c r="D59" s="1275">
        <f t="shared" ref="D59:D67" si="15">SUMIF($J$58:$N$58,C59,J59:N59)</f>
        <v>0</v>
      </c>
      <c r="E59" s="811">
        <f>ROUND(SUM(D59:D67),4)</f>
        <v>0</v>
      </c>
      <c r="F59" s="2482" t="str">
        <f>IF(E2="办公",SUMIF(L1:L12,G2,N1:N12),"——")</f>
        <v>——</v>
      </c>
      <c r="G59" s="1273"/>
      <c r="H59" s="1277" t="str">
        <f t="shared" ref="H59:H67" si="16">IFERROR(ROUNDDOWN($F$59*I59/2,4),"——")</f>
        <v>——</v>
      </c>
      <c r="I59" s="810">
        <v>0.24</v>
      </c>
      <c r="J59" s="1274">
        <f t="shared" ref="J59:J67" si="17">K59+$G59</f>
        <v>0</v>
      </c>
      <c r="K59" s="1274">
        <f t="shared" ref="K59:K67" si="18">$L59+$G59</f>
        <v>0</v>
      </c>
      <c r="L59" s="1274">
        <v>0</v>
      </c>
      <c r="M59" s="1274">
        <f t="shared" ref="M59:N67" si="19">L59-$G59</f>
        <v>0</v>
      </c>
      <c r="N59" s="1274">
        <f t="shared" si="19"/>
        <v>0</v>
      </c>
      <c r="AA59" s="1360"/>
      <c r="AB59" s="1360"/>
      <c r="AC59" s="1360"/>
      <c r="AD59" s="1360"/>
      <c r="AE59" s="1360"/>
      <c r="AF59" s="1360"/>
      <c r="AG59" s="1360"/>
      <c r="AH59" s="1360"/>
      <c r="AI59" s="1360"/>
      <c r="AJ59" s="1360"/>
      <c r="AK59" s="1360"/>
    </row>
    <row r="60" spans="1:37" s="1359" customFormat="1" ht="14.25">
      <c r="A60" s="2848" t="s">
        <v>2934</v>
      </c>
      <c r="B60" s="2852" t="str">
        <f>估价对象房地状况!C18</f>
        <v>一般</v>
      </c>
      <c r="C60" s="2748"/>
      <c r="D60" s="1275">
        <f t="shared" si="15"/>
        <v>0</v>
      </c>
      <c r="E60" s="812"/>
      <c r="F60" s="2482"/>
      <c r="G60" s="1273"/>
      <c r="H60" s="1277" t="str">
        <f t="shared" si="16"/>
        <v>——</v>
      </c>
      <c r="I60" s="810">
        <v>0.3</v>
      </c>
      <c r="J60" s="1274">
        <f t="shared" si="17"/>
        <v>0</v>
      </c>
      <c r="K60" s="1274">
        <f t="shared" si="18"/>
        <v>0</v>
      </c>
      <c r="L60" s="1274">
        <v>0</v>
      </c>
      <c r="M60" s="1274">
        <f t="shared" si="19"/>
        <v>0</v>
      </c>
      <c r="N60" s="1274">
        <f t="shared" si="19"/>
        <v>0</v>
      </c>
      <c r="AA60" s="1360"/>
      <c r="AB60" s="1360"/>
      <c r="AC60" s="1360"/>
      <c r="AD60" s="1360"/>
      <c r="AE60" s="1360"/>
      <c r="AF60" s="1360"/>
      <c r="AG60" s="1360"/>
      <c r="AH60" s="1360"/>
      <c r="AI60" s="1360"/>
      <c r="AJ60" s="1360"/>
      <c r="AK60" s="1360"/>
    </row>
    <row r="61" spans="1:37" s="1359" customFormat="1" ht="24">
      <c r="A61" s="2848" t="s">
        <v>2935</v>
      </c>
      <c r="B61" s="2852" t="str">
        <f>估价对象房地状况!C19</f>
        <v>较好</v>
      </c>
      <c r="C61" s="2748"/>
      <c r="D61" s="1275">
        <f t="shared" si="15"/>
        <v>0</v>
      </c>
      <c r="E61" s="812"/>
      <c r="F61" s="2482"/>
      <c r="G61" s="1273"/>
      <c r="H61" s="1277" t="str">
        <f t="shared" si="16"/>
        <v>——</v>
      </c>
      <c r="I61" s="810">
        <v>0.08</v>
      </c>
      <c r="J61" s="1274">
        <f t="shared" si="17"/>
        <v>0</v>
      </c>
      <c r="K61" s="1274">
        <f t="shared" si="18"/>
        <v>0</v>
      </c>
      <c r="L61" s="1274">
        <v>0</v>
      </c>
      <c r="M61" s="1274">
        <f t="shared" si="19"/>
        <v>0</v>
      </c>
      <c r="N61" s="1274">
        <f t="shared" si="19"/>
        <v>0</v>
      </c>
      <c r="AA61" s="1360"/>
      <c r="AB61" s="1360"/>
      <c r="AC61" s="1360"/>
      <c r="AD61" s="1360"/>
      <c r="AE61" s="1360"/>
      <c r="AF61" s="1360"/>
      <c r="AG61" s="1360"/>
      <c r="AH61" s="1360"/>
      <c r="AI61" s="1360"/>
      <c r="AJ61" s="1360"/>
      <c r="AK61" s="1360"/>
    </row>
    <row r="62" spans="1:37" s="1359" customFormat="1" ht="36.75">
      <c r="A62" s="2848" t="s">
        <v>2936</v>
      </c>
      <c r="B62" s="2853" t="s">
        <v>2937</v>
      </c>
      <c r="C62" s="2748"/>
      <c r="D62" s="1275">
        <f t="shared" si="15"/>
        <v>0</v>
      </c>
      <c r="E62" s="812"/>
      <c r="F62" s="2482"/>
      <c r="G62" s="1273"/>
      <c r="H62" s="1277" t="str">
        <f t="shared" si="16"/>
        <v>——</v>
      </c>
      <c r="I62" s="810">
        <v>0.04</v>
      </c>
      <c r="J62" s="1274">
        <f t="shared" si="17"/>
        <v>0</v>
      </c>
      <c r="K62" s="1274">
        <f t="shared" si="18"/>
        <v>0</v>
      </c>
      <c r="L62" s="1274">
        <v>0</v>
      </c>
      <c r="M62" s="1274">
        <f t="shared" si="19"/>
        <v>0</v>
      </c>
      <c r="N62" s="1274">
        <f t="shared" si="19"/>
        <v>0</v>
      </c>
      <c r="AA62" s="1360"/>
      <c r="AB62" s="1360"/>
      <c r="AC62" s="1360"/>
      <c r="AD62" s="1360"/>
      <c r="AE62" s="1360"/>
      <c r="AF62" s="1360"/>
      <c r="AG62" s="1360"/>
      <c r="AH62" s="1360"/>
      <c r="AI62" s="1360"/>
      <c r="AJ62" s="1360"/>
      <c r="AK62" s="1360"/>
    </row>
    <row r="63" spans="1:37" s="1359" customFormat="1" ht="24">
      <c r="A63" s="2848" t="s">
        <v>2938</v>
      </c>
      <c r="B63" s="2852">
        <f>估价对象房地状况!C24</f>
        <v>0</v>
      </c>
      <c r="C63" s="2748"/>
      <c r="D63" s="1275">
        <f t="shared" si="15"/>
        <v>0</v>
      </c>
      <c r="E63" s="812"/>
      <c r="F63" s="2482"/>
      <c r="G63" s="1273"/>
      <c r="H63" s="1277" t="str">
        <f t="shared" si="16"/>
        <v>——</v>
      </c>
      <c r="I63" s="810">
        <v>0.05</v>
      </c>
      <c r="J63" s="1274">
        <f t="shared" si="17"/>
        <v>0</v>
      </c>
      <c r="K63" s="1274">
        <f t="shared" si="18"/>
        <v>0</v>
      </c>
      <c r="L63" s="1274">
        <v>0</v>
      </c>
      <c r="M63" s="1274">
        <f t="shared" si="19"/>
        <v>0</v>
      </c>
      <c r="N63" s="1274">
        <f t="shared" si="19"/>
        <v>0</v>
      </c>
      <c r="AA63" s="1360"/>
      <c r="AB63" s="1360"/>
      <c r="AC63" s="1360"/>
      <c r="AD63" s="1360"/>
      <c r="AE63" s="1360"/>
      <c r="AF63" s="1360"/>
      <c r="AG63" s="1360"/>
      <c r="AH63" s="1360"/>
      <c r="AI63" s="1360"/>
      <c r="AJ63" s="1360"/>
      <c r="AK63" s="1360"/>
    </row>
    <row r="64" spans="1:37" s="1359" customFormat="1" ht="24">
      <c r="A64" s="2848" t="s">
        <v>2939</v>
      </c>
      <c r="B64" s="2854" t="s">
        <v>2940</v>
      </c>
      <c r="C64" s="2748"/>
      <c r="D64" s="1275">
        <f t="shared" si="15"/>
        <v>0</v>
      </c>
      <c r="E64" s="812"/>
      <c r="F64" s="2482"/>
      <c r="G64" s="1273"/>
      <c r="H64" s="1277" t="str">
        <f t="shared" si="16"/>
        <v>——</v>
      </c>
      <c r="I64" s="810">
        <v>0.05</v>
      </c>
      <c r="J64" s="1274">
        <f t="shared" si="17"/>
        <v>0</v>
      </c>
      <c r="K64" s="1274">
        <f t="shared" si="18"/>
        <v>0</v>
      </c>
      <c r="L64" s="1274">
        <v>0</v>
      </c>
      <c r="M64" s="1274">
        <f t="shared" si="19"/>
        <v>0</v>
      </c>
      <c r="N64" s="1274">
        <f t="shared" si="19"/>
        <v>0</v>
      </c>
      <c r="AA64" s="1360"/>
      <c r="AB64" s="1360"/>
      <c r="AC64" s="1360"/>
      <c r="AD64" s="1360"/>
      <c r="AE64" s="1360"/>
      <c r="AF64" s="1360"/>
      <c r="AG64" s="1360"/>
      <c r="AH64" s="1360"/>
      <c r="AI64" s="1360"/>
      <c r="AJ64" s="1360"/>
      <c r="AK64" s="1360"/>
    </row>
    <row r="65" spans="1:37" s="1359" customFormat="1" ht="24">
      <c r="A65" s="2848" t="s">
        <v>2941</v>
      </c>
      <c r="B65" s="1713" t="str">
        <f>估价对象房地状况!C21</f>
        <v>较差</v>
      </c>
      <c r="C65" s="2748"/>
      <c r="D65" s="1275">
        <f t="shared" si="15"/>
        <v>0</v>
      </c>
      <c r="E65" s="812"/>
      <c r="F65" s="2482"/>
      <c r="G65" s="1273"/>
      <c r="H65" s="1277" t="str">
        <f t="shared" si="16"/>
        <v>——</v>
      </c>
      <c r="I65" s="810">
        <v>0.06</v>
      </c>
      <c r="J65" s="1274">
        <f t="shared" si="17"/>
        <v>0</v>
      </c>
      <c r="K65" s="1274">
        <f t="shared" si="18"/>
        <v>0</v>
      </c>
      <c r="L65" s="1274">
        <v>0</v>
      </c>
      <c r="M65" s="1274">
        <f t="shared" si="19"/>
        <v>0</v>
      </c>
      <c r="N65" s="1274">
        <f t="shared" si="19"/>
        <v>0</v>
      </c>
      <c r="AA65" s="1360"/>
      <c r="AB65" s="1360"/>
      <c r="AC65" s="1360"/>
      <c r="AD65" s="1360"/>
      <c r="AE65" s="1360"/>
      <c r="AF65" s="1360"/>
      <c r="AG65" s="1360"/>
      <c r="AH65" s="1360"/>
      <c r="AI65" s="1360"/>
      <c r="AJ65" s="1360"/>
      <c r="AK65" s="1360"/>
    </row>
    <row r="66" spans="1:37" s="1359" customFormat="1" ht="24">
      <c r="A66" s="2848" t="s">
        <v>2942</v>
      </c>
      <c r="B66" s="1713" t="str">
        <f>估价对象房地状况!C22</f>
        <v>六通</v>
      </c>
      <c r="C66" s="2748"/>
      <c r="D66" s="1275">
        <f t="shared" si="15"/>
        <v>0</v>
      </c>
      <c r="E66" s="812"/>
      <c r="F66" s="2482"/>
      <c r="G66" s="1273"/>
      <c r="H66" s="1277" t="str">
        <f t="shared" si="16"/>
        <v>——</v>
      </c>
      <c r="I66" s="810">
        <v>0.12</v>
      </c>
      <c r="J66" s="1274">
        <f t="shared" si="17"/>
        <v>0</v>
      </c>
      <c r="K66" s="1274">
        <f t="shared" si="18"/>
        <v>0</v>
      </c>
      <c r="L66" s="1274">
        <v>0</v>
      </c>
      <c r="M66" s="1274">
        <f t="shared" si="19"/>
        <v>0</v>
      </c>
      <c r="N66" s="1274">
        <f t="shared" si="19"/>
        <v>0</v>
      </c>
      <c r="AA66" s="1360"/>
      <c r="AB66" s="1360"/>
      <c r="AC66" s="1360"/>
      <c r="AD66" s="1360"/>
      <c r="AE66" s="1360"/>
      <c r="AF66" s="1360"/>
      <c r="AG66" s="1360"/>
      <c r="AH66" s="1360"/>
      <c r="AI66" s="1360"/>
      <c r="AJ66" s="1360"/>
      <c r="AK66" s="1360"/>
    </row>
    <row r="67" spans="1:37" s="1359" customFormat="1" ht="24.75" thickBot="1">
      <c r="A67" s="2856" t="s">
        <v>2943</v>
      </c>
      <c r="B67" s="2858" t="str">
        <f>估价对象房地状况!C20</f>
        <v>较好</v>
      </c>
      <c r="C67" s="2748"/>
      <c r="D67" s="1275">
        <f t="shared" si="15"/>
        <v>0</v>
      </c>
      <c r="E67" s="815"/>
      <c r="F67" s="2482"/>
      <c r="G67" s="1273"/>
      <c r="H67" s="1277" t="str">
        <f t="shared" si="16"/>
        <v>——</v>
      </c>
      <c r="I67" s="814">
        <v>0.06</v>
      </c>
      <c r="J67" s="1274">
        <f t="shared" si="17"/>
        <v>0</v>
      </c>
      <c r="K67" s="1274">
        <f t="shared" si="18"/>
        <v>0</v>
      </c>
      <c r="L67" s="1274">
        <v>0</v>
      </c>
      <c r="M67" s="1274">
        <f t="shared" si="19"/>
        <v>0</v>
      </c>
      <c r="N67" s="1274">
        <f t="shared" si="19"/>
        <v>0</v>
      </c>
      <c r="AA67" s="1360"/>
      <c r="AB67" s="1360"/>
      <c r="AC67" s="1360"/>
      <c r="AD67" s="1360"/>
      <c r="AE67" s="1360"/>
      <c r="AF67" s="1360"/>
      <c r="AG67" s="1360"/>
      <c r="AH67" s="1360"/>
      <c r="AI67" s="1360"/>
      <c r="AJ67" s="1360"/>
      <c r="AK67" s="1360"/>
    </row>
    <row r="68" spans="1:37" s="1359" customFormat="1" ht="15">
      <c r="A68" s="2844" t="s">
        <v>2947</v>
      </c>
      <c r="B68" s="2845">
        <f>1+E70</f>
        <v>1</v>
      </c>
      <c r="C68" s="804"/>
      <c r="D68" s="804"/>
      <c r="E68" s="805"/>
      <c r="F68" s="2847"/>
      <c r="G68" s="6"/>
      <c r="H68" s="6"/>
      <c r="I68" s="6"/>
      <c r="J68" s="7"/>
      <c r="K68" s="7"/>
      <c r="L68" s="7"/>
      <c r="M68" s="7"/>
      <c r="N68" s="7"/>
      <c r="AA68" s="1360"/>
      <c r="AB68" s="1360"/>
      <c r="AC68" s="1360"/>
      <c r="AD68" s="1360"/>
      <c r="AE68" s="1360"/>
      <c r="AF68" s="1360"/>
      <c r="AG68" s="1360"/>
      <c r="AH68" s="1360"/>
      <c r="AI68" s="1360"/>
      <c r="AJ68" s="1360"/>
      <c r="AK68" s="1360"/>
    </row>
    <row r="69" spans="1:37" s="1359" customFormat="1" ht="24.75">
      <c r="A69" s="2848" t="s">
        <v>2925</v>
      </c>
      <c r="B69" s="1796"/>
      <c r="C69" s="1796" t="s">
        <v>2927</v>
      </c>
      <c r="D69" s="1796" t="s">
        <v>2928</v>
      </c>
      <c r="E69" s="809" t="s">
        <v>2929</v>
      </c>
      <c r="F69" s="2849" t="s">
        <v>2945</v>
      </c>
      <c r="G69" s="1796" t="s">
        <v>754</v>
      </c>
      <c r="H69" s="2850" t="s">
        <v>2931</v>
      </c>
      <c r="I69" s="1796" t="s">
        <v>2932</v>
      </c>
      <c r="J69" s="600" t="s">
        <v>2580</v>
      </c>
      <c r="K69" s="600" t="s">
        <v>2581</v>
      </c>
      <c r="L69" s="600" t="s">
        <v>2582</v>
      </c>
      <c r="M69" s="600" t="s">
        <v>2583</v>
      </c>
      <c r="N69" s="600" t="s">
        <v>2584</v>
      </c>
      <c r="AA69" s="1360"/>
      <c r="AB69" s="1360"/>
      <c r="AC69" s="1360"/>
      <c r="AD69" s="1360"/>
      <c r="AE69" s="1360"/>
      <c r="AF69" s="1360"/>
      <c r="AG69" s="1360"/>
      <c r="AH69" s="1360"/>
      <c r="AI69" s="1360"/>
      <c r="AJ69" s="1360"/>
      <c r="AK69" s="1360"/>
    </row>
    <row r="70" spans="1:37" s="1359" customFormat="1" ht="24">
      <c r="A70" s="2848" t="s">
        <v>2948</v>
      </c>
      <c r="B70" s="2851" t="str">
        <f>估价对象房地状况!C15</f>
        <v>差</v>
      </c>
      <c r="C70" s="2748"/>
      <c r="D70" s="1275">
        <f t="shared" ref="D70:D78" si="20">SUMIF($J$69:$N$69,C70,J70:N70)</f>
        <v>0</v>
      </c>
      <c r="E70" s="811">
        <f>ROUND(SUM(D70:D78),4)</f>
        <v>0</v>
      </c>
      <c r="F70" s="2482" t="str">
        <f>IF(E2="住宅",SUMIF(L1:L12,G2,N1:N12),"——")</f>
        <v>——</v>
      </c>
      <c r="G70" s="1273"/>
      <c r="H70" s="1277" t="str">
        <f t="shared" ref="H70:H78" si="21">IFERROR(ROUNDDOWN($F$70*I70/2,4),"——")</f>
        <v>——</v>
      </c>
      <c r="I70" s="810">
        <v>0.14000000000000001</v>
      </c>
      <c r="J70" s="1274">
        <f t="shared" ref="J70:J78" si="22">K70+$G70</f>
        <v>0</v>
      </c>
      <c r="K70" s="1274">
        <f t="shared" ref="K70:K78" si="23">$L70+$G70</f>
        <v>0</v>
      </c>
      <c r="L70" s="1274">
        <v>0</v>
      </c>
      <c r="M70" s="1274">
        <f t="shared" ref="M70:N78" si="24">L70-$G70</f>
        <v>0</v>
      </c>
      <c r="N70" s="1274">
        <f t="shared" si="24"/>
        <v>0</v>
      </c>
      <c r="AA70" s="1360"/>
      <c r="AB70" s="1360"/>
      <c r="AC70" s="1360"/>
      <c r="AD70" s="1360"/>
      <c r="AE70" s="1360"/>
      <c r="AF70" s="1360"/>
      <c r="AG70" s="1360"/>
      <c r="AH70" s="1360"/>
      <c r="AI70" s="1360"/>
      <c r="AJ70" s="1360"/>
      <c r="AK70" s="1360"/>
    </row>
    <row r="71" spans="1:37" s="1359" customFormat="1" ht="14.25">
      <c r="A71" s="2848" t="s">
        <v>2934</v>
      </c>
      <c r="B71" s="2852" t="str">
        <f>估价对象房地状况!C18</f>
        <v>一般</v>
      </c>
      <c r="C71" s="2748"/>
      <c r="D71" s="1275">
        <f t="shared" si="20"/>
        <v>0</v>
      </c>
      <c r="E71" s="816"/>
      <c r="F71" s="2482"/>
      <c r="G71" s="1273"/>
      <c r="H71" s="1277" t="str">
        <f t="shared" si="21"/>
        <v>——</v>
      </c>
      <c r="I71" s="810">
        <v>0.3</v>
      </c>
      <c r="J71" s="1274">
        <f t="shared" si="22"/>
        <v>0</v>
      </c>
      <c r="K71" s="1274">
        <f t="shared" si="23"/>
        <v>0</v>
      </c>
      <c r="L71" s="1274">
        <v>0</v>
      </c>
      <c r="M71" s="1274">
        <f t="shared" si="24"/>
        <v>0</v>
      </c>
      <c r="N71" s="1274">
        <f t="shared" si="24"/>
        <v>0</v>
      </c>
      <c r="AA71" s="1360"/>
      <c r="AB71" s="1360"/>
      <c r="AC71" s="1360"/>
      <c r="AD71" s="1360"/>
      <c r="AE71" s="1360"/>
      <c r="AF71" s="1360"/>
      <c r="AG71" s="1360"/>
      <c r="AH71" s="1360"/>
      <c r="AI71" s="1360"/>
      <c r="AJ71" s="1360"/>
      <c r="AK71" s="1360"/>
    </row>
    <row r="72" spans="1:37" s="1359" customFormat="1" ht="24">
      <c r="A72" s="2848" t="s">
        <v>2935</v>
      </c>
      <c r="B72" s="2852" t="str">
        <f>估价对象房地状况!C19</f>
        <v>较好</v>
      </c>
      <c r="C72" s="2748"/>
      <c r="D72" s="1275">
        <f t="shared" si="20"/>
        <v>0</v>
      </c>
      <c r="E72" s="816"/>
      <c r="F72" s="2482"/>
      <c r="G72" s="1273"/>
      <c r="H72" s="1277" t="str">
        <f t="shared" si="21"/>
        <v>——</v>
      </c>
      <c r="I72" s="810">
        <v>0.08</v>
      </c>
      <c r="J72" s="1274">
        <f t="shared" si="22"/>
        <v>0</v>
      </c>
      <c r="K72" s="1274">
        <f t="shared" si="23"/>
        <v>0</v>
      </c>
      <c r="L72" s="1274">
        <v>0</v>
      </c>
      <c r="M72" s="1274">
        <f t="shared" si="24"/>
        <v>0</v>
      </c>
      <c r="N72" s="1274">
        <f t="shared" si="24"/>
        <v>0</v>
      </c>
      <c r="AA72" s="1360"/>
      <c r="AB72" s="1360"/>
      <c r="AC72" s="1360"/>
      <c r="AD72" s="1360"/>
      <c r="AE72" s="1360"/>
      <c r="AF72" s="1360"/>
      <c r="AG72" s="1360"/>
      <c r="AH72" s="1360"/>
      <c r="AI72" s="1360"/>
      <c r="AJ72" s="1360"/>
      <c r="AK72" s="1360"/>
    </row>
    <row r="73" spans="1:37" s="1359" customFormat="1" ht="14.25">
      <c r="A73" s="2848" t="s">
        <v>2949</v>
      </c>
      <c r="B73" s="2852">
        <f>估价对象房地状况!C24</f>
        <v>0</v>
      </c>
      <c r="C73" s="2748"/>
      <c r="D73" s="1275">
        <f t="shared" si="20"/>
        <v>0</v>
      </c>
      <c r="E73" s="816"/>
      <c r="F73" s="2482"/>
      <c r="G73" s="1273"/>
      <c r="H73" s="1277" t="str">
        <f t="shared" si="21"/>
        <v>——</v>
      </c>
      <c r="I73" s="810">
        <v>0.04</v>
      </c>
      <c r="J73" s="1274">
        <f t="shared" si="22"/>
        <v>0</v>
      </c>
      <c r="K73" s="1274">
        <f t="shared" si="23"/>
        <v>0</v>
      </c>
      <c r="L73" s="1274">
        <v>0</v>
      </c>
      <c r="M73" s="1274">
        <f t="shared" si="24"/>
        <v>0</v>
      </c>
      <c r="N73" s="1274">
        <f t="shared" si="24"/>
        <v>0</v>
      </c>
      <c r="AA73" s="1360"/>
      <c r="AB73" s="1360"/>
      <c r="AC73" s="1360"/>
      <c r="AD73" s="1360"/>
      <c r="AE73" s="1360"/>
      <c r="AF73" s="1360"/>
      <c r="AG73" s="1360"/>
      <c r="AH73" s="1360"/>
      <c r="AI73" s="1360"/>
      <c r="AJ73" s="1360"/>
      <c r="AK73" s="1360"/>
    </row>
    <row r="74" spans="1:37" s="1359" customFormat="1" ht="24">
      <c r="A74" s="2848" t="s">
        <v>2941</v>
      </c>
      <c r="B74" s="1713" t="str">
        <f>估价对象房地状况!C21</f>
        <v>较差</v>
      </c>
      <c r="C74" s="2748"/>
      <c r="D74" s="1275">
        <f t="shared" si="20"/>
        <v>0</v>
      </c>
      <c r="E74" s="816"/>
      <c r="F74" s="2482"/>
      <c r="G74" s="1273"/>
      <c r="H74" s="1277" t="str">
        <f t="shared" si="21"/>
        <v>——</v>
      </c>
      <c r="I74" s="810">
        <v>0.08</v>
      </c>
      <c r="J74" s="1274">
        <f t="shared" si="22"/>
        <v>0</v>
      </c>
      <c r="K74" s="1274">
        <f t="shared" si="23"/>
        <v>0</v>
      </c>
      <c r="L74" s="1274">
        <v>0</v>
      </c>
      <c r="M74" s="1274">
        <f t="shared" si="24"/>
        <v>0</v>
      </c>
      <c r="N74" s="1274">
        <f t="shared" si="24"/>
        <v>0</v>
      </c>
      <c r="AA74" s="1360"/>
      <c r="AB74" s="1360"/>
      <c r="AC74" s="1360"/>
      <c r="AD74" s="1360"/>
      <c r="AE74" s="1360"/>
      <c r="AF74" s="1360"/>
      <c r="AG74" s="1360"/>
      <c r="AH74" s="1360"/>
      <c r="AI74" s="1360"/>
      <c r="AJ74" s="1360"/>
      <c r="AK74" s="1360"/>
    </row>
    <row r="75" spans="1:37" s="1359" customFormat="1" ht="24">
      <c r="A75" s="2848" t="s">
        <v>2942</v>
      </c>
      <c r="B75" s="1713" t="str">
        <f>估价对象房地状况!C22</f>
        <v>六通</v>
      </c>
      <c r="C75" s="2748"/>
      <c r="D75" s="1275">
        <f t="shared" si="20"/>
        <v>0</v>
      </c>
      <c r="E75" s="816"/>
      <c r="F75" s="2482"/>
      <c r="G75" s="1273"/>
      <c r="H75" s="1277" t="str">
        <f t="shared" si="21"/>
        <v>——</v>
      </c>
      <c r="I75" s="810">
        <v>0.12</v>
      </c>
      <c r="J75" s="1274">
        <f t="shared" si="22"/>
        <v>0</v>
      </c>
      <c r="K75" s="1274">
        <f t="shared" si="23"/>
        <v>0</v>
      </c>
      <c r="L75" s="1274">
        <v>0</v>
      </c>
      <c r="M75" s="1274">
        <f t="shared" si="24"/>
        <v>0</v>
      </c>
      <c r="N75" s="1274">
        <f t="shared" si="24"/>
        <v>0</v>
      </c>
      <c r="AA75" s="1360"/>
      <c r="AB75" s="1360"/>
      <c r="AC75" s="1360"/>
      <c r="AD75" s="1360"/>
      <c r="AE75" s="1360"/>
      <c r="AF75" s="1360"/>
      <c r="AG75" s="1360"/>
      <c r="AH75" s="1360"/>
      <c r="AI75" s="1360"/>
      <c r="AJ75" s="1360"/>
      <c r="AK75" s="1360"/>
    </row>
    <row r="76" spans="1:37" s="2697" customFormat="1" ht="24">
      <c r="A76" s="2848" t="s">
        <v>2939</v>
      </c>
      <c r="B76" s="2854" t="s">
        <v>2940</v>
      </c>
      <c r="C76" s="2748"/>
      <c r="D76" s="1275">
        <f t="shared" si="20"/>
        <v>0</v>
      </c>
      <c r="E76" s="816"/>
      <c r="F76" s="2482"/>
      <c r="G76" s="1273"/>
      <c r="H76" s="1277" t="str">
        <f t="shared" si="21"/>
        <v>——</v>
      </c>
      <c r="I76" s="810">
        <v>0.05</v>
      </c>
      <c r="J76" s="1274">
        <f t="shared" si="22"/>
        <v>0</v>
      </c>
      <c r="K76" s="1274">
        <f t="shared" si="23"/>
        <v>0</v>
      </c>
      <c r="L76" s="1274">
        <v>0</v>
      </c>
      <c r="M76" s="1274">
        <f t="shared" si="24"/>
        <v>0</v>
      </c>
      <c r="N76" s="1274">
        <f t="shared" si="24"/>
        <v>0</v>
      </c>
      <c r="AA76" s="2859"/>
      <c r="AB76" s="1360"/>
      <c r="AC76" s="1360"/>
      <c r="AD76" s="1360"/>
      <c r="AE76" s="1360"/>
      <c r="AF76" s="1360"/>
      <c r="AG76" s="1360"/>
      <c r="AH76" s="2859"/>
      <c r="AI76" s="2859"/>
      <c r="AJ76" s="2859"/>
      <c r="AK76" s="2859"/>
    </row>
    <row r="77" spans="1:37" ht="24">
      <c r="A77" s="2848" t="s">
        <v>2943</v>
      </c>
      <c r="B77" s="2851" t="str">
        <f>估价对象房地状况!C20</f>
        <v>较好</v>
      </c>
      <c r="C77" s="2748"/>
      <c r="D77" s="1275">
        <f t="shared" si="20"/>
        <v>0</v>
      </c>
      <c r="E77" s="816"/>
      <c r="F77" s="2482"/>
      <c r="G77" s="1273"/>
      <c r="H77" s="1277" t="str">
        <f t="shared" si="21"/>
        <v>——</v>
      </c>
      <c r="I77" s="810">
        <v>0.15</v>
      </c>
      <c r="J77" s="1274">
        <f t="shared" si="22"/>
        <v>0</v>
      </c>
      <c r="K77" s="1274">
        <f t="shared" si="23"/>
        <v>0</v>
      </c>
      <c r="L77" s="1274">
        <v>0</v>
      </c>
      <c r="M77" s="1274">
        <f t="shared" si="24"/>
        <v>0</v>
      </c>
      <c r="N77" s="1274">
        <f t="shared" si="24"/>
        <v>0</v>
      </c>
      <c r="Z77" s="2698"/>
      <c r="AA77" s="2766"/>
      <c r="AG77" s="1361"/>
      <c r="AK77" s="2766"/>
    </row>
    <row r="78" spans="1:37" ht="24.75" thickBot="1">
      <c r="A78" s="2856" t="s">
        <v>2950</v>
      </c>
      <c r="B78" s="2860"/>
      <c r="C78" s="2748"/>
      <c r="D78" s="1275">
        <f t="shared" si="20"/>
        <v>0</v>
      </c>
      <c r="E78" s="817"/>
      <c r="F78" s="2482"/>
      <c r="G78" s="1273"/>
      <c r="H78" s="1277" t="str">
        <f t="shared" si="21"/>
        <v>——</v>
      </c>
      <c r="I78" s="814">
        <v>0.04</v>
      </c>
      <c r="J78" s="1274">
        <f t="shared" si="22"/>
        <v>0</v>
      </c>
      <c r="K78" s="1274">
        <f t="shared" si="23"/>
        <v>0</v>
      </c>
      <c r="L78" s="1274">
        <v>0</v>
      </c>
      <c r="M78" s="1274">
        <f t="shared" si="24"/>
        <v>0</v>
      </c>
      <c r="N78" s="1274">
        <f t="shared" si="24"/>
        <v>0</v>
      </c>
      <c r="Z78" s="2698"/>
      <c r="AA78" s="2766"/>
      <c r="AG78" s="1361"/>
      <c r="AK78" s="2766"/>
    </row>
    <row r="79" spans="1:37" ht="15">
      <c r="A79" s="2844" t="s">
        <v>2951</v>
      </c>
      <c r="B79" s="2845">
        <f>1+E81</f>
        <v>1</v>
      </c>
      <c r="C79" s="804"/>
      <c r="D79" s="804"/>
      <c r="E79" s="805"/>
      <c r="F79" s="2847"/>
      <c r="G79" s="6"/>
      <c r="H79" s="6"/>
      <c r="I79" s="6"/>
      <c r="J79" s="7"/>
      <c r="K79" s="7"/>
      <c r="L79" s="7"/>
      <c r="M79" s="7"/>
      <c r="N79" s="7"/>
      <c r="Z79" s="2698"/>
      <c r="AA79" s="2766"/>
      <c r="AG79" s="1361"/>
      <c r="AK79" s="2766"/>
    </row>
    <row r="80" spans="1:37" ht="24.75">
      <c r="A80" s="2848" t="s">
        <v>2925</v>
      </c>
      <c r="B80" s="1796"/>
      <c r="C80" s="1796" t="s">
        <v>2927</v>
      </c>
      <c r="D80" s="1796" t="s">
        <v>2928</v>
      </c>
      <c r="E80" s="809" t="s">
        <v>2929</v>
      </c>
      <c r="F80" s="2849" t="s">
        <v>2945</v>
      </c>
      <c r="G80" s="1796" t="s">
        <v>754</v>
      </c>
      <c r="H80" s="2850" t="s">
        <v>2931</v>
      </c>
      <c r="I80" s="1796" t="s">
        <v>2932</v>
      </c>
      <c r="J80" s="600" t="s">
        <v>2580</v>
      </c>
      <c r="K80" s="600" t="s">
        <v>2581</v>
      </c>
      <c r="L80" s="600" t="s">
        <v>2582</v>
      </c>
      <c r="M80" s="600" t="s">
        <v>2583</v>
      </c>
      <c r="N80" s="600" t="s">
        <v>2584</v>
      </c>
      <c r="Z80" s="2698"/>
      <c r="AA80" s="2766"/>
      <c r="AG80" s="1361"/>
      <c r="AK80" s="2766"/>
    </row>
    <row r="81" spans="1:37" ht="38.25">
      <c r="A81" s="2848" t="s">
        <v>2952</v>
      </c>
      <c r="B81" s="2852" t="str">
        <f>估价对象房地状况!G15</f>
        <v>估价对象位于XX开发区，园区建设成熟度XX，产业集聚程度XX</v>
      </c>
      <c r="C81" s="2748"/>
      <c r="D81" s="1275">
        <f t="shared" ref="D81:D88" si="25">SUMIF($J$80:$N$80,C81,J81:N81)</f>
        <v>0</v>
      </c>
      <c r="E81" s="811">
        <f>ROUND(SUM(D81:D88),4)</f>
        <v>0</v>
      </c>
      <c r="F81" s="2482" t="str">
        <f>IF(E2="工业",SUMIF(L1:L12,G2,N1:N12),"——")</f>
        <v>——</v>
      </c>
      <c r="G81" s="1273"/>
      <c r="H81" s="1277" t="str">
        <f t="shared" ref="H81:H88" si="26">IFERROR(ROUNDDOWN($F$81*I81/2,4),"——")</f>
        <v>——</v>
      </c>
      <c r="I81" s="810">
        <v>0.26</v>
      </c>
      <c r="J81" s="1274">
        <f t="shared" ref="J81:J88" si="27">K81+$G81</f>
        <v>0</v>
      </c>
      <c r="K81" s="1274">
        <f t="shared" ref="K81:K88" si="28">$L81+$G81</f>
        <v>0</v>
      </c>
      <c r="L81" s="1274">
        <v>0</v>
      </c>
      <c r="M81" s="1274">
        <f t="shared" ref="M81:N88" si="29">L81-$G81</f>
        <v>0</v>
      </c>
      <c r="N81" s="1274">
        <f t="shared" si="29"/>
        <v>0</v>
      </c>
      <c r="Z81" s="2698"/>
      <c r="AA81" s="2766"/>
      <c r="AG81" s="1361"/>
      <c r="AK81" s="2766"/>
    </row>
    <row r="82" spans="1:37" ht="51">
      <c r="A82" s="2848" t="s">
        <v>2934</v>
      </c>
      <c r="B82" s="2852" t="str">
        <f>估价对象房地状况!G16</f>
        <v>估价对象周边道路状况、公共交通通达情况、停车便捷程度，综合评价交通便捷度较好</v>
      </c>
      <c r="C82" s="2748"/>
      <c r="D82" s="1275">
        <f t="shared" si="25"/>
        <v>0</v>
      </c>
      <c r="E82" s="816"/>
      <c r="F82" s="2482"/>
      <c r="G82" s="1273"/>
      <c r="H82" s="1277" t="str">
        <f t="shared" si="26"/>
        <v>——</v>
      </c>
      <c r="I82" s="810">
        <v>0.33</v>
      </c>
      <c r="J82" s="1274">
        <f t="shared" si="27"/>
        <v>0</v>
      </c>
      <c r="K82" s="1274">
        <f t="shared" si="28"/>
        <v>0</v>
      </c>
      <c r="L82" s="1274">
        <v>0</v>
      </c>
      <c r="M82" s="1274">
        <f t="shared" si="29"/>
        <v>0</v>
      </c>
      <c r="N82" s="1274">
        <f t="shared" si="29"/>
        <v>0</v>
      </c>
      <c r="Z82" s="2698"/>
      <c r="AA82" s="2766"/>
      <c r="AG82" s="1361"/>
      <c r="AK82" s="2766"/>
    </row>
    <row r="83" spans="1:37" ht="24">
      <c r="A83" s="2848" t="s">
        <v>2935</v>
      </c>
      <c r="B83" s="2852">
        <f>估价对象房地状况!G17</f>
        <v>0</v>
      </c>
      <c r="C83" s="2748"/>
      <c r="D83" s="1275">
        <f t="shared" si="25"/>
        <v>0</v>
      </c>
      <c r="E83" s="816"/>
      <c r="F83" s="2482"/>
      <c r="G83" s="1273"/>
      <c r="H83" s="1277" t="str">
        <f t="shared" si="26"/>
        <v>——</v>
      </c>
      <c r="I83" s="810">
        <v>0.05</v>
      </c>
      <c r="J83" s="1274">
        <f t="shared" si="27"/>
        <v>0</v>
      </c>
      <c r="K83" s="1274">
        <f t="shared" si="28"/>
        <v>0</v>
      </c>
      <c r="L83" s="1274">
        <v>0</v>
      </c>
      <c r="M83" s="1274">
        <f t="shared" si="29"/>
        <v>0</v>
      </c>
      <c r="N83" s="1274">
        <f t="shared" si="29"/>
        <v>0</v>
      </c>
      <c r="Z83" s="2698"/>
      <c r="AA83" s="2766"/>
      <c r="AG83" s="1361"/>
      <c r="AK83" s="2766"/>
    </row>
    <row r="84" spans="1:37" ht="14.25">
      <c r="A84" s="2848" t="s">
        <v>2949</v>
      </c>
      <c r="B84" s="2852">
        <f>估价对象房地状况!G22</f>
        <v>0</v>
      </c>
      <c r="C84" s="2748"/>
      <c r="D84" s="1275">
        <f t="shared" si="25"/>
        <v>0</v>
      </c>
      <c r="E84" s="816"/>
      <c r="F84" s="2482"/>
      <c r="G84" s="1273"/>
      <c r="H84" s="1277" t="str">
        <f t="shared" si="26"/>
        <v>——</v>
      </c>
      <c r="I84" s="810">
        <v>0.04</v>
      </c>
      <c r="J84" s="1274">
        <f t="shared" si="27"/>
        <v>0</v>
      </c>
      <c r="K84" s="1274">
        <f t="shared" si="28"/>
        <v>0</v>
      </c>
      <c r="L84" s="1274">
        <v>0</v>
      </c>
      <c r="M84" s="1274">
        <f t="shared" si="29"/>
        <v>0</v>
      </c>
      <c r="N84" s="1274">
        <f t="shared" si="29"/>
        <v>0</v>
      </c>
      <c r="Z84" s="2698"/>
      <c r="AA84" s="2766"/>
      <c r="AG84" s="1361"/>
      <c r="AK84" s="2766"/>
    </row>
    <row r="85" spans="1:37" ht="25.5">
      <c r="A85" s="2848" t="s">
        <v>2941</v>
      </c>
      <c r="B85" s="1713" t="str">
        <f>估价对象房地状况!G19</f>
        <v>估价对象所在区域公共配套设施齐备情况</v>
      </c>
      <c r="C85" s="2748"/>
      <c r="D85" s="1275">
        <f t="shared" si="25"/>
        <v>0</v>
      </c>
      <c r="E85" s="816"/>
      <c r="F85" s="2482"/>
      <c r="G85" s="1273"/>
      <c r="H85" s="1277" t="str">
        <f t="shared" si="26"/>
        <v>——</v>
      </c>
      <c r="I85" s="810">
        <v>0.06</v>
      </c>
      <c r="J85" s="1274">
        <f t="shared" si="27"/>
        <v>0</v>
      </c>
      <c r="K85" s="1274">
        <f t="shared" si="28"/>
        <v>0</v>
      </c>
      <c r="L85" s="1274">
        <v>0</v>
      </c>
      <c r="M85" s="1274">
        <f t="shared" si="29"/>
        <v>0</v>
      </c>
      <c r="N85" s="1274">
        <f t="shared" si="29"/>
        <v>0</v>
      </c>
      <c r="Z85" s="2698"/>
      <c r="AA85" s="2766"/>
      <c r="AG85" s="1361"/>
      <c r="AK85" s="2766"/>
    </row>
    <row r="86" spans="1:37" ht="25.5">
      <c r="A86" s="2848" t="s">
        <v>2942</v>
      </c>
      <c r="B86" s="1713" t="str">
        <f>估价对象房地状况!G20</f>
        <v>估价对象所在区域基础设施水平</v>
      </c>
      <c r="C86" s="2748"/>
      <c r="D86" s="1275">
        <f t="shared" si="25"/>
        <v>0</v>
      </c>
      <c r="E86" s="816"/>
      <c r="F86" s="2482"/>
      <c r="G86" s="1273"/>
      <c r="H86" s="1277" t="str">
        <f t="shared" si="26"/>
        <v>——</v>
      </c>
      <c r="I86" s="810">
        <v>0.15</v>
      </c>
      <c r="J86" s="1274">
        <f t="shared" si="27"/>
        <v>0</v>
      </c>
      <c r="K86" s="1274">
        <f t="shared" si="28"/>
        <v>0</v>
      </c>
      <c r="L86" s="1274">
        <v>0</v>
      </c>
      <c r="M86" s="1274">
        <f t="shared" si="29"/>
        <v>0</v>
      </c>
      <c r="N86" s="1274">
        <f t="shared" si="29"/>
        <v>0</v>
      </c>
      <c r="Z86" s="2698"/>
      <c r="AA86" s="2766"/>
      <c r="AG86" s="1361"/>
      <c r="AK86" s="2766"/>
    </row>
    <row r="87" spans="1:37" ht="24">
      <c r="A87" s="2848" t="s">
        <v>2939</v>
      </c>
      <c r="B87" s="2854" t="s">
        <v>2953</v>
      </c>
      <c r="C87" s="2748"/>
      <c r="D87" s="1275">
        <f t="shared" si="25"/>
        <v>0</v>
      </c>
      <c r="E87" s="816"/>
      <c r="F87" s="2482"/>
      <c r="G87" s="1273"/>
      <c r="H87" s="1277" t="str">
        <f t="shared" si="26"/>
        <v>——</v>
      </c>
      <c r="I87" s="810">
        <v>0.05</v>
      </c>
      <c r="J87" s="1274">
        <f t="shared" si="27"/>
        <v>0</v>
      </c>
      <c r="K87" s="1274">
        <f t="shared" si="28"/>
        <v>0</v>
      </c>
      <c r="L87" s="1274">
        <v>0</v>
      </c>
      <c r="M87" s="1274">
        <f t="shared" si="29"/>
        <v>0</v>
      </c>
      <c r="N87" s="1274">
        <f t="shared" si="29"/>
        <v>0</v>
      </c>
      <c r="Z87" s="2698"/>
      <c r="AA87" s="2766"/>
      <c r="AG87" s="1361"/>
      <c r="AK87" s="2766"/>
    </row>
    <row r="88" spans="1:37" ht="39" thickBot="1">
      <c r="A88" s="2856" t="s">
        <v>2954</v>
      </c>
      <c r="B88" s="2861" t="str">
        <f>估价对象房地状况!G18</f>
        <v>该园区内是否有污染型企业，绿化情况，卫生条件，整体环境状况判断</v>
      </c>
      <c r="C88" s="2748"/>
      <c r="D88" s="1275">
        <f t="shared" si="25"/>
        <v>0</v>
      </c>
      <c r="E88" s="817"/>
      <c r="F88" s="2482"/>
      <c r="G88" s="1273"/>
      <c r="H88" s="1277" t="str">
        <f t="shared" si="26"/>
        <v>——</v>
      </c>
      <c r="I88" s="814">
        <v>0.06</v>
      </c>
      <c r="J88" s="1274">
        <f t="shared" si="27"/>
        <v>0</v>
      </c>
      <c r="K88" s="1274">
        <f t="shared" si="28"/>
        <v>0</v>
      </c>
      <c r="L88" s="1274">
        <v>0</v>
      </c>
      <c r="M88" s="1274">
        <f t="shared" si="29"/>
        <v>0</v>
      </c>
      <c r="N88" s="1274">
        <f t="shared" si="29"/>
        <v>0</v>
      </c>
      <c r="Z88" s="2698"/>
      <c r="AA88" s="2766"/>
      <c r="AG88" s="1361"/>
      <c r="AK88" s="2766"/>
    </row>
    <row r="90" spans="1:37">
      <c r="A90" s="3354" t="s">
        <v>2955</v>
      </c>
      <c r="B90" s="3354"/>
      <c r="C90" s="3354"/>
      <c r="D90" s="3354"/>
      <c r="E90" s="3354"/>
      <c r="F90" s="3354"/>
      <c r="G90" s="3354"/>
      <c r="H90" s="3354"/>
      <c r="I90" s="3354"/>
      <c r="J90" s="3354"/>
      <c r="K90" s="2862"/>
      <c r="L90" s="2862"/>
      <c r="M90" s="2862"/>
      <c r="N90" s="2862"/>
    </row>
    <row r="91" spans="1:37">
      <c r="A91" s="3356" t="s">
        <v>2956</v>
      </c>
      <c r="B91" s="3356" t="s">
        <v>2957</v>
      </c>
      <c r="C91" s="2816" t="s">
        <v>2958</v>
      </c>
      <c r="D91" s="2817"/>
      <c r="E91" s="2817"/>
      <c r="F91" s="2817"/>
      <c r="G91" s="2817"/>
      <c r="H91" s="2817"/>
      <c r="I91" s="2817"/>
      <c r="J91" s="2863"/>
      <c r="K91" s="2864"/>
      <c r="L91" s="2864"/>
      <c r="M91" s="2864"/>
      <c r="N91" s="2864"/>
    </row>
    <row r="92" spans="1:37">
      <c r="A92" s="3356"/>
      <c r="B92" s="3356"/>
      <c r="C92" s="932" t="s">
        <v>2824</v>
      </c>
      <c r="D92" s="932" t="s">
        <v>2825</v>
      </c>
      <c r="E92" s="932" t="s">
        <v>2826</v>
      </c>
      <c r="F92" s="932" t="s">
        <v>2827</v>
      </c>
      <c r="G92" s="932" t="s">
        <v>2828</v>
      </c>
      <c r="H92" s="932" t="s">
        <v>2829</v>
      </c>
      <c r="I92" s="932" t="s">
        <v>2830</v>
      </c>
      <c r="J92" s="932" t="s">
        <v>2831</v>
      </c>
      <c r="K92" s="932" t="s">
        <v>2832</v>
      </c>
      <c r="L92" s="932" t="s">
        <v>2833</v>
      </c>
      <c r="M92" s="932" t="s">
        <v>2834</v>
      </c>
      <c r="N92" s="932" t="s">
        <v>2835</v>
      </c>
    </row>
    <row r="93" spans="1:37">
      <c r="A93" s="3357" t="s">
        <v>2959</v>
      </c>
      <c r="B93" s="2865">
        <v>1</v>
      </c>
      <c r="C93" s="2866">
        <v>1.9361999999999999</v>
      </c>
      <c r="D93" s="2866">
        <v>1.9361999999999999</v>
      </c>
      <c r="E93" s="2866">
        <v>1.8629</v>
      </c>
      <c r="F93" s="2866">
        <v>1.8629</v>
      </c>
      <c r="G93" s="2866">
        <v>1.8629</v>
      </c>
      <c r="H93" s="2866">
        <v>1.8629</v>
      </c>
      <c r="I93" s="2866">
        <v>1.8629</v>
      </c>
      <c r="J93" s="2866">
        <v>1.9419999999999999</v>
      </c>
      <c r="K93" s="2866">
        <v>1.9419999999999999</v>
      </c>
      <c r="L93" s="2866">
        <v>1.9419999999999999</v>
      </c>
      <c r="M93" s="2866">
        <v>1.9419999999999999</v>
      </c>
      <c r="N93" s="2866">
        <v>1.9419999999999999</v>
      </c>
    </row>
    <row r="94" spans="1:37">
      <c r="A94" s="3358"/>
      <c r="B94" s="2865">
        <v>2</v>
      </c>
      <c r="C94" s="2866">
        <v>1.4198</v>
      </c>
      <c r="D94" s="2866">
        <v>1.4198</v>
      </c>
      <c r="E94" s="2866">
        <v>1.3371999999999999</v>
      </c>
      <c r="F94" s="2866">
        <v>1.3371999999999999</v>
      </c>
      <c r="G94" s="2866">
        <v>1.3371999999999999</v>
      </c>
      <c r="H94" s="2866">
        <v>1.3371999999999999</v>
      </c>
      <c r="I94" s="2866">
        <v>1.3371999999999999</v>
      </c>
      <c r="J94" s="2866">
        <v>1.2799</v>
      </c>
      <c r="K94" s="2866">
        <v>1.2799</v>
      </c>
      <c r="L94" s="2866">
        <v>1.2799</v>
      </c>
      <c r="M94" s="2866">
        <v>1.2799</v>
      </c>
      <c r="N94" s="2866">
        <v>1.2799</v>
      </c>
    </row>
    <row r="95" spans="1:37">
      <c r="A95" s="3358"/>
      <c r="B95" s="2865">
        <v>3</v>
      </c>
      <c r="C95" s="2866">
        <v>1.1594</v>
      </c>
      <c r="D95" s="2866">
        <v>1.1594</v>
      </c>
      <c r="E95" s="2866">
        <v>1.0788</v>
      </c>
      <c r="F95" s="2866">
        <v>1.0788</v>
      </c>
      <c r="G95" s="2866">
        <v>1.0788</v>
      </c>
      <c r="H95" s="2866">
        <v>1.0788</v>
      </c>
      <c r="I95" s="2866">
        <v>1.0788</v>
      </c>
      <c r="J95" s="2866">
        <v>1.0072000000000001</v>
      </c>
      <c r="K95" s="2866">
        <v>1.0072000000000001</v>
      </c>
      <c r="L95" s="2866">
        <v>1.0072000000000001</v>
      </c>
      <c r="M95" s="2866">
        <v>1.0072000000000001</v>
      </c>
      <c r="N95" s="2866">
        <v>1.0072000000000001</v>
      </c>
    </row>
    <row r="96" spans="1:37">
      <c r="A96" s="3358"/>
      <c r="B96" s="2865">
        <v>4</v>
      </c>
      <c r="C96" s="2866">
        <v>0.96220000000000006</v>
      </c>
      <c r="D96" s="2866">
        <v>0.96220000000000006</v>
      </c>
      <c r="E96" s="2866">
        <v>0.86560000000000004</v>
      </c>
      <c r="F96" s="2866">
        <v>0.86560000000000004</v>
      </c>
      <c r="G96" s="2866">
        <v>0.86560000000000004</v>
      </c>
      <c r="H96" s="2866">
        <v>0.86560000000000004</v>
      </c>
      <c r="I96" s="2866">
        <v>0.86560000000000004</v>
      </c>
      <c r="J96" s="2866">
        <v>0.75249999999999995</v>
      </c>
      <c r="K96" s="2866">
        <v>0.75249999999999995</v>
      </c>
      <c r="L96" s="2866">
        <v>0.75249999999999995</v>
      </c>
      <c r="M96" s="2866">
        <v>0.75249999999999995</v>
      </c>
      <c r="N96" s="2866">
        <v>0.75249999999999995</v>
      </c>
    </row>
    <row r="97" spans="1:14">
      <c r="A97" s="3358"/>
      <c r="B97" s="2865">
        <v>5</v>
      </c>
      <c r="C97" s="2866">
        <v>0.8417</v>
      </c>
      <c r="D97" s="2866">
        <v>0.8417</v>
      </c>
      <c r="E97" s="2866">
        <v>0.73709999999999998</v>
      </c>
      <c r="F97" s="2866">
        <v>0.73709999999999998</v>
      </c>
      <c r="G97" s="2866">
        <v>0.73709999999999998</v>
      </c>
      <c r="H97" s="2866">
        <v>0.73709999999999998</v>
      </c>
      <c r="I97" s="2866">
        <v>0.73709999999999998</v>
      </c>
      <c r="J97" s="2866">
        <v>0.56589999999999996</v>
      </c>
      <c r="K97" s="2866">
        <v>0.56589999999999996</v>
      </c>
      <c r="L97" s="2866">
        <v>0.56589999999999996</v>
      </c>
      <c r="M97" s="2866">
        <v>0.56589999999999996</v>
      </c>
      <c r="N97" s="2866">
        <v>0.56589999999999996</v>
      </c>
    </row>
    <row r="98" spans="1:14">
      <c r="A98" s="3358"/>
      <c r="B98" s="2865">
        <v>6</v>
      </c>
      <c r="C98" s="2866">
        <v>0.76080000000000003</v>
      </c>
      <c r="D98" s="2866">
        <v>0.76080000000000003</v>
      </c>
      <c r="E98" s="2866">
        <v>0.6482</v>
      </c>
      <c r="F98" s="2866">
        <v>0.6482</v>
      </c>
      <c r="G98" s="2866">
        <v>0.6482</v>
      </c>
      <c r="H98" s="2866">
        <v>0.6482</v>
      </c>
      <c r="I98" s="2866">
        <v>0.6482</v>
      </c>
      <c r="J98" s="2866">
        <v>0.45250000000000001</v>
      </c>
      <c r="K98" s="2866">
        <v>0.45250000000000001</v>
      </c>
      <c r="L98" s="2866">
        <v>0.45250000000000001</v>
      </c>
      <c r="M98" s="2866">
        <v>0.45250000000000001</v>
      </c>
      <c r="N98" s="2866">
        <v>0.45250000000000001</v>
      </c>
    </row>
    <row r="99" spans="1:14">
      <c r="A99" s="3358"/>
      <c r="B99" s="2865" t="s">
        <v>2840</v>
      </c>
      <c r="C99" s="2867">
        <f>$I$3</f>
        <v>0</v>
      </c>
      <c r="D99" s="2867">
        <f t="shared" ref="D99:M99" si="30">$I$3</f>
        <v>0</v>
      </c>
      <c r="E99" s="2867">
        <f t="shared" si="30"/>
        <v>0</v>
      </c>
      <c r="F99" s="2867">
        <f t="shared" si="30"/>
        <v>0</v>
      </c>
      <c r="G99" s="2867">
        <f t="shared" si="30"/>
        <v>0</v>
      </c>
      <c r="H99" s="2867">
        <f t="shared" si="30"/>
        <v>0</v>
      </c>
      <c r="I99" s="2867">
        <f t="shared" si="30"/>
        <v>0</v>
      </c>
      <c r="J99" s="2867">
        <f t="shared" si="30"/>
        <v>0</v>
      </c>
      <c r="K99" s="2867">
        <f t="shared" si="30"/>
        <v>0</v>
      </c>
      <c r="L99" s="2867">
        <f t="shared" si="30"/>
        <v>0</v>
      </c>
      <c r="M99" s="2867">
        <f t="shared" si="30"/>
        <v>0</v>
      </c>
      <c r="N99" s="2867">
        <f>$I$3</f>
        <v>0</v>
      </c>
    </row>
    <row r="100" spans="1:14">
      <c r="A100" s="3359"/>
      <c r="B100" s="2865">
        <v>7</v>
      </c>
      <c r="C100" s="2868">
        <f>(-0.163*(C99^2)-0.59*C99+7617)*(10^(-4))</f>
        <v>0.76170000000000004</v>
      </c>
      <c r="D100" s="2868">
        <f>(-0.163*(D99^2)-0.59*D99+7617)*(10^(-4))</f>
        <v>0.76170000000000004</v>
      </c>
      <c r="E100" s="2868">
        <f>(-0.161*(E99^2)-7.509*E99+6533)*(10^(-4))</f>
        <v>0.65329999999999999</v>
      </c>
      <c r="F100" s="2868">
        <f>(-0.161*(F99^2)-7.509*F99+6533)*(10^(-4))</f>
        <v>0.65329999999999999</v>
      </c>
      <c r="G100" s="2868">
        <f>(-0.161*(G99^2)-7.509*G99+6533)*(10^(-4))</f>
        <v>0.65329999999999999</v>
      </c>
      <c r="H100" s="2868">
        <f>(-0.161*(H99^2)-7.509*H99+6533)*(10^(-4))</f>
        <v>0.65329999999999999</v>
      </c>
      <c r="I100" s="2868">
        <f>(-0.161*(I99^2)-7.509*I99+6533)*(10^(-4))</f>
        <v>0.65329999999999999</v>
      </c>
      <c r="J100" s="2868">
        <f>(-0.214*(J99^2)-21.991*J99+4665)*(10^(-4))</f>
        <v>0.46650000000000003</v>
      </c>
      <c r="K100" s="2868">
        <f>(-0.214*(K99^2)-21.991*K99+4665)*(10^(-4))</f>
        <v>0.46650000000000003</v>
      </c>
      <c r="L100" s="2868">
        <f>(-0.214*(L99^2)-21.991*L99+4665)*(10^(-4))</f>
        <v>0.46650000000000003</v>
      </c>
      <c r="M100" s="2868">
        <f>(-0.214*(M99^2)-21.991*M99+4665)*(10^(-4))</f>
        <v>0.46650000000000003</v>
      </c>
      <c r="N100" s="2868">
        <f>(-0.214*(N99^2)-21.991*N99+4665)*(10^(-4))</f>
        <v>0.46650000000000003</v>
      </c>
    </row>
    <row r="101" spans="1:14">
      <c r="A101" s="3357" t="s">
        <v>2960</v>
      </c>
      <c r="B101" s="2869" t="s">
        <v>2961</v>
      </c>
      <c r="C101" s="2870">
        <f>$G$3</f>
        <v>3.5</v>
      </c>
      <c r="D101" s="2870">
        <f t="shared" ref="D101:N101" si="31">$G$3</f>
        <v>3.5</v>
      </c>
      <c r="E101" s="2870">
        <f t="shared" si="31"/>
        <v>3.5</v>
      </c>
      <c r="F101" s="2870">
        <f t="shared" si="31"/>
        <v>3.5</v>
      </c>
      <c r="G101" s="2870">
        <f t="shared" si="31"/>
        <v>3.5</v>
      </c>
      <c r="H101" s="2870">
        <f t="shared" si="31"/>
        <v>3.5</v>
      </c>
      <c r="I101" s="2870">
        <f t="shared" si="31"/>
        <v>3.5</v>
      </c>
      <c r="J101" s="2870">
        <f t="shared" si="31"/>
        <v>3.5</v>
      </c>
      <c r="K101" s="2870">
        <f t="shared" si="31"/>
        <v>3.5</v>
      </c>
      <c r="L101" s="2870">
        <f t="shared" si="31"/>
        <v>3.5</v>
      </c>
      <c r="M101" s="2870">
        <f t="shared" si="31"/>
        <v>3.5</v>
      </c>
      <c r="N101" s="2870">
        <f t="shared" si="31"/>
        <v>3.5</v>
      </c>
    </row>
    <row r="102" spans="1:14">
      <c r="A102" s="3358"/>
      <c r="B102" s="2865">
        <v>1</v>
      </c>
      <c r="C102" s="2866">
        <f>1.9362/C101</f>
        <v>0.55320000000000003</v>
      </c>
      <c r="D102" s="2866">
        <f>1.9362/D101</f>
        <v>0.55320000000000003</v>
      </c>
      <c r="E102" s="2866">
        <f>1.8629/E101</f>
        <v>0.53225714285714287</v>
      </c>
      <c r="F102" s="2866">
        <f>1.8629/F101</f>
        <v>0.53225714285714287</v>
      </c>
      <c r="G102" s="2866">
        <f>1.8629/G101</f>
        <v>0.53225714285714287</v>
      </c>
      <c r="H102" s="2866">
        <f>1.8629/H101</f>
        <v>0.53225714285714287</v>
      </c>
      <c r="I102" s="2866">
        <f>1.8629/I101</f>
        <v>0.53225714285714287</v>
      </c>
      <c r="J102" s="2866">
        <f>1.942/J101</f>
        <v>0.55485714285714283</v>
      </c>
      <c r="K102" s="2866">
        <f>1.942/K101</f>
        <v>0.55485714285714283</v>
      </c>
      <c r="L102" s="2866">
        <f>1.942/L101</f>
        <v>0.55485714285714283</v>
      </c>
      <c r="M102" s="2866">
        <f>1.942/M101</f>
        <v>0.55485714285714283</v>
      </c>
      <c r="N102" s="2866">
        <f>1.942/N101</f>
        <v>0.55485714285714283</v>
      </c>
    </row>
    <row r="103" spans="1:14">
      <c r="A103" s="3358"/>
      <c r="B103" s="2865">
        <v>2</v>
      </c>
      <c r="C103" s="2866">
        <f>1.4198/C101</f>
        <v>0.40565714285714283</v>
      </c>
      <c r="D103" s="2866">
        <f>1.4198/D101</f>
        <v>0.40565714285714283</v>
      </c>
      <c r="E103" s="2866">
        <f>1.3372/E101</f>
        <v>0.38205714285714282</v>
      </c>
      <c r="F103" s="2866">
        <f>1.3372/F101</f>
        <v>0.38205714285714282</v>
      </c>
      <c r="G103" s="2866">
        <f>1.3372/G101</f>
        <v>0.38205714285714282</v>
      </c>
      <c r="H103" s="2866">
        <f>1.3372/H101</f>
        <v>0.38205714285714282</v>
      </c>
      <c r="I103" s="2866">
        <f>1.3372/I101</f>
        <v>0.38205714285714282</v>
      </c>
      <c r="J103" s="2866">
        <f>1.2799/J101</f>
        <v>0.36568571428571428</v>
      </c>
      <c r="K103" s="2866">
        <f>1.2799/K101</f>
        <v>0.36568571428571428</v>
      </c>
      <c r="L103" s="2866">
        <f>1.2799/L101</f>
        <v>0.36568571428571428</v>
      </c>
      <c r="M103" s="2866">
        <f>1.2799/M101</f>
        <v>0.36568571428571428</v>
      </c>
      <c r="N103" s="2866">
        <f>1.2799/N101</f>
        <v>0.36568571428571428</v>
      </c>
    </row>
    <row r="104" spans="1:14">
      <c r="A104" s="3358"/>
      <c r="B104" s="2865">
        <v>3</v>
      </c>
      <c r="C104" s="2866">
        <f>1.1594/C101</f>
        <v>0.33125714285714286</v>
      </c>
      <c r="D104" s="2866">
        <f>1.1594/D101</f>
        <v>0.33125714285714286</v>
      </c>
      <c r="E104" s="2866">
        <f>1.0788/E101</f>
        <v>0.30822857142857141</v>
      </c>
      <c r="F104" s="2866">
        <f>1.0788/F101</f>
        <v>0.30822857142857141</v>
      </c>
      <c r="G104" s="2866">
        <f>1.0788/G101</f>
        <v>0.30822857142857141</v>
      </c>
      <c r="H104" s="2866">
        <f>1.0788/H101</f>
        <v>0.30822857142857141</v>
      </c>
      <c r="I104" s="2866">
        <f>1.0788/I101</f>
        <v>0.30822857142857141</v>
      </c>
      <c r="J104" s="2866">
        <f>1.0072/J101</f>
        <v>0.28777142857142862</v>
      </c>
      <c r="K104" s="2866">
        <f>1.0072/K101</f>
        <v>0.28777142857142862</v>
      </c>
      <c r="L104" s="2866">
        <f>1.0072/L101</f>
        <v>0.28777142857142862</v>
      </c>
      <c r="M104" s="2866">
        <f>1.0072/M101</f>
        <v>0.28777142857142862</v>
      </c>
      <c r="N104" s="2866">
        <f>1.0072/N101</f>
        <v>0.28777142857142862</v>
      </c>
    </row>
    <row r="105" spans="1:14">
      <c r="A105" s="3358"/>
      <c r="B105" s="2865">
        <v>4</v>
      </c>
      <c r="C105" s="2866">
        <f>0.9622/C101</f>
        <v>0.27491428571428572</v>
      </c>
      <c r="D105" s="2866">
        <f>0.9622/D101</f>
        <v>0.27491428571428572</v>
      </c>
      <c r="E105" s="2866">
        <f>0.8656/E101</f>
        <v>0.24731428571428574</v>
      </c>
      <c r="F105" s="2866">
        <f>0.8656/F101</f>
        <v>0.24731428571428574</v>
      </c>
      <c r="G105" s="2866">
        <f>0.8656/G101</f>
        <v>0.24731428571428574</v>
      </c>
      <c r="H105" s="2866">
        <f>0.8656/H101</f>
        <v>0.24731428571428574</v>
      </c>
      <c r="I105" s="2866">
        <f>0.8656/I101</f>
        <v>0.24731428571428574</v>
      </c>
      <c r="J105" s="2866">
        <f>0.7525/J101</f>
        <v>0.215</v>
      </c>
      <c r="K105" s="2866">
        <f>0.7525/K101</f>
        <v>0.215</v>
      </c>
      <c r="L105" s="2866">
        <f>0.7525/L101</f>
        <v>0.215</v>
      </c>
      <c r="M105" s="2866">
        <f>0.7525/M101</f>
        <v>0.215</v>
      </c>
      <c r="N105" s="2866">
        <f>0.7525/N101</f>
        <v>0.215</v>
      </c>
    </row>
    <row r="106" spans="1:14">
      <c r="A106" s="3358"/>
      <c r="B106" s="2865">
        <v>5</v>
      </c>
      <c r="C106" s="2866">
        <f>0.8417/C101</f>
        <v>0.24048571428571427</v>
      </c>
      <c r="D106" s="2866">
        <f>0.8417/D101</f>
        <v>0.24048571428571427</v>
      </c>
      <c r="E106" s="2866">
        <f>0.7371/E101</f>
        <v>0.21059999999999998</v>
      </c>
      <c r="F106" s="2866">
        <f>0.7371/F101</f>
        <v>0.21059999999999998</v>
      </c>
      <c r="G106" s="2866">
        <f>0.7371/G101</f>
        <v>0.21059999999999998</v>
      </c>
      <c r="H106" s="2866">
        <f>0.7371/H101</f>
        <v>0.21059999999999998</v>
      </c>
      <c r="I106" s="2866">
        <f>0.7371/I101</f>
        <v>0.21059999999999998</v>
      </c>
      <c r="J106" s="2866">
        <f>0.5659/J101</f>
        <v>0.16168571428571427</v>
      </c>
      <c r="K106" s="2866">
        <f>0.5659/K101</f>
        <v>0.16168571428571427</v>
      </c>
      <c r="L106" s="2866">
        <f>0.5659/L101</f>
        <v>0.16168571428571427</v>
      </c>
      <c r="M106" s="2866">
        <f>0.5659/M101</f>
        <v>0.16168571428571427</v>
      </c>
      <c r="N106" s="2866">
        <f>0.5659/N101</f>
        <v>0.16168571428571427</v>
      </c>
    </row>
    <row r="107" spans="1:14">
      <c r="A107" s="3358"/>
      <c r="B107" s="2865">
        <v>6</v>
      </c>
      <c r="C107" s="2866">
        <f>0.7608/C101</f>
        <v>0.21737142857142858</v>
      </c>
      <c r="D107" s="2866">
        <f>0.7608/D101</f>
        <v>0.21737142857142858</v>
      </c>
      <c r="E107" s="2866">
        <f>0.6482/E101</f>
        <v>0.1852</v>
      </c>
      <c r="F107" s="2866">
        <f>0.6482/F101</f>
        <v>0.1852</v>
      </c>
      <c r="G107" s="2866">
        <f>0.6482/G101</f>
        <v>0.1852</v>
      </c>
      <c r="H107" s="2866">
        <f>0.6482/H101</f>
        <v>0.1852</v>
      </c>
      <c r="I107" s="2866">
        <f>0.6482/I101</f>
        <v>0.1852</v>
      </c>
      <c r="J107" s="2866">
        <f>0.4525/J101</f>
        <v>0.12928571428571428</v>
      </c>
      <c r="K107" s="2866">
        <f>0.4525/K101</f>
        <v>0.12928571428571428</v>
      </c>
      <c r="L107" s="2866">
        <f>0.4525/L101</f>
        <v>0.12928571428571428</v>
      </c>
      <c r="M107" s="2866">
        <f>0.4525/M101</f>
        <v>0.12928571428571428</v>
      </c>
      <c r="N107" s="2866">
        <f>0.4525/N101</f>
        <v>0.12928571428571428</v>
      </c>
    </row>
    <row r="108" spans="1:14">
      <c r="A108" s="3358"/>
      <c r="B108" s="3213" t="s">
        <v>2962</v>
      </c>
      <c r="C108" s="2867">
        <f>C99</f>
        <v>0</v>
      </c>
      <c r="D108" s="2867">
        <f t="shared" ref="D108:N108" si="32">D99</f>
        <v>0</v>
      </c>
      <c r="E108" s="2867">
        <f t="shared" si="32"/>
        <v>0</v>
      </c>
      <c r="F108" s="2867">
        <f t="shared" si="32"/>
        <v>0</v>
      </c>
      <c r="G108" s="2867">
        <f t="shared" si="32"/>
        <v>0</v>
      </c>
      <c r="H108" s="2867">
        <f t="shared" si="32"/>
        <v>0</v>
      </c>
      <c r="I108" s="2867">
        <f t="shared" si="32"/>
        <v>0</v>
      </c>
      <c r="J108" s="2867">
        <f t="shared" si="32"/>
        <v>0</v>
      </c>
      <c r="K108" s="2867">
        <f t="shared" si="32"/>
        <v>0</v>
      </c>
      <c r="L108" s="2867">
        <f t="shared" si="32"/>
        <v>0</v>
      </c>
      <c r="M108" s="2867">
        <f t="shared" si="32"/>
        <v>0</v>
      </c>
      <c r="N108" s="2867">
        <f t="shared" si="32"/>
        <v>0</v>
      </c>
    </row>
    <row r="109" spans="1:14">
      <c r="A109" s="3359"/>
      <c r="B109" s="3214"/>
      <c r="C109" s="2868">
        <f>(-0.163*(C108^2)-0.59*C108+7617)*(10^(-4))/C101</f>
        <v>0.21762857142857145</v>
      </c>
      <c r="D109" s="2868">
        <f>(-0.163*(D108^2)-0.59*D108+7617)*(10^(-4))/D101</f>
        <v>0.21762857142857145</v>
      </c>
      <c r="E109" s="2868">
        <f>(-0.161*(E108^2)-7.509*E108+6533)*(10^(-4))/E101</f>
        <v>0.18665714285714285</v>
      </c>
      <c r="F109" s="2868">
        <f>(-0.161*(F108^2)-7.509*F108+6533)*(10^(-4))/F101</f>
        <v>0.18665714285714285</v>
      </c>
      <c r="G109" s="2868">
        <f>(-0.161*(G108^2)-7.509*G108+6533)*(10^(-4))/G101</f>
        <v>0.18665714285714285</v>
      </c>
      <c r="H109" s="2868">
        <f>(-0.161*(H108^2)-7.509*H108+6533)*(10^(-4))/H101</f>
        <v>0.18665714285714285</v>
      </c>
      <c r="I109" s="2868">
        <f>(-0.161*(I108^2)-7.509*I108+6533)*(10^(-4))/I101</f>
        <v>0.18665714285714285</v>
      </c>
      <c r="J109" s="2868">
        <f>(-0.214*(J108^2)-21.991*J108+4665)*(10^(-4))/J101</f>
        <v>0.13328571428571429</v>
      </c>
      <c r="K109" s="2868">
        <f>(-0.214*(K108^2)-21.991*K108+4665)*(10^(-4))/K101</f>
        <v>0.13328571428571429</v>
      </c>
      <c r="L109" s="2868">
        <f>(-0.214*(L108^2)-21.991*L108+4665)*(10^(-4))/L101</f>
        <v>0.13328571428571429</v>
      </c>
      <c r="M109" s="2868">
        <f>(-0.214*(M108^2)-21.991*M108+4665)*(10^(-4))/M101</f>
        <v>0.13328571428571429</v>
      </c>
      <c r="N109" s="2868">
        <f>(-0.214*(N108^2)-21.991*N108+4665)*(10^(-4))/N101</f>
        <v>0.13328571428571429</v>
      </c>
    </row>
    <row r="110" spans="1:14">
      <c r="A110" s="3355" t="s">
        <v>2963</v>
      </c>
      <c r="B110" s="3355"/>
      <c r="C110" s="3355"/>
      <c r="D110" s="3355"/>
      <c r="E110" s="3355"/>
      <c r="F110" s="3355"/>
      <c r="G110" s="3355"/>
      <c r="H110" s="3355"/>
      <c r="I110" s="3355"/>
      <c r="J110" s="3355"/>
      <c r="K110" s="2871"/>
      <c r="L110" s="2871"/>
      <c r="M110" s="2871"/>
      <c r="N110" s="2871"/>
    </row>
    <row r="112" spans="1:14" ht="13.5" thickBot="1"/>
    <row r="113" spans="1:13" ht="25.5" thickBot="1">
      <c r="A113" s="893" t="s">
        <v>2964</v>
      </c>
      <c r="B113" s="1276">
        <f>G3</f>
        <v>3.5</v>
      </c>
      <c r="C113" s="894" t="s">
        <v>2965</v>
      </c>
      <c r="D113" s="895">
        <f>SUMPRODUCT((A115:A118=F113)*(B114:M114=H113)*B115:M118)</f>
        <v>0</v>
      </c>
      <c r="E113" s="2702" t="s">
        <v>2797</v>
      </c>
      <c r="F113" s="2873">
        <f>E2</f>
        <v>0</v>
      </c>
      <c r="G113" s="2702" t="s">
        <v>2798</v>
      </c>
      <c r="H113" s="2873">
        <f>G2</f>
        <v>0</v>
      </c>
      <c r="I113" s="2702"/>
      <c r="J113" s="2874"/>
      <c r="K113" s="2874"/>
      <c r="L113" s="2874"/>
      <c r="M113" s="2874"/>
    </row>
    <row r="114" spans="1:13">
      <c r="A114" s="898"/>
      <c r="B114" s="2875" t="s">
        <v>2966</v>
      </c>
      <c r="C114" s="2875" t="s">
        <v>2967</v>
      </c>
      <c r="D114" s="2875" t="s">
        <v>2968</v>
      </c>
      <c r="E114" s="2876" t="s">
        <v>2969</v>
      </c>
      <c r="F114" s="2876" t="s">
        <v>2970</v>
      </c>
      <c r="G114" s="2876" t="s">
        <v>2971</v>
      </c>
      <c r="H114" s="2877" t="s">
        <v>2972</v>
      </c>
      <c r="I114" s="2877" t="s">
        <v>2973</v>
      </c>
      <c r="J114" s="2878" t="s">
        <v>2974</v>
      </c>
      <c r="K114" s="2878" t="s">
        <v>2975</v>
      </c>
      <c r="L114" s="2878" t="s">
        <v>2976</v>
      </c>
      <c r="M114" s="2879" t="s">
        <v>2977</v>
      </c>
    </row>
    <row r="115" spans="1:13">
      <c r="A115" s="899" t="s">
        <v>2862</v>
      </c>
      <c r="B115" s="900">
        <f>ROUND(0.9335-0.0094*B113,4)</f>
        <v>0.90059999999999996</v>
      </c>
      <c r="C115" s="900">
        <f>B115</f>
        <v>0.90059999999999996</v>
      </c>
      <c r="D115" s="900">
        <f>ROUND(0.8331-0.0109*B113,4)</f>
        <v>0.79500000000000004</v>
      </c>
      <c r="E115" s="900">
        <f>D115</f>
        <v>0.79500000000000004</v>
      </c>
      <c r="F115" s="900">
        <f>E115</f>
        <v>0.79500000000000004</v>
      </c>
      <c r="G115" s="900">
        <f>F115</f>
        <v>0.79500000000000004</v>
      </c>
      <c r="H115" s="900">
        <f>G115</f>
        <v>0.79500000000000004</v>
      </c>
      <c r="I115" s="900">
        <f>ROUND(0.689-0.0155*B113,4)</f>
        <v>0.63480000000000003</v>
      </c>
      <c r="J115" s="900">
        <f t="shared" ref="J115:M118" si="33">I115</f>
        <v>0.63480000000000003</v>
      </c>
      <c r="K115" s="900">
        <f t="shared" si="33"/>
        <v>0.63480000000000003</v>
      </c>
      <c r="L115" s="900">
        <f t="shared" si="33"/>
        <v>0.63480000000000003</v>
      </c>
      <c r="M115" s="901">
        <f t="shared" si="33"/>
        <v>0.63480000000000003</v>
      </c>
    </row>
    <row r="116" spans="1:13">
      <c r="A116" s="899" t="s">
        <v>2863</v>
      </c>
      <c r="B116" s="900">
        <f>ROUND(0.949-0.012*B113,4)</f>
        <v>0.90700000000000003</v>
      </c>
      <c r="C116" s="900">
        <f>B116</f>
        <v>0.90700000000000003</v>
      </c>
      <c r="D116" s="900">
        <f>ROUND(0.8567-0.013*B113,4)</f>
        <v>0.81120000000000003</v>
      </c>
      <c r="E116" s="900">
        <f t="shared" ref="E116:H117" si="34">D116</f>
        <v>0.81120000000000003</v>
      </c>
      <c r="F116" s="900">
        <f t="shared" si="34"/>
        <v>0.81120000000000003</v>
      </c>
      <c r="G116" s="900">
        <f t="shared" si="34"/>
        <v>0.81120000000000003</v>
      </c>
      <c r="H116" s="900">
        <f t="shared" si="34"/>
        <v>0.81120000000000003</v>
      </c>
      <c r="I116" s="900">
        <f>ROUND(0.7694-0.014*B113,4)</f>
        <v>0.72040000000000004</v>
      </c>
      <c r="J116" s="900">
        <f t="shared" si="33"/>
        <v>0.72040000000000004</v>
      </c>
      <c r="K116" s="900">
        <f t="shared" si="33"/>
        <v>0.72040000000000004</v>
      </c>
      <c r="L116" s="900">
        <f t="shared" si="33"/>
        <v>0.72040000000000004</v>
      </c>
      <c r="M116" s="901">
        <f t="shared" si="33"/>
        <v>0.72040000000000004</v>
      </c>
    </row>
    <row r="117" spans="1:13">
      <c r="A117" s="899" t="s">
        <v>2864</v>
      </c>
      <c r="B117" s="900">
        <f>ROUND(0.8808-0.006*B113,4)</f>
        <v>0.85980000000000001</v>
      </c>
      <c r="C117" s="900">
        <f>B117</f>
        <v>0.85980000000000001</v>
      </c>
      <c r="D117" s="900">
        <f>ROUND(0.8748-0.008*B113,4)</f>
        <v>0.8468</v>
      </c>
      <c r="E117" s="900">
        <f t="shared" si="34"/>
        <v>0.8468</v>
      </c>
      <c r="F117" s="900">
        <f t="shared" si="34"/>
        <v>0.8468</v>
      </c>
      <c r="G117" s="900">
        <f t="shared" si="34"/>
        <v>0.8468</v>
      </c>
      <c r="H117" s="900">
        <f t="shared" si="34"/>
        <v>0.8468</v>
      </c>
      <c r="I117" s="900">
        <f>ROUND(0.7412-0.0095*B113,4)</f>
        <v>0.70799999999999996</v>
      </c>
      <c r="J117" s="900">
        <f t="shared" si="33"/>
        <v>0.70799999999999996</v>
      </c>
      <c r="K117" s="900">
        <f t="shared" si="33"/>
        <v>0.70799999999999996</v>
      </c>
      <c r="L117" s="900">
        <f t="shared" si="33"/>
        <v>0.70799999999999996</v>
      </c>
      <c r="M117" s="901">
        <f t="shared" si="33"/>
        <v>0.70799999999999996</v>
      </c>
    </row>
    <row r="118" spans="1:13" ht="13.5" thickBot="1">
      <c r="A118" s="711" t="s">
        <v>2865</v>
      </c>
      <c r="B118" s="902">
        <f>ROUND(0.7275-0.01*B113,4)</f>
        <v>0.6925</v>
      </c>
      <c r="C118" s="902">
        <f>B118</f>
        <v>0.6925</v>
      </c>
      <c r="D118" s="902">
        <f>ROUND(0.7043-0.012*B113,4)</f>
        <v>0.6623</v>
      </c>
      <c r="E118" s="902">
        <f>D118</f>
        <v>0.6623</v>
      </c>
      <c r="F118" s="902">
        <f>E118</f>
        <v>0.6623</v>
      </c>
      <c r="G118" s="902">
        <f>ROUND(0.6299-0.0122*B113,4)</f>
        <v>0.58720000000000006</v>
      </c>
      <c r="H118" s="902">
        <f>G118</f>
        <v>0.58720000000000006</v>
      </c>
      <c r="I118" s="902">
        <f>ROUND(0.5667-0.0136*B113,4)</f>
        <v>0.51910000000000001</v>
      </c>
      <c r="J118" s="902">
        <f t="shared" si="33"/>
        <v>0.51910000000000001</v>
      </c>
      <c r="K118" s="902">
        <f t="shared" si="33"/>
        <v>0.51910000000000001</v>
      </c>
      <c r="L118" s="902">
        <f t="shared" si="33"/>
        <v>0.51910000000000001</v>
      </c>
      <c r="M118" s="903">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3032</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65" t="s">
        <v>183</v>
      </c>
      <c r="B18" s="872" t="s">
        <v>560</v>
      </c>
      <c r="C18" s="873" t="s">
        <v>561</v>
      </c>
      <c r="D18" s="874"/>
      <c r="E18" s="872">
        <v>1</v>
      </c>
      <c r="F18" s="875" t="s">
        <v>562</v>
      </c>
      <c r="G18" s="876"/>
      <c r="H18" s="868"/>
      <c r="I18" s="868"/>
    </row>
    <row r="19" spans="1:9" s="877" customFormat="1" ht="19.5" customHeight="1">
      <c r="A19" s="3365"/>
      <c r="B19" s="3365" t="s">
        <v>563</v>
      </c>
      <c r="C19" s="873" t="s">
        <v>564</v>
      </c>
      <c r="D19" s="874"/>
      <c r="E19" s="872">
        <v>0.9</v>
      </c>
      <c r="F19" s="875" t="s">
        <v>565</v>
      </c>
      <c r="G19" s="876"/>
      <c r="H19" s="868"/>
      <c r="I19" s="868"/>
    </row>
    <row r="20" spans="1:9" s="877" customFormat="1" ht="19.5" customHeight="1">
      <c r="A20" s="3365"/>
      <c r="B20" s="3365"/>
      <c r="C20" s="873" t="s">
        <v>566</v>
      </c>
      <c r="D20" s="874"/>
      <c r="E20" s="872">
        <v>1.1000000000000001</v>
      </c>
      <c r="F20" s="875" t="s">
        <v>567</v>
      </c>
      <c r="G20" s="876"/>
      <c r="H20" s="868"/>
      <c r="I20" s="868"/>
    </row>
    <row r="21" spans="1:9" s="877" customFormat="1" ht="19.5" customHeight="1">
      <c r="A21" s="3365"/>
      <c r="B21" s="3365"/>
      <c r="C21" s="873" t="s">
        <v>568</v>
      </c>
      <c r="D21" s="874"/>
      <c r="E21" s="872">
        <v>0.8</v>
      </c>
      <c r="F21" s="875" t="s">
        <v>569</v>
      </c>
      <c r="G21" s="876"/>
      <c r="H21" s="868"/>
      <c r="I21" s="868"/>
    </row>
    <row r="22" spans="1:9" s="877" customFormat="1" ht="19.5" customHeight="1">
      <c r="A22" s="3365"/>
      <c r="B22" s="3365"/>
      <c r="C22" s="873" t="s">
        <v>570</v>
      </c>
      <c r="D22" s="874"/>
      <c r="E22" s="872">
        <v>0.5</v>
      </c>
      <c r="F22" s="875"/>
      <c r="G22" s="876"/>
      <c r="H22" s="868"/>
      <c r="I22" s="868"/>
    </row>
    <row r="23" spans="1:9" s="877" customFormat="1" ht="19.5" customHeight="1">
      <c r="A23" s="3365" t="s">
        <v>184</v>
      </c>
      <c r="B23" s="872" t="s">
        <v>560</v>
      </c>
      <c r="C23" s="873" t="s">
        <v>571</v>
      </c>
      <c r="D23" s="874"/>
      <c r="E23" s="872">
        <v>1</v>
      </c>
      <c r="F23" s="875" t="s">
        <v>572</v>
      </c>
      <c r="G23" s="876"/>
      <c r="H23" s="868"/>
      <c r="I23" s="868"/>
    </row>
    <row r="24" spans="1:9" s="877" customFormat="1" ht="19.5" customHeight="1">
      <c r="A24" s="3365"/>
      <c r="B24" s="3365" t="s">
        <v>563</v>
      </c>
      <c r="C24" s="873" t="s">
        <v>573</v>
      </c>
      <c r="D24" s="874"/>
      <c r="E24" s="872">
        <v>0.5</v>
      </c>
      <c r="F24" s="875"/>
      <c r="G24" s="876"/>
      <c r="H24" s="868"/>
      <c r="I24" s="868"/>
    </row>
    <row r="25" spans="1:9" s="877" customFormat="1" ht="19.5" customHeight="1">
      <c r="A25" s="3365"/>
      <c r="B25" s="3365"/>
      <c r="C25" s="873" t="s">
        <v>574</v>
      </c>
      <c r="D25" s="874"/>
      <c r="E25" s="872">
        <v>1.1000000000000001</v>
      </c>
      <c r="F25" s="875"/>
      <c r="G25" s="876"/>
      <c r="H25" s="868"/>
      <c r="I25" s="868"/>
    </row>
    <row r="26" spans="1:9" s="877" customFormat="1" ht="19.5" customHeight="1">
      <c r="A26" s="3365"/>
      <c r="B26" s="3365"/>
      <c r="C26" s="873" t="s">
        <v>575</v>
      </c>
      <c r="D26" s="874"/>
      <c r="E26" s="872">
        <v>1.1000000000000001</v>
      </c>
      <c r="F26" s="875"/>
      <c r="G26" s="876"/>
      <c r="H26" s="868"/>
      <c r="I26" s="868"/>
    </row>
    <row r="27" spans="1:9" s="877" customFormat="1" ht="19.5" customHeight="1">
      <c r="A27" s="3365"/>
      <c r="B27" s="3365"/>
      <c r="C27" s="873" t="s">
        <v>576</v>
      </c>
      <c r="D27" s="874"/>
      <c r="E27" s="872">
        <v>0.9</v>
      </c>
      <c r="F27" s="875" t="s">
        <v>577</v>
      </c>
      <c r="G27" s="876"/>
      <c r="H27" s="868"/>
      <c r="I27" s="868"/>
    </row>
    <row r="28" spans="1:9" s="877" customFormat="1" ht="19.5" customHeight="1">
      <c r="A28" s="3365"/>
      <c r="B28" s="3365"/>
      <c r="C28" s="873" t="s">
        <v>578</v>
      </c>
      <c r="D28" s="874"/>
      <c r="E28" s="872">
        <v>0.9</v>
      </c>
      <c r="F28" s="875" t="s">
        <v>579</v>
      </c>
      <c r="G28" s="876"/>
      <c r="H28" s="868"/>
      <c r="I28" s="868"/>
    </row>
    <row r="29" spans="1:9" s="877" customFormat="1" ht="19.5" customHeight="1">
      <c r="A29" s="3365"/>
      <c r="B29" s="3365"/>
      <c r="C29" s="873" t="s">
        <v>580</v>
      </c>
      <c r="D29" s="874"/>
      <c r="E29" s="872">
        <v>0.9</v>
      </c>
      <c r="F29" s="875" t="s">
        <v>581</v>
      </c>
      <c r="G29" s="876"/>
      <c r="H29" s="868"/>
      <c r="I29" s="868"/>
    </row>
    <row r="30" spans="1:9" s="877" customFormat="1" ht="19.5" customHeight="1">
      <c r="A30" s="3365"/>
      <c r="B30" s="3365"/>
      <c r="C30" s="873" t="s">
        <v>582</v>
      </c>
      <c r="D30" s="874"/>
      <c r="E30" s="872">
        <v>0.9</v>
      </c>
      <c r="F30" s="875" t="s">
        <v>583</v>
      </c>
      <c r="G30" s="876"/>
      <c r="H30" s="868"/>
      <c r="I30" s="868"/>
    </row>
    <row r="31" spans="1:9" s="877" customFormat="1" ht="19.5" customHeight="1">
      <c r="A31" s="3365"/>
      <c r="B31" s="3365"/>
      <c r="C31" s="873" t="s">
        <v>584</v>
      </c>
      <c r="D31" s="874"/>
      <c r="E31" s="872">
        <v>0.8</v>
      </c>
      <c r="F31" s="875" t="s">
        <v>585</v>
      </c>
      <c r="G31" s="876"/>
      <c r="H31" s="868"/>
      <c r="I31" s="868"/>
    </row>
    <row r="32" spans="1:9" s="877" customFormat="1" ht="19.5" customHeight="1">
      <c r="A32" s="3365"/>
      <c r="B32" s="3365"/>
      <c r="C32" s="873" t="s">
        <v>586</v>
      </c>
      <c r="D32" s="874"/>
      <c r="E32" s="872">
        <v>0.8</v>
      </c>
      <c r="F32" s="875" t="s">
        <v>587</v>
      </c>
      <c r="G32" s="876"/>
      <c r="H32" s="868"/>
      <c r="I32" s="868"/>
    </row>
    <row r="33" spans="1:9" s="877" customFormat="1" ht="19.5" customHeight="1">
      <c r="A33" s="3365" t="s">
        <v>185</v>
      </c>
      <c r="B33" s="872" t="s">
        <v>560</v>
      </c>
      <c r="C33" s="873" t="s">
        <v>588</v>
      </c>
      <c r="D33" s="874"/>
      <c r="E33" s="872">
        <v>1</v>
      </c>
      <c r="F33" s="875" t="s">
        <v>589</v>
      </c>
      <c r="G33" s="876"/>
      <c r="H33" s="868"/>
      <c r="I33" s="868"/>
    </row>
    <row r="34" spans="1:9" s="877" customFormat="1" ht="19.5" customHeight="1">
      <c r="A34" s="3365"/>
      <c r="B34" s="872" t="s">
        <v>563</v>
      </c>
      <c r="C34" s="873" t="s">
        <v>590</v>
      </c>
      <c r="D34" s="874"/>
      <c r="E34" s="872">
        <v>1.5</v>
      </c>
      <c r="F34" s="875" t="s">
        <v>591</v>
      </c>
      <c r="G34" s="876"/>
      <c r="H34" s="868"/>
      <c r="I34" s="868"/>
    </row>
    <row r="35" spans="1:9" s="877" customFormat="1" ht="19.5" customHeight="1">
      <c r="A35" s="3365" t="s">
        <v>186</v>
      </c>
      <c r="B35" s="872" t="s">
        <v>560</v>
      </c>
      <c r="C35" s="873" t="s">
        <v>592</v>
      </c>
      <c r="D35" s="874"/>
      <c r="E35" s="872">
        <v>1</v>
      </c>
      <c r="F35" s="875" t="s">
        <v>593</v>
      </c>
      <c r="G35" s="876"/>
      <c r="H35" s="868"/>
      <c r="I35" s="868"/>
    </row>
    <row r="36" spans="1:9" s="877" customFormat="1" ht="19.5" customHeight="1">
      <c r="A36" s="3365"/>
      <c r="B36" s="3365" t="s">
        <v>563</v>
      </c>
      <c r="C36" s="873" t="s">
        <v>594</v>
      </c>
      <c r="D36" s="874"/>
      <c r="E36" s="872">
        <v>1</v>
      </c>
      <c r="F36" s="875" t="s">
        <v>595</v>
      </c>
      <c r="G36" s="876"/>
      <c r="H36" s="868"/>
      <c r="I36" s="868"/>
    </row>
    <row r="37" spans="1:9" s="877" customFormat="1" ht="19.5" customHeight="1">
      <c r="A37" s="3365"/>
      <c r="B37" s="3365"/>
      <c r="C37" s="873" t="s">
        <v>596</v>
      </c>
      <c r="D37" s="874"/>
      <c r="E37" s="872">
        <v>1.5</v>
      </c>
      <c r="F37" s="875" t="s">
        <v>597</v>
      </c>
      <c r="G37" s="876"/>
      <c r="H37" s="868"/>
      <c r="I37" s="868"/>
    </row>
    <row r="38" spans="1:9" s="877" customFormat="1" ht="19.5" customHeight="1">
      <c r="A38" s="3365"/>
      <c r="B38" s="3365"/>
      <c r="C38" s="873" t="s">
        <v>598</v>
      </c>
      <c r="D38" s="874"/>
      <c r="E38" s="872">
        <v>1</v>
      </c>
      <c r="F38" s="875" t="s">
        <v>599</v>
      </c>
      <c r="G38" s="876"/>
      <c r="H38" s="868"/>
      <c r="I38" s="868"/>
    </row>
    <row r="39" spans="1:9" s="877" customFormat="1" ht="19.5" customHeight="1">
      <c r="A39" s="3365"/>
      <c r="B39" s="3365"/>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365" t="s">
        <v>614</v>
      </c>
      <c r="C61" s="808" t="s">
        <v>615</v>
      </c>
      <c r="D61" s="808" t="s">
        <v>616</v>
      </c>
      <c r="E61" s="885">
        <v>0.5</v>
      </c>
      <c r="F61" s="872">
        <v>80</v>
      </c>
    </row>
    <row r="62" spans="1:8" s="868" customFormat="1" ht="24">
      <c r="A62" s="872">
        <v>2</v>
      </c>
      <c r="B62" s="3365"/>
      <c r="C62" s="808" t="s">
        <v>617</v>
      </c>
      <c r="D62" s="808" t="s">
        <v>618</v>
      </c>
      <c r="E62" s="885">
        <v>0.5</v>
      </c>
      <c r="F62" s="872">
        <v>80</v>
      </c>
    </row>
    <row r="63" spans="1:8" s="868" customFormat="1" ht="36">
      <c r="A63" s="872">
        <v>3</v>
      </c>
      <c r="B63" s="3365"/>
      <c r="C63" s="808" t="s">
        <v>619</v>
      </c>
      <c r="D63" s="808" t="s">
        <v>620</v>
      </c>
      <c r="E63" s="885">
        <v>0.5</v>
      </c>
      <c r="F63" s="872">
        <v>80</v>
      </c>
    </row>
    <row r="64" spans="1:8" s="868" customFormat="1" ht="36">
      <c r="A64" s="872">
        <v>4</v>
      </c>
      <c r="B64" s="3365"/>
      <c r="C64" s="808" t="s">
        <v>621</v>
      </c>
      <c r="D64" s="808" t="s">
        <v>622</v>
      </c>
      <c r="E64" s="885">
        <v>0.4</v>
      </c>
      <c r="F64" s="872">
        <v>60</v>
      </c>
    </row>
    <row r="65" spans="1:6" s="868" customFormat="1" ht="36">
      <c r="A65" s="872">
        <v>5</v>
      </c>
      <c r="B65" s="3365"/>
      <c r="C65" s="808" t="s">
        <v>623</v>
      </c>
      <c r="D65" s="808" t="s">
        <v>624</v>
      </c>
      <c r="E65" s="885">
        <v>0.2</v>
      </c>
      <c r="F65" s="872">
        <v>30</v>
      </c>
    </row>
    <row r="66" spans="1:6" s="868" customFormat="1" ht="36">
      <c r="A66" s="872">
        <v>6</v>
      </c>
      <c r="B66" s="3365"/>
      <c r="C66" s="808" t="s">
        <v>625</v>
      </c>
      <c r="D66" s="808" t="s">
        <v>626</v>
      </c>
      <c r="E66" s="885">
        <v>0.3</v>
      </c>
      <c r="F66" s="872">
        <v>50</v>
      </c>
    </row>
    <row r="67" spans="1:6" s="868" customFormat="1" ht="36">
      <c r="A67" s="872">
        <v>7</v>
      </c>
      <c r="B67" s="3365"/>
      <c r="C67" s="808" t="s">
        <v>627</v>
      </c>
      <c r="D67" s="808" t="s">
        <v>628</v>
      </c>
      <c r="E67" s="885">
        <v>0.2</v>
      </c>
      <c r="F67" s="872">
        <v>30</v>
      </c>
    </row>
    <row r="68" spans="1:6" s="868" customFormat="1" ht="36">
      <c r="A68" s="872">
        <v>8</v>
      </c>
      <c r="B68" s="3365"/>
      <c r="C68" s="808" t="s">
        <v>629</v>
      </c>
      <c r="D68" s="808" t="s">
        <v>630</v>
      </c>
      <c r="E68" s="885">
        <v>0.2</v>
      </c>
      <c r="F68" s="872">
        <v>30</v>
      </c>
    </row>
    <row r="69" spans="1:6" s="868" customFormat="1" ht="36">
      <c r="A69" s="872">
        <v>9</v>
      </c>
      <c r="B69" s="3365"/>
      <c r="C69" s="808" t="s">
        <v>631</v>
      </c>
      <c r="D69" s="808" t="s">
        <v>632</v>
      </c>
      <c r="E69" s="885">
        <v>0.2</v>
      </c>
      <c r="F69" s="872">
        <v>30</v>
      </c>
    </row>
    <row r="70" spans="1:6" s="868" customFormat="1" ht="48">
      <c r="A70" s="872">
        <v>10</v>
      </c>
      <c r="B70" s="3365"/>
      <c r="C70" s="808" t="s">
        <v>633</v>
      </c>
      <c r="D70" s="808" t="s">
        <v>634</v>
      </c>
      <c r="E70" s="885">
        <v>0.2</v>
      </c>
      <c r="F70" s="872">
        <v>30</v>
      </c>
    </row>
    <row r="71" spans="1:6" s="868" customFormat="1" ht="48">
      <c r="A71" s="872">
        <v>11</v>
      </c>
      <c r="B71" s="3365"/>
      <c r="C71" s="808" t="s">
        <v>635</v>
      </c>
      <c r="D71" s="808" t="s">
        <v>636</v>
      </c>
      <c r="E71" s="885">
        <v>0.2</v>
      </c>
      <c r="F71" s="872">
        <v>30</v>
      </c>
    </row>
    <row r="72" spans="1:6" s="868" customFormat="1" ht="36">
      <c r="A72" s="872">
        <v>12</v>
      </c>
      <c r="B72" s="3365"/>
      <c r="C72" s="808" t="s">
        <v>637</v>
      </c>
      <c r="D72" s="808" t="s">
        <v>638</v>
      </c>
      <c r="E72" s="885">
        <v>0.5</v>
      </c>
      <c r="F72" s="872">
        <v>80</v>
      </c>
    </row>
    <row r="73" spans="1:6" s="868" customFormat="1" ht="24">
      <c r="A73" s="872">
        <v>13</v>
      </c>
      <c r="B73" s="3365"/>
      <c r="C73" s="808" t="s">
        <v>639</v>
      </c>
      <c r="D73" s="808" t="s">
        <v>640</v>
      </c>
      <c r="E73" s="885">
        <v>0.4</v>
      </c>
      <c r="F73" s="872">
        <v>60</v>
      </c>
    </row>
    <row r="74" spans="1:6" s="868" customFormat="1" ht="24">
      <c r="A74" s="872">
        <v>14</v>
      </c>
      <c r="B74" s="3365"/>
      <c r="C74" s="808" t="s">
        <v>641</v>
      </c>
      <c r="D74" s="808" t="s">
        <v>642</v>
      </c>
      <c r="E74" s="885">
        <v>0.2</v>
      </c>
      <c r="F74" s="872">
        <v>30</v>
      </c>
    </row>
    <row r="75" spans="1:6" s="868" customFormat="1" ht="24">
      <c r="A75" s="872">
        <v>15</v>
      </c>
      <c r="B75" s="3365"/>
      <c r="C75" s="808" t="s">
        <v>643</v>
      </c>
      <c r="D75" s="808" t="s">
        <v>644</v>
      </c>
      <c r="E75" s="885">
        <v>0.2</v>
      </c>
      <c r="F75" s="872">
        <v>30</v>
      </c>
    </row>
    <row r="76" spans="1:6" s="868" customFormat="1" ht="24">
      <c r="A76" s="872">
        <v>16</v>
      </c>
      <c r="B76" s="3365" t="s">
        <v>645</v>
      </c>
      <c r="C76" s="808" t="s">
        <v>646</v>
      </c>
      <c r="D76" s="808" t="s">
        <v>647</v>
      </c>
      <c r="E76" s="885">
        <v>0.5</v>
      </c>
      <c r="F76" s="872">
        <v>80</v>
      </c>
    </row>
    <row r="77" spans="1:6" s="868" customFormat="1" ht="24">
      <c r="A77" s="872">
        <v>17</v>
      </c>
      <c r="B77" s="3365"/>
      <c r="C77" s="808" t="s">
        <v>648</v>
      </c>
      <c r="D77" s="808" t="s">
        <v>649</v>
      </c>
      <c r="E77" s="885">
        <v>0.5</v>
      </c>
      <c r="F77" s="872">
        <v>80</v>
      </c>
    </row>
    <row r="78" spans="1:6" s="868" customFormat="1" ht="24">
      <c r="A78" s="872">
        <v>18</v>
      </c>
      <c r="B78" s="3365"/>
      <c r="C78" s="808" t="s">
        <v>650</v>
      </c>
      <c r="D78" s="808" t="s">
        <v>651</v>
      </c>
      <c r="E78" s="885">
        <v>0.2</v>
      </c>
      <c r="F78" s="872">
        <v>30</v>
      </c>
    </row>
    <row r="79" spans="1:6" s="868" customFormat="1" ht="24">
      <c r="A79" s="872">
        <v>19</v>
      </c>
      <c r="B79" s="3365"/>
      <c r="C79" s="808" t="s">
        <v>652</v>
      </c>
      <c r="D79" s="808" t="s">
        <v>653</v>
      </c>
      <c r="E79" s="885">
        <v>0.5</v>
      </c>
      <c r="F79" s="872">
        <v>80</v>
      </c>
    </row>
    <row r="80" spans="1:6" s="868" customFormat="1" ht="36">
      <c r="A80" s="872">
        <v>20</v>
      </c>
      <c r="B80" s="3365"/>
      <c r="C80" s="808" t="s">
        <v>654</v>
      </c>
      <c r="D80" s="808" t="s">
        <v>655</v>
      </c>
      <c r="E80" s="885">
        <v>0.2</v>
      </c>
      <c r="F80" s="872">
        <v>30</v>
      </c>
    </row>
    <row r="81" spans="1:6" s="868" customFormat="1" ht="36">
      <c r="A81" s="872">
        <v>21</v>
      </c>
      <c r="B81" s="3365"/>
      <c r="C81" s="808" t="s">
        <v>656</v>
      </c>
      <c r="D81" s="808" t="s">
        <v>657</v>
      </c>
      <c r="E81" s="885">
        <v>0.2</v>
      </c>
      <c r="F81" s="872">
        <v>30</v>
      </c>
    </row>
    <row r="82" spans="1:6" s="868" customFormat="1" ht="48">
      <c r="A82" s="872">
        <v>22</v>
      </c>
      <c r="B82" s="3365"/>
      <c r="C82" s="808" t="s">
        <v>658</v>
      </c>
      <c r="D82" s="808" t="s">
        <v>659</v>
      </c>
      <c r="E82" s="885">
        <v>0.2</v>
      </c>
      <c r="F82" s="872">
        <v>30</v>
      </c>
    </row>
    <row r="83" spans="1:6" s="868" customFormat="1" ht="48">
      <c r="A83" s="872">
        <v>23</v>
      </c>
      <c r="B83" s="3365"/>
      <c r="C83" s="808" t="s">
        <v>660</v>
      </c>
      <c r="D83" s="808" t="s">
        <v>661</v>
      </c>
      <c r="E83" s="885">
        <v>0.2</v>
      </c>
      <c r="F83" s="872">
        <v>30</v>
      </c>
    </row>
    <row r="84" spans="1:6" s="868" customFormat="1" ht="36">
      <c r="A84" s="872">
        <v>24</v>
      </c>
      <c r="B84" s="3365"/>
      <c r="C84" s="808" t="s">
        <v>662</v>
      </c>
      <c r="D84" s="808" t="s">
        <v>663</v>
      </c>
      <c r="E84" s="885">
        <v>0.2</v>
      </c>
      <c r="F84" s="872">
        <v>30</v>
      </c>
    </row>
    <row r="85" spans="1:6" s="868" customFormat="1" ht="36">
      <c r="A85" s="872">
        <v>25</v>
      </c>
      <c r="B85" s="3365"/>
      <c r="C85" s="808" t="s">
        <v>664</v>
      </c>
      <c r="D85" s="808" t="s">
        <v>665</v>
      </c>
      <c r="E85" s="885">
        <v>0.5</v>
      </c>
      <c r="F85" s="872">
        <v>80</v>
      </c>
    </row>
    <row r="86" spans="1:6" s="868" customFormat="1" ht="36">
      <c r="A86" s="872">
        <v>26</v>
      </c>
      <c r="B86" s="3365"/>
      <c r="C86" s="808" t="s">
        <v>666</v>
      </c>
      <c r="D86" s="808" t="s">
        <v>667</v>
      </c>
      <c r="E86" s="885">
        <v>0.2</v>
      </c>
      <c r="F86" s="872">
        <v>30</v>
      </c>
    </row>
    <row r="87" spans="1:6" s="868" customFormat="1" ht="36">
      <c r="A87" s="872">
        <v>27</v>
      </c>
      <c r="B87" s="3365"/>
      <c r="C87" s="808" t="s">
        <v>668</v>
      </c>
      <c r="D87" s="808" t="s">
        <v>669</v>
      </c>
      <c r="E87" s="885">
        <v>0.2</v>
      </c>
      <c r="F87" s="872">
        <v>30</v>
      </c>
    </row>
    <row r="88" spans="1:6" s="868" customFormat="1" ht="36">
      <c r="A88" s="872">
        <v>28</v>
      </c>
      <c r="B88" s="3365"/>
      <c r="C88" s="808" t="s">
        <v>670</v>
      </c>
      <c r="D88" s="808" t="s">
        <v>671</v>
      </c>
      <c r="E88" s="885">
        <v>0.2</v>
      </c>
      <c r="F88" s="872">
        <v>30</v>
      </c>
    </row>
    <row r="89" spans="1:6" s="868" customFormat="1" ht="24">
      <c r="A89" s="872">
        <v>29</v>
      </c>
      <c r="B89" s="3365"/>
      <c r="C89" s="808" t="s">
        <v>672</v>
      </c>
      <c r="D89" s="808" t="s">
        <v>673</v>
      </c>
      <c r="E89" s="885">
        <v>0.2</v>
      </c>
      <c r="F89" s="872">
        <v>30</v>
      </c>
    </row>
    <row r="90" spans="1:6" s="868" customFormat="1" ht="24">
      <c r="A90" s="872">
        <v>30</v>
      </c>
      <c r="B90" s="3365"/>
      <c r="C90" s="808" t="s">
        <v>674</v>
      </c>
      <c r="D90" s="808" t="s">
        <v>675</v>
      </c>
      <c r="E90" s="885">
        <v>0.2</v>
      </c>
      <c r="F90" s="872">
        <v>30</v>
      </c>
    </row>
    <row r="91" spans="1:6" s="868" customFormat="1" ht="36">
      <c r="A91" s="872">
        <v>31</v>
      </c>
      <c r="B91" s="3365"/>
      <c r="C91" s="808" t="s">
        <v>676</v>
      </c>
      <c r="D91" s="808" t="s">
        <v>677</v>
      </c>
      <c r="E91" s="885">
        <v>0.2</v>
      </c>
      <c r="F91" s="872">
        <v>30</v>
      </c>
    </row>
    <row r="92" spans="1:6" s="868" customFormat="1" ht="24">
      <c r="A92" s="872">
        <v>32</v>
      </c>
      <c r="B92" s="3365" t="s">
        <v>678</v>
      </c>
      <c r="C92" s="872" t="s">
        <v>679</v>
      </c>
      <c r="D92" s="808" t="s">
        <v>680</v>
      </c>
      <c r="E92" s="885">
        <v>0.2</v>
      </c>
      <c r="F92" s="872">
        <v>30</v>
      </c>
    </row>
    <row r="93" spans="1:6" s="868" customFormat="1" ht="36">
      <c r="A93" s="872">
        <v>33</v>
      </c>
      <c r="B93" s="3365"/>
      <c r="C93" s="872" t="s">
        <v>681</v>
      </c>
      <c r="D93" s="808" t="s">
        <v>682</v>
      </c>
      <c r="E93" s="885">
        <v>0.2</v>
      </c>
      <c r="F93" s="872">
        <v>30</v>
      </c>
    </row>
    <row r="94" spans="1:6" s="868" customFormat="1" ht="48">
      <c r="A94" s="872">
        <v>34</v>
      </c>
      <c r="B94" s="3365"/>
      <c r="C94" s="872" t="s">
        <v>683</v>
      </c>
      <c r="D94" s="808" t="s">
        <v>684</v>
      </c>
      <c r="E94" s="885">
        <v>0.2</v>
      </c>
      <c r="F94" s="872">
        <v>30</v>
      </c>
    </row>
    <row r="95" spans="1:6" s="868" customFormat="1" ht="36">
      <c r="A95" s="872">
        <v>35</v>
      </c>
      <c r="B95" s="3365"/>
      <c r="C95" s="872" t="s">
        <v>685</v>
      </c>
      <c r="D95" s="808" t="s">
        <v>686</v>
      </c>
      <c r="E95" s="885">
        <v>0.2</v>
      </c>
      <c r="F95" s="872">
        <v>30</v>
      </c>
    </row>
    <row r="96" spans="1:6" s="868" customFormat="1" ht="48">
      <c r="A96" s="872">
        <v>36</v>
      </c>
      <c r="B96" s="3365"/>
      <c r="C96" s="808" t="s">
        <v>687</v>
      </c>
      <c r="D96" s="808" t="s">
        <v>688</v>
      </c>
      <c r="E96" s="885">
        <v>0.2</v>
      </c>
      <c r="F96" s="872">
        <v>30</v>
      </c>
    </row>
    <row r="97" spans="1:6" s="868" customFormat="1" ht="36">
      <c r="A97" s="872">
        <v>37</v>
      </c>
      <c r="B97" s="3365"/>
      <c r="C97" s="872" t="s">
        <v>689</v>
      </c>
      <c r="D97" s="808" t="s">
        <v>690</v>
      </c>
      <c r="E97" s="885">
        <v>0.2</v>
      </c>
      <c r="F97" s="872">
        <v>30</v>
      </c>
    </row>
    <row r="98" spans="1:6" s="868" customFormat="1" ht="36">
      <c r="A98" s="872">
        <v>38</v>
      </c>
      <c r="B98" s="3365"/>
      <c r="C98" s="872" t="s">
        <v>691</v>
      </c>
      <c r="D98" s="808" t="s">
        <v>692</v>
      </c>
      <c r="E98" s="885">
        <v>0.2</v>
      </c>
      <c r="F98" s="872">
        <v>30</v>
      </c>
    </row>
    <row r="99" spans="1:6" s="868" customFormat="1" ht="36">
      <c r="A99" s="872">
        <v>39</v>
      </c>
      <c r="B99" s="3365" t="s">
        <v>693</v>
      </c>
      <c r="C99" s="872" t="s">
        <v>694</v>
      </c>
      <c r="D99" s="808" t="s">
        <v>695</v>
      </c>
      <c r="E99" s="885">
        <v>0.3</v>
      </c>
      <c r="F99" s="872">
        <v>50</v>
      </c>
    </row>
    <row r="100" spans="1:6" s="868" customFormat="1" ht="24">
      <c r="A100" s="872">
        <v>40</v>
      </c>
      <c r="B100" s="3365"/>
      <c r="C100" s="872" t="s">
        <v>696</v>
      </c>
      <c r="D100" s="808" t="s">
        <v>697</v>
      </c>
      <c r="E100" s="885">
        <v>0.2</v>
      </c>
      <c r="F100" s="872">
        <v>30</v>
      </c>
    </row>
    <row r="101" spans="1:6" s="868" customFormat="1" ht="36">
      <c r="A101" s="872">
        <v>41</v>
      </c>
      <c r="B101" s="3365"/>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65" t="s">
        <v>708</v>
      </c>
      <c r="C105" s="872" t="s">
        <v>709</v>
      </c>
      <c r="D105" s="808" t="s">
        <v>710</v>
      </c>
      <c r="E105" s="885">
        <v>0.2</v>
      </c>
      <c r="F105" s="872">
        <v>30</v>
      </c>
    </row>
    <row r="106" spans="1:6" s="868" customFormat="1" ht="36">
      <c r="A106" s="872">
        <v>46</v>
      </c>
      <c r="B106" s="3365"/>
      <c r="C106" s="872" t="s">
        <v>711</v>
      </c>
      <c r="D106" s="808" t="s">
        <v>712</v>
      </c>
      <c r="E106" s="885">
        <v>0.2</v>
      </c>
      <c r="F106" s="872">
        <v>30</v>
      </c>
    </row>
    <row r="107" spans="1:6" s="868" customFormat="1" ht="36">
      <c r="A107" s="872">
        <v>47</v>
      </c>
      <c r="B107" s="3365" t="s">
        <v>713</v>
      </c>
      <c r="C107" s="872" t="s">
        <v>714</v>
      </c>
      <c r="D107" s="808" t="s">
        <v>715</v>
      </c>
      <c r="E107" s="885">
        <v>0.3</v>
      </c>
      <c r="F107" s="872">
        <v>50</v>
      </c>
    </row>
    <row r="108" spans="1:6" s="868" customFormat="1" ht="36">
      <c r="A108" s="872">
        <v>48</v>
      </c>
      <c r="B108" s="3365"/>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65" t="s">
        <v>724</v>
      </c>
      <c r="C111" s="872" t="s">
        <v>725</v>
      </c>
      <c r="D111" s="808" t="s">
        <v>726</v>
      </c>
      <c r="E111" s="885">
        <v>0.2</v>
      </c>
      <c r="F111" s="872">
        <v>30</v>
      </c>
    </row>
    <row r="112" spans="1:6" s="868" customFormat="1" ht="24">
      <c r="A112" s="872">
        <v>52</v>
      </c>
      <c r="B112" s="3365"/>
      <c r="C112" s="872" t="s">
        <v>727</v>
      </c>
      <c r="D112" s="808" t="s">
        <v>728</v>
      </c>
      <c r="E112" s="885">
        <v>0.2</v>
      </c>
      <c r="F112" s="872">
        <v>30</v>
      </c>
    </row>
    <row r="113" spans="1:6" s="868" customFormat="1" ht="24">
      <c r="A113" s="872">
        <v>53</v>
      </c>
      <c r="B113" s="3365"/>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65" t="s">
        <v>737</v>
      </c>
      <c r="C116" s="872" t="s">
        <v>738</v>
      </c>
      <c r="D116" s="808" t="s">
        <v>739</v>
      </c>
      <c r="E116" s="885">
        <v>0.2</v>
      </c>
      <c r="F116" s="872">
        <v>30</v>
      </c>
    </row>
    <row r="117" spans="1:6" ht="36">
      <c r="A117" s="872">
        <v>57</v>
      </c>
      <c r="B117" s="3365"/>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2" t="s">
        <v>2986</v>
      </c>
    </row>
    <row r="2" spans="1:5" ht="15.75">
      <c r="A2" s="2880" t="s">
        <v>2978</v>
      </c>
      <c r="B2" s="2881" t="e">
        <f ca="1">SUMIF(B6:B13,"&lt;&gt;#ref!",B6:B13)</f>
        <v>#DIV/0!</v>
      </c>
      <c r="C2" s="2880" t="s">
        <v>2979</v>
      </c>
      <c r="D2" s="2880" t="s">
        <v>2980</v>
      </c>
      <c r="E2" s="2881">
        <f ca="1">SUMIF(E6:E13,"&lt;&gt;#ref!",E6:E13)</f>
        <v>0</v>
      </c>
    </row>
    <row r="3" spans="1:5" ht="15.75">
      <c r="A3" s="2880" t="s">
        <v>2981</v>
      </c>
      <c r="B3" s="2881" t="e">
        <f ca="1">ROUND(B2*10000/E2,0)</f>
        <v>#DIV/0!</v>
      </c>
      <c r="C3" s="2880" t="s">
        <v>2987</v>
      </c>
      <c r="D3" s="2882"/>
      <c r="E3" s="2882"/>
    </row>
    <row r="4" spans="1:5" ht="15.75">
      <c r="A4" s="2883"/>
      <c r="B4" s="2882"/>
      <c r="C4" s="2882"/>
      <c r="D4" s="2882"/>
      <c r="E4" s="2882"/>
    </row>
    <row r="5" spans="1:5" ht="28.5">
      <c r="A5" s="2884" t="s">
        <v>2982</v>
      </c>
      <c r="B5" s="2880" t="s">
        <v>2983</v>
      </c>
      <c r="C5" s="2881"/>
      <c r="D5" s="2882"/>
      <c r="E5" s="2880" t="s">
        <v>2984</v>
      </c>
    </row>
    <row r="6" spans="1:5" ht="15.75">
      <c r="A6" s="2885" t="s">
        <v>2985</v>
      </c>
      <c r="B6" s="2881" t="e">
        <f ca="1">SUMIF(INDIRECT("'"&amp;A6&amp;"'"&amp;"!A:A"),"总价",INDIRECT("'"&amp;A6&amp;"'"&amp;"!B:B"))</f>
        <v>#DIV/0!</v>
      </c>
      <c r="C6" s="2880" t="s">
        <v>2979</v>
      </c>
      <c r="D6" s="2882"/>
      <c r="E6" s="2556">
        <f ca="1">SUMIF(INDIRECT("'"&amp;A6&amp;"'"&amp;"!C:C"),"建筑面积",INDIRECT("'"&amp;A6&amp;"'"&amp;"!D:D"))</f>
        <v>0</v>
      </c>
    </row>
    <row r="7" spans="1:5" ht="15.75">
      <c r="A7" s="2885"/>
      <c r="B7" s="2881" t="e">
        <f ca="1">SUMIF(INDIRECT("'"&amp;A7&amp;"'"&amp;"!A:A"),"总价",INDIRECT("'"&amp;A7&amp;"'"&amp;"!B:B"))</f>
        <v>#REF!</v>
      </c>
      <c r="C7" s="2880" t="s">
        <v>2979</v>
      </c>
      <c r="D7" s="2882"/>
      <c r="E7" s="2556" t="e">
        <f t="shared" ref="E7:E13" ca="1" si="0">SUMIF(INDIRECT("'"&amp;A7&amp;"'"&amp;"!C:C"),"建筑面积",INDIRECT("'"&amp;A7&amp;"'"&amp;"!D:D"))</f>
        <v>#REF!</v>
      </c>
    </row>
    <row r="8" spans="1:5" ht="15.75">
      <c r="A8" s="2885"/>
      <c r="B8" s="2881" t="e">
        <f t="shared" ref="B8:B13" ca="1" si="1">SUMIF(INDIRECT("'"&amp;A8&amp;"'"&amp;"!A:A"),"总价",INDIRECT("'"&amp;A8&amp;"'"&amp;"!B:B"))</f>
        <v>#REF!</v>
      </c>
      <c r="C8" s="2880" t="s">
        <v>2979</v>
      </c>
      <c r="D8" s="2882"/>
      <c r="E8" s="2556" t="e">
        <f t="shared" ca="1" si="0"/>
        <v>#REF!</v>
      </c>
    </row>
    <row r="9" spans="1:5" ht="15.75">
      <c r="A9" s="2885"/>
      <c r="B9" s="2881" t="e">
        <f t="shared" ca="1" si="1"/>
        <v>#REF!</v>
      </c>
      <c r="C9" s="2880" t="s">
        <v>2979</v>
      </c>
      <c r="D9" s="2882"/>
      <c r="E9" s="2556" t="e">
        <f t="shared" ca="1" si="0"/>
        <v>#REF!</v>
      </c>
    </row>
    <row r="10" spans="1:5" ht="15.75">
      <c r="A10" s="2885"/>
      <c r="B10" s="2881" t="e">
        <f t="shared" ca="1" si="1"/>
        <v>#REF!</v>
      </c>
      <c r="C10" s="2880" t="s">
        <v>2979</v>
      </c>
      <c r="D10" s="2882"/>
      <c r="E10" s="2556" t="e">
        <f t="shared" ca="1" si="0"/>
        <v>#REF!</v>
      </c>
    </row>
    <row r="11" spans="1:5" ht="15.75">
      <c r="A11" s="2885"/>
      <c r="B11" s="2881" t="e">
        <f t="shared" ca="1" si="1"/>
        <v>#REF!</v>
      </c>
      <c r="C11" s="2880" t="s">
        <v>2979</v>
      </c>
      <c r="D11" s="2882"/>
      <c r="E11" s="2556" t="e">
        <f t="shared" ca="1" si="0"/>
        <v>#REF!</v>
      </c>
    </row>
    <row r="12" spans="1:5" ht="15.75">
      <c r="A12" s="2885"/>
      <c r="B12" s="2881" t="e">
        <f t="shared" ca="1" si="1"/>
        <v>#REF!</v>
      </c>
      <c r="C12" s="2880" t="s">
        <v>2979</v>
      </c>
      <c r="D12" s="2882"/>
      <c r="E12" s="2556" t="e">
        <f t="shared" ca="1" si="0"/>
        <v>#REF!</v>
      </c>
    </row>
    <row r="13" spans="1:5" ht="15.75">
      <c r="A13" s="2885"/>
      <c r="B13" s="2881" t="e">
        <f t="shared" ca="1" si="1"/>
        <v>#REF!</v>
      </c>
      <c r="C13" s="2880" t="s">
        <v>2979</v>
      </c>
      <c r="D13" s="2882"/>
      <c r="E13" s="255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0"/>
    <col min="2" max="6" width="9" style="1460" customWidth="1"/>
    <col min="7" max="7" width="9" style="1475"/>
    <col min="8" max="8" width="9" style="1460"/>
    <col min="9" max="12" width="9" style="1460" customWidth="1"/>
    <col min="13" max="13" width="2.25" style="1460" customWidth="1"/>
    <col min="14" max="14" width="9" style="1475" customWidth="1"/>
    <col min="15" max="17" width="9" style="1460" customWidth="1"/>
    <col min="18" max="18" width="2.375" style="1460" customWidth="1"/>
    <col min="19" max="19" width="7.125" style="1475" customWidth="1"/>
    <col min="20" max="22" width="7.125" style="1460" customWidth="1"/>
    <col min="23" max="23" width="24.25" style="1460" customWidth="1"/>
    <col min="24" max="25" width="9" style="1460"/>
    <col min="26" max="27" width="11.625" style="1460" customWidth="1"/>
    <col min="28" max="28" width="9" style="1460"/>
    <col min="29" max="29" width="2" style="1460" customWidth="1"/>
    <col min="30" max="16384" width="9" style="1460"/>
  </cols>
  <sheetData>
    <row r="1" spans="1:34" s="1434" customFormat="1">
      <c r="B1" s="3371" t="s">
        <v>1146</v>
      </c>
      <c r="C1" s="3371"/>
      <c r="D1" s="3371"/>
      <c r="E1" s="3371"/>
      <c r="F1" s="3371"/>
      <c r="G1" s="3370" t="s">
        <v>1147</v>
      </c>
      <c r="H1" s="3370"/>
      <c r="I1" s="3370"/>
      <c r="J1" s="3370"/>
      <c r="K1" s="3370"/>
      <c r="L1" s="3370"/>
      <c r="N1" s="3370" t="s">
        <v>1148</v>
      </c>
      <c r="O1" s="3370"/>
      <c r="P1" s="3370"/>
      <c r="Q1" s="3370"/>
      <c r="R1" s="1435"/>
      <c r="S1" s="3370" t="s">
        <v>1149</v>
      </c>
      <c r="T1" s="3370"/>
      <c r="U1" s="3370"/>
      <c r="V1" s="3370"/>
      <c r="X1" s="3369" t="s">
        <v>1150</v>
      </c>
      <c r="Y1" s="3370"/>
      <c r="Z1" s="3370"/>
      <c r="AA1" s="3370"/>
      <c r="AB1" s="3370"/>
      <c r="AD1" s="3369" t="s">
        <v>1151</v>
      </c>
      <c r="AE1" s="3370"/>
      <c r="AF1" s="3370"/>
      <c r="AG1" s="3370"/>
      <c r="AH1" s="3370"/>
    </row>
    <row r="2" spans="1:34" s="1436" customFormat="1" ht="14.25" thickBot="1">
      <c r="B2" s="1437" t="s">
        <v>1152</v>
      </c>
      <c r="C2" s="1437" t="s">
        <v>1153</v>
      </c>
      <c r="D2" s="1438" t="s">
        <v>1154</v>
      </c>
      <c r="E2" s="1438" t="s">
        <v>1155</v>
      </c>
      <c r="F2" s="1437" t="s">
        <v>1156</v>
      </c>
      <c r="G2" s="1439"/>
      <c r="H2" s="1440"/>
      <c r="I2" s="1437" t="s">
        <v>1152</v>
      </c>
      <c r="J2" s="1438" t="s">
        <v>1380</v>
      </c>
      <c r="K2" s="1438" t="s">
        <v>751</v>
      </c>
      <c r="L2" s="1437" t="s">
        <v>1156</v>
      </c>
      <c r="N2" s="1437" t="s">
        <v>1152</v>
      </c>
      <c r="O2" s="1438" t="s">
        <v>1380</v>
      </c>
      <c r="P2" s="1438" t="s">
        <v>751</v>
      </c>
      <c r="Q2" s="1437" t="s">
        <v>1156</v>
      </c>
      <c r="R2" s="1441"/>
      <c r="S2" s="1437" t="s">
        <v>1152</v>
      </c>
      <c r="T2" s="1438" t="s">
        <v>1380</v>
      </c>
      <c r="U2" s="1438" t="s">
        <v>751</v>
      </c>
      <c r="V2" s="1437" t="s">
        <v>1156</v>
      </c>
      <c r="X2" s="1437" t="s">
        <v>1152</v>
      </c>
      <c r="Y2" s="1437" t="s">
        <v>1153</v>
      </c>
      <c r="Z2" s="1438" t="s">
        <v>1154</v>
      </c>
      <c r="AA2" s="1438" t="s">
        <v>1155</v>
      </c>
      <c r="AB2" s="1437" t="s">
        <v>1156</v>
      </c>
      <c r="AD2" s="1437" t="s">
        <v>1152</v>
      </c>
      <c r="AE2" s="1437" t="s">
        <v>1153</v>
      </c>
      <c r="AF2" s="1438" t="s">
        <v>1154</v>
      </c>
      <c r="AG2" s="1438" t="s">
        <v>1155</v>
      </c>
      <c r="AH2" s="1437" t="s">
        <v>1156</v>
      </c>
    </row>
    <row r="3" spans="1:34" s="2896" customFormat="1" ht="14.25">
      <c r="A3" s="2905" t="s">
        <v>3018</v>
      </c>
      <c r="B3" s="2897"/>
      <c r="C3" s="2897"/>
      <c r="D3" s="2898"/>
      <c r="E3" s="2898"/>
      <c r="F3" s="2897"/>
      <c r="G3" s="2899"/>
      <c r="H3" s="2900"/>
      <c r="I3" s="2901">
        <f>ROUND(AVERAGE($I4:$I27),2)</f>
        <v>2.04</v>
      </c>
      <c r="J3" s="2901">
        <f>ROUND(AVERAGE($J4:$J27),2)</f>
        <v>1.44</v>
      </c>
      <c r="K3" s="2901">
        <f>ROUND(AVERAGE($K4:$K27),2)</f>
        <v>2.23</v>
      </c>
      <c r="L3" s="2901">
        <f>ROUND(AVERAGE($L4:$L27),2)</f>
        <v>1.4</v>
      </c>
      <c r="N3" s="2899"/>
      <c r="O3" s="2902"/>
      <c r="P3" s="2902"/>
      <c r="Q3" s="2902"/>
      <c r="R3" s="2902"/>
      <c r="S3" s="2899"/>
      <c r="T3" s="2902"/>
      <c r="U3" s="2902"/>
      <c r="V3" s="2902"/>
      <c r="W3" s="2894"/>
      <c r="X3" s="2903">
        <f>ROUND(SUMPRODUCT(PRODUCT(1+N3:N$26)),4)</f>
        <v>1.5422</v>
      </c>
      <c r="Y3" s="2903">
        <f>ROUND(SUMPRODUCT(PRODUCT(1+O3:O$26)),4)</f>
        <v>1.3557999999999999</v>
      </c>
      <c r="Z3" s="2903">
        <f t="shared" ref="Z3:Z24" si="0">Y3</f>
        <v>1.3557999999999999</v>
      </c>
      <c r="AA3" s="2903">
        <f>ROUND(SUMPRODUCT(PRODUCT(1+P3:P$26)),4)</f>
        <v>1.6036999999999999</v>
      </c>
      <c r="AB3" s="2903">
        <f>ROUND(SUMPRODUCT(PRODUCT(1+Q3:Q$26)),4)</f>
        <v>1.3573</v>
      </c>
      <c r="AD3" s="2904">
        <f>ROUND(AVERAGE(I3:I$27)/100,4)</f>
        <v>2.0400000000000001E-2</v>
      </c>
      <c r="AE3" s="2904">
        <f>ROUND(AVERAGE(J3:J$27)/100,4)</f>
        <v>1.44E-2</v>
      </c>
      <c r="AF3" s="2904">
        <f t="shared" ref="AF3:AF25" si="1">AE3</f>
        <v>1.44E-2</v>
      </c>
      <c r="AG3" s="2904">
        <f>ROUND(AVERAGE(K3:K$27)/100,4)</f>
        <v>2.23E-2</v>
      </c>
      <c r="AH3" s="2904">
        <f>ROUND(AVERAGE(L3:L$27)/100,4)</f>
        <v>1.4E-2</v>
      </c>
    </row>
    <row r="4" spans="1:34" s="1442" customFormat="1" ht="14.25">
      <c r="B4" s="1443"/>
      <c r="C4" s="1443"/>
      <c r="D4" s="1444"/>
      <c r="E4" s="1444"/>
      <c r="F4" s="1443"/>
      <c r="G4" s="1445"/>
      <c r="H4" s="1446"/>
      <c r="I4" s="2891"/>
      <c r="J4" s="2891"/>
      <c r="K4" s="2891"/>
      <c r="L4" s="2891"/>
      <c r="N4" s="1445"/>
      <c r="O4" s="1447"/>
      <c r="P4" s="1447"/>
      <c r="Q4" s="1447"/>
      <c r="R4" s="1447"/>
      <c r="S4" s="1445"/>
      <c r="T4" s="1447"/>
      <c r="U4" s="1447"/>
      <c r="V4" s="1447"/>
      <c r="X4" s="1448"/>
      <c r="Y4" s="1448"/>
      <c r="Z4" s="1448"/>
      <c r="AA4" s="1448"/>
      <c r="AB4" s="1448"/>
      <c r="AD4" s="1449"/>
      <c r="AE4" s="1449"/>
      <c r="AF4" s="1449"/>
      <c r="AG4" s="1449"/>
      <c r="AH4" s="1449"/>
    </row>
    <row r="5" spans="1:34" s="1719" customFormat="1" ht="13.5" thickBot="1">
      <c r="A5" s="1717" t="s">
        <v>3035</v>
      </c>
      <c r="B5" s="1778">
        <f t="shared" ref="B5" si="2">B6*(1+N5)</f>
        <v>474.30670301923408</v>
      </c>
      <c r="C5" s="1778">
        <f t="shared" ref="C5" si="3">C6*(1+O5)</f>
        <v>349.50705005996491</v>
      </c>
      <c r="D5" s="1778">
        <f t="shared" ref="D5" si="4">C5</f>
        <v>349.50705005996491</v>
      </c>
      <c r="E5" s="1778">
        <f t="shared" ref="E5" si="5">E6*(1+P5)</f>
        <v>678.22831959706957</v>
      </c>
      <c r="F5" s="1778">
        <f t="shared" ref="F5" si="6">F6*(1+Q5)</f>
        <v>312.0556832169558</v>
      </c>
      <c r="G5" s="2925">
        <v>2019</v>
      </c>
      <c r="H5" s="1718">
        <v>3</v>
      </c>
      <c r="I5" s="2892">
        <v>0</v>
      </c>
      <c r="J5" s="2892">
        <v>0</v>
      </c>
      <c r="K5" s="2892">
        <v>0</v>
      </c>
      <c r="L5" s="2892">
        <v>0</v>
      </c>
      <c r="N5" s="1456">
        <f>I5/100</f>
        <v>0</v>
      </c>
      <c r="O5" s="1456">
        <f t="shared" ref="O5" si="7">J5/100</f>
        <v>0</v>
      </c>
      <c r="P5" s="1456">
        <f t="shared" ref="P5" si="8">K5/100</f>
        <v>0</v>
      </c>
      <c r="Q5" s="1456">
        <f t="shared" ref="Q5" si="9">L5/100</f>
        <v>0</v>
      </c>
      <c r="R5" s="1720"/>
      <c r="S5" s="1721"/>
      <c r="T5" s="1720"/>
      <c r="U5" s="1720"/>
      <c r="V5" s="1720"/>
      <c r="W5" s="2895" t="s">
        <v>3019</v>
      </c>
      <c r="X5" s="1714">
        <f>ROUND(IF(项目基本情况!B8="出让",SUMPRODUCT(PRODUCT(1+N5:N$27)),SUMPRODUCT(PRODUCT(1+N5:N$26))),4)</f>
        <v>1.5422</v>
      </c>
      <c r="Y5" s="1714">
        <f>ROUND(IF(项目基本情况!B8="出让",SUMPRODUCT(PRODUCT(1+O5:O$27)),SUMPRODUCT(PRODUCT(1+O5:O$26))),4)</f>
        <v>1.3557999999999999</v>
      </c>
      <c r="Z5" s="1714">
        <f t="shared" ref="Z5" si="10">Y5</f>
        <v>1.3557999999999999</v>
      </c>
      <c r="AA5" s="1714">
        <f>ROUND(IF(项目基本情况!B8="出让",SUMPRODUCT(PRODUCT(1+P5:P$27)),SUMPRODUCT(PRODUCT(1+P5:P$26))),4)</f>
        <v>1.6036999999999999</v>
      </c>
      <c r="AB5" s="1714">
        <f>ROUND(IF(项目基本情况!B8="出让",SUMPRODUCT(PRODUCT(1+Q5:Q$27)),SUMPRODUCT(PRODUCT(1+Q5:Q$26))),4)</f>
        <v>1.3573</v>
      </c>
      <c r="AD5" s="1457">
        <f>ROUND(AVERAGE(I5:I$27)/100,4)</f>
        <v>2.0400000000000001E-2</v>
      </c>
      <c r="AE5" s="1457">
        <f>ROUND(AVERAGE(J5:J$27)/100,4)</f>
        <v>1.44E-2</v>
      </c>
      <c r="AF5" s="1457">
        <f t="shared" ref="AF5" si="11">AE5</f>
        <v>1.44E-2</v>
      </c>
      <c r="AG5" s="1457">
        <f>ROUND(AVERAGE(K5:K$27)/100,4)</f>
        <v>2.23E-2</v>
      </c>
      <c r="AH5" s="1457">
        <f>ROUND(AVERAGE(L5:L$27)/100,4)</f>
        <v>1.4E-2</v>
      </c>
    </row>
    <row r="6" spans="1:34" s="1455" customFormat="1">
      <c r="A6" s="1450" t="s">
        <v>3034</v>
      </c>
      <c r="B6" s="1466">
        <f t="shared" ref="B6" si="12">B7*(1+N6)</f>
        <v>474.30670301923408</v>
      </c>
      <c r="C6" s="1466">
        <f t="shared" ref="C6" si="13">C7*(1+O6)</f>
        <v>349.50705005996491</v>
      </c>
      <c r="D6" s="1466">
        <f t="shared" ref="D6" si="14">C6</f>
        <v>349.50705005996491</v>
      </c>
      <c r="E6" s="1466">
        <f t="shared" ref="E6" si="15">E7*(1+P6)</f>
        <v>678.22831959706957</v>
      </c>
      <c r="F6" s="1466">
        <f t="shared" ref="F6" si="16">F7*(1+Q6)</f>
        <v>312.0556832169558</v>
      </c>
      <c r="G6" s="2925">
        <v>2019</v>
      </c>
      <c r="H6" s="1451">
        <v>2</v>
      </c>
      <c r="I6" s="2929">
        <v>1.53</v>
      </c>
      <c r="J6" s="2929">
        <v>1.01</v>
      </c>
      <c r="K6" s="2929">
        <v>1.62</v>
      </c>
      <c r="L6" s="2930">
        <v>1.25</v>
      </c>
      <c r="M6" s="1460"/>
      <c r="N6" s="1461">
        <f>I6/100</f>
        <v>1.5300000000000001E-2</v>
      </c>
      <c r="O6" s="1462">
        <f t="shared" ref="O6" si="17">J6/100</f>
        <v>1.01E-2</v>
      </c>
      <c r="P6" s="1462">
        <f t="shared" ref="P6" si="18">K6/100</f>
        <v>1.6200000000000003E-2</v>
      </c>
      <c r="Q6" s="1462">
        <f t="shared" ref="Q6" si="19">L6/100</f>
        <v>1.2500000000000001E-2</v>
      </c>
      <c r="R6" s="1463"/>
      <c r="S6" s="1461"/>
      <c r="T6" s="1462"/>
      <c r="U6" s="1462"/>
      <c r="V6" s="1462"/>
      <c r="W6" s="1777"/>
      <c r="X6" s="1775">
        <f>ROUND(IF(项目基本情况!B8="出让",SUMPRODUCT(PRODUCT(1+N6:N$27)),SUMPRODUCT(PRODUCT(1+N6:N$26))),4)</f>
        <v>1.5422</v>
      </c>
      <c r="Y6" s="1775">
        <f>ROUND(IF(项目基本情况!B8="出让",SUMPRODUCT(PRODUCT(1+O6:O$27)),SUMPRODUCT(PRODUCT(1+O6:O$26))),4)</f>
        <v>1.3557999999999999</v>
      </c>
      <c r="Z6" s="1775">
        <f t="shared" ref="Z6" si="20">Y6</f>
        <v>1.3557999999999999</v>
      </c>
      <c r="AA6" s="1775">
        <f>ROUND(IF(项目基本情况!B8="出让",SUMPRODUCT(PRODUCT(1+P6:P$27)),SUMPRODUCT(PRODUCT(1+P6:P$26))),4)</f>
        <v>1.6036999999999999</v>
      </c>
      <c r="AB6" s="1775">
        <f>ROUND(IF(项目基本情况!B8="出让",SUMPRODUCT(PRODUCT(1+Q6:Q$27)),SUMPRODUCT(PRODUCT(1+Q6:Q$26))),4)</f>
        <v>1.3573</v>
      </c>
      <c r="AC6" s="1777"/>
      <c r="AD6" s="1776">
        <f>ROUND(AVERAGE(I6:I$27)/100,4)</f>
        <v>2.1299999999999999E-2</v>
      </c>
      <c r="AE6" s="1776">
        <f>ROUND(AVERAGE(J6:J$27)/100,4)</f>
        <v>1.4999999999999999E-2</v>
      </c>
      <c r="AF6" s="1776">
        <f t="shared" ref="AF6" si="21">AE6</f>
        <v>1.4999999999999999E-2</v>
      </c>
      <c r="AG6" s="1776">
        <f>ROUND(AVERAGE(K6:K$27)/100,4)</f>
        <v>2.3300000000000001E-2</v>
      </c>
      <c r="AH6" s="1776">
        <f>ROUND(AVERAGE(L6:L$27)/100,4)</f>
        <v>1.46E-2</v>
      </c>
    </row>
    <row r="7" spans="1:34" s="1455" customFormat="1" ht="13.5" thickBot="1">
      <c r="A7" s="1450" t="s">
        <v>3031</v>
      </c>
      <c r="B7" s="1466">
        <f t="shared" ref="B7" si="22">B8*(1+N7)</f>
        <v>467.15916775261894</v>
      </c>
      <c r="C7" s="1466">
        <f t="shared" ref="C7" si="23">C8*(1+O7)</f>
        <v>346.01232557169084</v>
      </c>
      <c r="D7" s="1466">
        <f t="shared" ref="D7" si="24">C7</f>
        <v>346.01232557169084</v>
      </c>
      <c r="E7" s="1466">
        <f t="shared" ref="E7" si="25">E8*(1+P7)</f>
        <v>667.41617752122568</v>
      </c>
      <c r="F7" s="1466">
        <f t="shared" ref="F7" si="26">F8*(1+Q7)</f>
        <v>308.20314391798104</v>
      </c>
      <c r="G7" s="2909">
        <v>2019</v>
      </c>
      <c r="H7" s="1453">
        <v>1</v>
      </c>
      <c r="I7" s="1453">
        <v>0.6</v>
      </c>
      <c r="J7" s="1453">
        <v>0.37</v>
      </c>
      <c r="K7" s="1453">
        <v>0.63</v>
      </c>
      <c r="L7" s="1467">
        <v>1.1299999999999999</v>
      </c>
      <c r="M7" s="1460"/>
      <c r="N7" s="1461">
        <f>I7/100</f>
        <v>6.0000000000000001E-3</v>
      </c>
      <c r="O7" s="1462">
        <f t="shared" ref="O7" si="27">J7/100</f>
        <v>3.7000000000000002E-3</v>
      </c>
      <c r="P7" s="1462">
        <f t="shared" ref="P7" si="28">K7/100</f>
        <v>6.3E-3</v>
      </c>
      <c r="Q7" s="1462">
        <f t="shared" ref="Q7" si="29">L7/100</f>
        <v>1.1299999999999999E-2</v>
      </c>
      <c r="R7" s="1463"/>
      <c r="S7" s="1461">
        <f>B7/B8-1</f>
        <v>6.0000000000000053E-3</v>
      </c>
      <c r="T7" s="1462">
        <f t="shared" ref="T7" si="30">C7/C8-1</f>
        <v>3.7000000000000366E-3</v>
      </c>
      <c r="U7" s="1462">
        <f t="shared" ref="U7" si="31">D7/D8-1</f>
        <v>3.7000000000000366E-3</v>
      </c>
      <c r="V7" s="1462">
        <f t="shared" ref="V7" si="32">E7/E8-1</f>
        <v>6.2999999999999723E-3</v>
      </c>
      <c r="W7" s="1777"/>
      <c r="X7" s="1775">
        <f>ROUND(IF(项目基本情况!B8="出让",SUMPRODUCT(PRODUCT(1+N7:N$27)),SUMPRODUCT(PRODUCT(1+N7:N$26))),4)</f>
        <v>1.5189999999999999</v>
      </c>
      <c r="Y7" s="1775">
        <f>ROUND(IF(项目基本情况!B8="出让",SUMPRODUCT(PRODUCT(1+O7:O$27)),SUMPRODUCT(PRODUCT(1+O7:O$26))),4)</f>
        <v>1.3423</v>
      </c>
      <c r="Z7" s="1775">
        <f t="shared" ref="Z7" si="33">Y7</f>
        <v>1.3423</v>
      </c>
      <c r="AA7" s="1775">
        <f>ROUND(IF(项目基本情况!B8="出让",SUMPRODUCT(PRODUCT(1+P7:P$27)),SUMPRODUCT(PRODUCT(1+P7:P$26))),4)</f>
        <v>1.5782</v>
      </c>
      <c r="AB7" s="1775">
        <f>ROUND(IF(项目基本情况!B8="出让",SUMPRODUCT(PRODUCT(1+Q7:Q$27)),SUMPRODUCT(PRODUCT(1+Q7:Q$26))),4)</f>
        <v>1.3405</v>
      </c>
      <c r="AC7" s="1777"/>
      <c r="AD7" s="1776">
        <f>ROUND(AVERAGE(I7:I$27)/100,4)</f>
        <v>2.1600000000000001E-2</v>
      </c>
      <c r="AE7" s="1776">
        <f>ROUND(AVERAGE(J7:J$27)/100,4)</f>
        <v>1.5299999999999999E-2</v>
      </c>
      <c r="AF7" s="1776">
        <f t="shared" ref="AF7" si="34">AE7</f>
        <v>1.5299999999999999E-2</v>
      </c>
      <c r="AG7" s="1776">
        <f>ROUND(AVERAGE(K7:K$27)/100,4)</f>
        <v>2.3699999999999999E-2</v>
      </c>
      <c r="AH7" s="1776">
        <f>ROUND(AVERAGE(L7:L$27)/100,4)</f>
        <v>1.47E-2</v>
      </c>
    </row>
    <row r="8" spans="1:34" s="1455" customFormat="1">
      <c r="A8" s="1450" t="s">
        <v>3036</v>
      </c>
      <c r="B8" s="2926">
        <f t="shared" ref="B8" si="35">B9*(1+N8)</f>
        <v>464.37293017158942</v>
      </c>
      <c r="C8" s="2926">
        <f t="shared" ref="C8" si="36">C9*(1+O8)</f>
        <v>344.73679941385956</v>
      </c>
      <c r="D8" s="2926">
        <f t="shared" ref="D8" si="37">C8</f>
        <v>344.73679941385956</v>
      </c>
      <c r="E8" s="2926">
        <f t="shared" ref="E8" si="38">E9*(1+P8)</f>
        <v>663.2377795103107</v>
      </c>
      <c r="F8" s="2927">
        <f t="shared" ref="F8" si="39">F9*(1+Q8)</f>
        <v>304.75936311478398</v>
      </c>
      <c r="G8" s="3367">
        <v>2018</v>
      </c>
      <c r="H8" s="1451">
        <v>4</v>
      </c>
      <c r="I8" s="1451">
        <v>0.96</v>
      </c>
      <c r="J8" s="1451">
        <v>1.03</v>
      </c>
      <c r="K8" s="1451">
        <v>0.92</v>
      </c>
      <c r="L8" s="1452">
        <v>1.29</v>
      </c>
      <c r="M8" s="1460"/>
      <c r="N8" s="1461">
        <f>I8/100</f>
        <v>9.5999999999999992E-3</v>
      </c>
      <c r="O8" s="1462">
        <f t="shared" ref="O8" si="40">J8/100</f>
        <v>1.03E-2</v>
      </c>
      <c r="P8" s="1462">
        <f t="shared" ref="P8" si="41">K8/100</f>
        <v>9.1999999999999998E-3</v>
      </c>
      <c r="Q8" s="1462">
        <f t="shared" ref="Q8" si="42">L8/100</f>
        <v>1.29E-2</v>
      </c>
      <c r="R8" s="1463"/>
      <c r="S8" s="1461"/>
      <c r="T8" s="1462"/>
      <c r="U8" s="1462"/>
      <c r="V8" s="1462"/>
      <c r="W8" s="1777"/>
      <c r="X8" s="1775">
        <f>ROUND(SUMPRODUCT(PRODUCT(1+N8:N$26)),4)</f>
        <v>1.5099</v>
      </c>
      <c r="Y8" s="1775">
        <f>ROUND(SUMPRODUCT(PRODUCT(1+O8:O$26)),4)</f>
        <v>1.3372999999999999</v>
      </c>
      <c r="Z8" s="1775">
        <f t="shared" ref="Z8" si="43">Y8</f>
        <v>1.3372999999999999</v>
      </c>
      <c r="AA8" s="1775">
        <f>ROUND(SUMPRODUCT(PRODUCT(1+P8:P$26)),4)</f>
        <v>1.5683</v>
      </c>
      <c r="AB8" s="1775">
        <f>ROUND(SUMPRODUCT(PRODUCT(1+Q8:Q$26)),4)</f>
        <v>1.3255999999999999</v>
      </c>
      <c r="AC8" s="1777"/>
      <c r="AD8" s="1776">
        <f>ROUND(AVERAGE(I8:I$27)/100,4)</f>
        <v>2.24E-2</v>
      </c>
      <c r="AE8" s="1776">
        <f>ROUND(AVERAGE(J8:J$27)/100,4)</f>
        <v>1.5800000000000002E-2</v>
      </c>
      <c r="AF8" s="1776">
        <f t="shared" ref="AF8" si="44">AE8</f>
        <v>1.5800000000000002E-2</v>
      </c>
      <c r="AG8" s="1776">
        <f>ROUND(AVERAGE(K8:K$27)/100,4)</f>
        <v>2.4500000000000001E-2</v>
      </c>
      <c r="AH8" s="1776">
        <f>ROUND(AVERAGE(L8:L$27)/100,4)</f>
        <v>1.49E-2</v>
      </c>
    </row>
    <row r="9" spans="1:34" s="1455" customFormat="1" ht="14.45" customHeight="1">
      <c r="A9" s="1450" t="s">
        <v>3025</v>
      </c>
      <c r="B9" s="1466">
        <f t="shared" ref="B9" si="45">B10*(1+N9)</f>
        <v>459.95733971036987</v>
      </c>
      <c r="C9" s="1466">
        <f t="shared" ref="C9" si="46">C10*(1+O9)</f>
        <v>341.22221064422405</v>
      </c>
      <c r="D9" s="1466">
        <f t="shared" ref="D9" si="47">C9</f>
        <v>341.22221064422405</v>
      </c>
      <c r="E9" s="1466">
        <f t="shared" ref="E9" si="48">E10*(1+P9)</f>
        <v>657.19161663724799</v>
      </c>
      <c r="F9" s="1466">
        <f t="shared" ref="F9" si="49">F10*(1+Q9)</f>
        <v>300.87803644464805</v>
      </c>
      <c r="G9" s="3367"/>
      <c r="H9" s="1453">
        <v>3</v>
      </c>
      <c r="I9" s="1453">
        <v>1.51</v>
      </c>
      <c r="J9" s="1453">
        <v>1.41</v>
      </c>
      <c r="K9" s="1453">
        <v>1.52</v>
      </c>
      <c r="L9" s="1467">
        <v>1.74</v>
      </c>
      <c r="M9" s="1460"/>
      <c r="N9" s="1461">
        <f>I9/100</f>
        <v>1.5100000000000001E-2</v>
      </c>
      <c r="O9" s="1462">
        <f t="shared" ref="O9" si="50">J9/100</f>
        <v>1.41E-2</v>
      </c>
      <c r="P9" s="1462">
        <f t="shared" ref="P9" si="51">K9/100</f>
        <v>1.52E-2</v>
      </c>
      <c r="Q9" s="1462">
        <f t="shared" ref="Q9" si="52">L9/100</f>
        <v>1.7399999999999999E-2</v>
      </c>
      <c r="R9" s="1463"/>
      <c r="S9" s="1461"/>
      <c r="T9" s="1462"/>
      <c r="U9" s="1462"/>
      <c r="V9" s="1462"/>
      <c r="W9" s="1777"/>
      <c r="X9" s="1775">
        <f>ROUND(SUMPRODUCT(PRODUCT(1+N9:N$26)),4)</f>
        <v>1.4956</v>
      </c>
      <c r="Y9" s="1775">
        <f>ROUND(SUMPRODUCT(PRODUCT(1+O9:O$26)),4)</f>
        <v>1.3237000000000001</v>
      </c>
      <c r="Z9" s="1775">
        <f t="shared" ref="Z9" si="53">Y9</f>
        <v>1.3237000000000001</v>
      </c>
      <c r="AA9" s="1775">
        <f>ROUND(SUMPRODUCT(PRODUCT(1+P9:P$26)),4)</f>
        <v>1.554</v>
      </c>
      <c r="AB9" s="1775">
        <f>ROUND(SUMPRODUCT(PRODUCT(1+Q9:Q$26)),4)</f>
        <v>1.3087</v>
      </c>
      <c r="AC9" s="1777"/>
      <c r="AD9" s="1776">
        <f>ROUND(AVERAGE(I9:I$27)/100,4)</f>
        <v>2.3099999999999999E-2</v>
      </c>
      <c r="AE9" s="1776">
        <f>ROUND(AVERAGE(J9:J$27)/100,4)</f>
        <v>1.61E-2</v>
      </c>
      <c r="AF9" s="1776">
        <f t="shared" ref="AF9" si="54">AE9</f>
        <v>1.61E-2</v>
      </c>
      <c r="AG9" s="1776">
        <f>ROUND(AVERAGE(K9:K$27)/100,4)</f>
        <v>2.53E-2</v>
      </c>
      <c r="AH9" s="1776">
        <f>ROUND(AVERAGE(L9:L$27)/100,4)</f>
        <v>1.4999999999999999E-2</v>
      </c>
    </row>
    <row r="10" spans="1:34" s="1455" customFormat="1" ht="14.45" customHeight="1">
      <c r="A10" s="1450" t="s">
        <v>3024</v>
      </c>
      <c r="B10" s="1466">
        <f t="shared" ref="B10" si="55">B11*(1+N10)</f>
        <v>453.11529869999993</v>
      </c>
      <c r="C10" s="1466">
        <f t="shared" ref="C10" si="56">C11*(1+O10)</f>
        <v>336.47787264000004</v>
      </c>
      <c r="D10" s="1466">
        <f t="shared" ref="D10" si="57">C10</f>
        <v>336.47787264000004</v>
      </c>
      <c r="E10" s="1466">
        <f t="shared" ref="E10" si="58">E11*(1+P10)</f>
        <v>647.35186823999993</v>
      </c>
      <c r="F10" s="1466">
        <f t="shared" ref="F10" si="59">F11*(1+Q10)</f>
        <v>295.73229452000004</v>
      </c>
      <c r="G10" s="3367"/>
      <c r="H10" s="1454">
        <v>2</v>
      </c>
      <c r="I10" s="1454">
        <v>1.49</v>
      </c>
      <c r="J10" s="1454">
        <v>0.96</v>
      </c>
      <c r="K10" s="1454">
        <v>1.58</v>
      </c>
      <c r="L10" s="1468">
        <v>2.44</v>
      </c>
      <c r="M10" s="1460"/>
      <c r="N10" s="1461">
        <f t="shared" ref="N10" si="60">I10/100</f>
        <v>1.49E-2</v>
      </c>
      <c r="O10" s="1462">
        <f t="shared" ref="O10" si="61">J10/100</f>
        <v>9.5999999999999992E-3</v>
      </c>
      <c r="P10" s="1462">
        <f t="shared" ref="P10" si="62">K10/100</f>
        <v>1.5800000000000002E-2</v>
      </c>
      <c r="Q10" s="1462">
        <f t="shared" ref="Q10" si="63">L10/100</f>
        <v>2.4399999999999998E-2</v>
      </c>
      <c r="R10" s="1463"/>
      <c r="S10" s="1461"/>
      <c r="T10" s="1462"/>
      <c r="U10" s="1462"/>
      <c r="V10" s="1462"/>
      <c r="W10" s="1777"/>
      <c r="X10" s="1775">
        <f>ROUND(SUMPRODUCT(PRODUCT(1+N10:N$26)),4)</f>
        <v>1.4733000000000001</v>
      </c>
      <c r="Y10" s="1775">
        <f>ROUND(SUMPRODUCT(PRODUCT(1+O10:O$26)),4)</f>
        <v>1.3052999999999999</v>
      </c>
      <c r="Z10" s="1775">
        <f t="shared" ref="Z10" si="64">Y10</f>
        <v>1.3052999999999999</v>
      </c>
      <c r="AA10" s="1775">
        <f>ROUND(SUMPRODUCT(PRODUCT(1+P10:P$26)),4)</f>
        <v>1.5306999999999999</v>
      </c>
      <c r="AB10" s="1775">
        <f>ROUND(SUMPRODUCT(PRODUCT(1+Q10:Q$26)),4)</f>
        <v>1.2863</v>
      </c>
      <c r="AC10" s="1777"/>
      <c r="AD10" s="1776">
        <f>ROUND(AVERAGE(I10:I$27)/100,4)</f>
        <v>2.35E-2</v>
      </c>
      <c r="AE10" s="1776">
        <f>ROUND(AVERAGE(J10:J$27)/100,4)</f>
        <v>1.6199999999999999E-2</v>
      </c>
      <c r="AF10" s="1776">
        <f t="shared" ref="AF10" si="65">AE10</f>
        <v>1.6199999999999999E-2</v>
      </c>
      <c r="AG10" s="1776">
        <f>ROUND(AVERAGE(K10:K$27)/100,4)</f>
        <v>2.5899999999999999E-2</v>
      </c>
      <c r="AH10" s="1776">
        <f>ROUND(AVERAGE(L10:L$27)/100,4)</f>
        <v>1.49E-2</v>
      </c>
    </row>
    <row r="11" spans="1:34" s="1455" customFormat="1" ht="15" customHeight="1" thickBot="1">
      <c r="A11" s="1450" t="s">
        <v>3017</v>
      </c>
      <c r="B11" s="1466">
        <f t="shared" ref="B11" si="66">B12*(1+N11)</f>
        <v>446.46299999999997</v>
      </c>
      <c r="C11" s="1466">
        <f t="shared" ref="C11" si="67">C12*(1+O11)</f>
        <v>333.27840000000003</v>
      </c>
      <c r="D11" s="1466">
        <f t="shared" ref="D11" si="68">C11</f>
        <v>333.27840000000003</v>
      </c>
      <c r="E11" s="1466">
        <f t="shared" ref="E11" si="69">E12*(1+P11)</f>
        <v>637.28279999999995</v>
      </c>
      <c r="F11" s="1466">
        <f t="shared" ref="F11" si="70">F12*(1+Q11)</f>
        <v>288.68830000000003</v>
      </c>
      <c r="G11" s="3376"/>
      <c r="H11" s="1453">
        <v>1</v>
      </c>
      <c r="I11" s="1453">
        <v>1.7</v>
      </c>
      <c r="J11" s="1453">
        <v>1.92</v>
      </c>
      <c r="K11" s="1453">
        <v>1.64</v>
      </c>
      <c r="L11" s="1467">
        <v>2.0099999999999998</v>
      </c>
      <c r="M11" s="1460"/>
      <c r="N11" s="1461">
        <f t="shared" ref="N11:N16" si="71">I11/100</f>
        <v>1.7000000000000001E-2</v>
      </c>
      <c r="O11" s="1462">
        <f t="shared" ref="O11" si="72">J11/100</f>
        <v>1.9199999999999998E-2</v>
      </c>
      <c r="P11" s="1462">
        <f t="shared" ref="P11" si="73">K11/100</f>
        <v>1.6399999999999998E-2</v>
      </c>
      <c r="Q11" s="1462">
        <f t="shared" ref="Q11" si="74">L11/100</f>
        <v>2.0099999999999996E-2</v>
      </c>
      <c r="R11" s="1463"/>
      <c r="S11" s="1461">
        <f>B11/B12-1</f>
        <v>1.6999999999999904E-2</v>
      </c>
      <c r="T11" s="1462">
        <f t="shared" ref="T11" si="75">C11/C12-1</f>
        <v>1.9200000000000106E-2</v>
      </c>
      <c r="U11" s="1462">
        <f t="shared" ref="U11" si="76">D11/D12-1</f>
        <v>1.9200000000000106E-2</v>
      </c>
      <c r="V11" s="1462">
        <f t="shared" ref="V11" si="77">E11/E12-1</f>
        <v>1.639999999999997E-2</v>
      </c>
      <c r="W11" s="1777"/>
      <c r="X11" s="1775">
        <f>ROUND(SUMPRODUCT(PRODUCT(1+N11:N$26)),4)</f>
        <v>1.4517</v>
      </c>
      <c r="Y11" s="1775">
        <f>ROUND(SUMPRODUCT(PRODUCT(1+O11:O$26)),4)</f>
        <v>1.2928999999999999</v>
      </c>
      <c r="Z11" s="1775">
        <f t="shared" ref="Z11" si="78">Y11</f>
        <v>1.2928999999999999</v>
      </c>
      <c r="AA11" s="1775">
        <f>ROUND(SUMPRODUCT(PRODUCT(1+P11:P$26)),4)</f>
        <v>1.5068999999999999</v>
      </c>
      <c r="AB11" s="1775">
        <f>ROUND(SUMPRODUCT(PRODUCT(1+Q11:Q$26)),4)</f>
        <v>1.2557</v>
      </c>
      <c r="AC11" s="1777"/>
      <c r="AD11" s="1776">
        <f>ROUND(AVERAGE(I11:I$27)/100,4)</f>
        <v>2.4E-2</v>
      </c>
      <c r="AE11" s="1776">
        <f>ROUND(AVERAGE(J11:J$27)/100,4)</f>
        <v>1.66E-2</v>
      </c>
      <c r="AF11" s="1776">
        <f t="shared" ref="AF11" si="79">AE11</f>
        <v>1.66E-2</v>
      </c>
      <c r="AG11" s="1776">
        <f>ROUND(AVERAGE(K11:K$27)/100,4)</f>
        <v>2.6499999999999999E-2</v>
      </c>
      <c r="AH11" s="1776">
        <f>ROUND(AVERAGE(L11:L$27)/100,4)</f>
        <v>1.43E-2</v>
      </c>
    </row>
    <row r="12" spans="1:34">
      <c r="A12" s="1450" t="s">
        <v>3014</v>
      </c>
      <c r="B12" s="1458">
        <v>439</v>
      </c>
      <c r="C12" s="1458">
        <v>327</v>
      </c>
      <c r="D12" s="1458">
        <f>C12</f>
        <v>327</v>
      </c>
      <c r="E12" s="1458">
        <v>627</v>
      </c>
      <c r="F12" s="1459">
        <v>283</v>
      </c>
      <c r="G12" s="3372">
        <v>2017</v>
      </c>
      <c r="H12" s="1451">
        <v>4</v>
      </c>
      <c r="I12" s="1451">
        <v>1.71</v>
      </c>
      <c r="J12" s="1451">
        <v>1.78</v>
      </c>
      <c r="K12" s="1451">
        <v>1.71</v>
      </c>
      <c r="L12" s="1452">
        <v>1.43</v>
      </c>
      <c r="N12" s="1461">
        <f t="shared" si="71"/>
        <v>1.7100000000000001E-2</v>
      </c>
      <c r="O12" s="1462">
        <f t="shared" ref="O12" si="80">J12/100</f>
        <v>1.78E-2</v>
      </c>
      <c r="P12" s="1462">
        <f t="shared" ref="P12" si="81">K12/100</f>
        <v>1.7100000000000001E-2</v>
      </c>
      <c r="Q12" s="1462">
        <f t="shared" ref="Q12" si="82">L12/100</f>
        <v>1.43E-2</v>
      </c>
      <c r="R12" s="1463"/>
      <c r="S12" s="1464"/>
      <c r="T12" s="1465"/>
      <c r="U12" s="1465"/>
      <c r="V12" s="1465"/>
      <c r="X12" s="1448">
        <f>ROUND(SUMPRODUCT(PRODUCT(1+N12:N$26)),4)</f>
        <v>1.4274</v>
      </c>
      <c r="Y12" s="1448">
        <f>ROUND(SUMPRODUCT(PRODUCT(1+O12:O$26)),4)</f>
        <v>1.2685</v>
      </c>
      <c r="Z12" s="1448">
        <f t="shared" si="0"/>
        <v>1.2685</v>
      </c>
      <c r="AA12" s="1448">
        <f>ROUND(SUMPRODUCT(PRODUCT(1+P12:P$26)),4)</f>
        <v>1.4825999999999999</v>
      </c>
      <c r="AB12" s="1448">
        <f>ROUND(SUMPRODUCT(PRODUCT(1+Q12:Q$26)),4)</f>
        <v>1.2309000000000001</v>
      </c>
      <c r="AD12" s="1449">
        <f>ROUND(AVERAGE(I12:I$27)/100,4)</f>
        <v>2.4500000000000001E-2</v>
      </c>
      <c r="AE12" s="1449">
        <f>ROUND(AVERAGE(J12:J$27)/100,4)</f>
        <v>1.6500000000000001E-2</v>
      </c>
      <c r="AF12" s="1449">
        <f t="shared" si="1"/>
        <v>1.6500000000000001E-2</v>
      </c>
      <c r="AG12" s="1449">
        <f>ROUND(AVERAGE(K12:K$27)/100,4)</f>
        <v>2.7099999999999999E-2</v>
      </c>
      <c r="AH12" s="1449">
        <f>ROUND(AVERAGE(L12:L$27)/100,4)</f>
        <v>1.3899999999999999E-2</v>
      </c>
    </row>
    <row r="13" spans="1:34" s="1455" customFormat="1" ht="14.45" customHeight="1">
      <c r="A13" s="1450" t="s">
        <v>3015</v>
      </c>
      <c r="B13" s="1466">
        <f t="shared" ref="B13:B14" si="83">B14*(1+N13)</f>
        <v>431.80730811680002</v>
      </c>
      <c r="C13" s="1466">
        <f t="shared" ref="C13:C14" si="84">C14*(1+O13)</f>
        <v>320.57880516480003</v>
      </c>
      <c r="D13" s="1466">
        <f t="shared" ref="D13:D14" si="85">C13</f>
        <v>320.57880516480003</v>
      </c>
      <c r="E13" s="1466">
        <f t="shared" ref="E13:E14" si="86">E14*(1+P13)</f>
        <v>615.96110553196797</v>
      </c>
      <c r="F13" s="1466">
        <f t="shared" ref="F13:F14" si="87">F14*(1+Q13)</f>
        <v>279.46777300108801</v>
      </c>
      <c r="G13" s="3367"/>
      <c r="H13" s="1453">
        <v>3</v>
      </c>
      <c r="I13" s="1453">
        <v>2.98</v>
      </c>
      <c r="J13" s="1453">
        <v>2.11</v>
      </c>
      <c r="K13" s="1453">
        <v>3.24</v>
      </c>
      <c r="L13" s="1467">
        <v>1.72</v>
      </c>
      <c r="M13" s="1460"/>
      <c r="N13" s="1461">
        <f t="shared" si="71"/>
        <v>2.98E-2</v>
      </c>
      <c r="O13" s="1462">
        <f t="shared" ref="O13" si="88">J13/100</f>
        <v>2.1099999999999997E-2</v>
      </c>
      <c r="P13" s="1462">
        <f t="shared" ref="P13" si="89">K13/100</f>
        <v>3.2400000000000005E-2</v>
      </c>
      <c r="Q13" s="1462">
        <f t="shared" ref="Q13" si="90">L13/100</f>
        <v>1.72E-2</v>
      </c>
      <c r="R13" s="1463"/>
      <c r="S13" s="1461"/>
      <c r="T13" s="1462"/>
      <c r="U13" s="1462"/>
      <c r="V13" s="1462"/>
      <c r="W13" s="1777"/>
      <c r="X13" s="1775">
        <f>ROUND(SUMPRODUCT(PRODUCT(1+N13:N$26)),4)</f>
        <v>1.4034</v>
      </c>
      <c r="Y13" s="1775">
        <f>ROUND(SUMPRODUCT(PRODUCT(1+O13:O$26)),4)</f>
        <v>1.2463</v>
      </c>
      <c r="Z13" s="1775">
        <f t="shared" si="0"/>
        <v>1.2463</v>
      </c>
      <c r="AA13" s="1775">
        <f>ROUND(SUMPRODUCT(PRODUCT(1+P13:P$26)),4)</f>
        <v>1.4577</v>
      </c>
      <c r="AB13" s="1775">
        <f>ROUND(SUMPRODUCT(PRODUCT(1+Q13:Q$26)),4)</f>
        <v>1.2136</v>
      </c>
      <c r="AC13" s="1777"/>
      <c r="AD13" s="1776">
        <f>ROUND(AVERAGE(I13:I$27)/100,4)</f>
        <v>2.4899999999999999E-2</v>
      </c>
      <c r="AE13" s="1776">
        <f>ROUND(AVERAGE(J13:J$27)/100,4)</f>
        <v>1.6400000000000001E-2</v>
      </c>
      <c r="AF13" s="1776">
        <f t="shared" si="1"/>
        <v>1.6400000000000001E-2</v>
      </c>
      <c r="AG13" s="1776">
        <f>ROUND(AVERAGE(K13:K$27)/100,4)</f>
        <v>2.7799999999999998E-2</v>
      </c>
      <c r="AH13" s="1776">
        <f>ROUND(AVERAGE(L13:L$27)/100,4)</f>
        <v>1.3899999999999999E-2</v>
      </c>
    </row>
    <row r="14" spans="1:34" s="1719" customFormat="1" ht="14.45" customHeight="1">
      <c r="A14" s="1450" t="s">
        <v>1381</v>
      </c>
      <c r="B14" s="1466">
        <f t="shared" si="83"/>
        <v>419.31181600000002</v>
      </c>
      <c r="C14" s="1466">
        <f t="shared" si="84"/>
        <v>313.95436800000004</v>
      </c>
      <c r="D14" s="1466">
        <f t="shared" si="85"/>
        <v>313.95436800000004</v>
      </c>
      <c r="E14" s="1466">
        <f t="shared" si="86"/>
        <v>596.63028431999999</v>
      </c>
      <c r="F14" s="1466">
        <f t="shared" si="87"/>
        <v>274.74220703999998</v>
      </c>
      <c r="G14" s="3367"/>
      <c r="H14" s="1454">
        <v>2</v>
      </c>
      <c r="I14" s="1454">
        <v>3.4</v>
      </c>
      <c r="J14" s="1454">
        <v>2</v>
      </c>
      <c r="K14" s="1454">
        <v>3.82</v>
      </c>
      <c r="L14" s="1468">
        <v>1.68</v>
      </c>
      <c r="M14" s="1460"/>
      <c r="N14" s="1461">
        <f t="shared" si="71"/>
        <v>3.4000000000000002E-2</v>
      </c>
      <c r="O14" s="1462">
        <f t="shared" ref="O14" si="91">J14/100</f>
        <v>0.02</v>
      </c>
      <c r="P14" s="1462">
        <f t="shared" ref="P14" si="92">K14/100</f>
        <v>3.8199999999999998E-2</v>
      </c>
      <c r="Q14" s="1462">
        <f t="shared" ref="Q14" si="93">L14/100</f>
        <v>1.6799999999999999E-2</v>
      </c>
      <c r="R14" s="1463"/>
      <c r="S14" s="1464"/>
      <c r="T14" s="1465"/>
      <c r="U14" s="1465"/>
      <c r="V14" s="1465"/>
      <c r="W14" s="1442"/>
      <c r="X14" s="1775">
        <f>ROUND(SUMPRODUCT(PRODUCT(1+N14:N$26)),4)</f>
        <v>1.3628</v>
      </c>
      <c r="Y14" s="1775">
        <f>ROUND(SUMPRODUCT(PRODUCT(1+O14:O$26)),4)</f>
        <v>1.2205999999999999</v>
      </c>
      <c r="Z14" s="1775">
        <f t="shared" si="0"/>
        <v>1.2205999999999999</v>
      </c>
      <c r="AA14" s="1775">
        <f>ROUND(SUMPRODUCT(PRODUCT(1+P14:P$26)),4)</f>
        <v>1.4118999999999999</v>
      </c>
      <c r="AB14" s="1775">
        <f>ROUND(SUMPRODUCT(PRODUCT(1+Q14:Q$26)),4)</f>
        <v>1.1930000000000001</v>
      </c>
      <c r="AC14" s="1442"/>
      <c r="AD14" s="1776">
        <f>ROUND(AVERAGE(I14:I$27)/100,4)</f>
        <v>2.46E-2</v>
      </c>
      <c r="AE14" s="1776">
        <f>ROUND(AVERAGE(J14:J$27)/100,4)</f>
        <v>1.6E-2</v>
      </c>
      <c r="AF14" s="1776">
        <f t="shared" si="1"/>
        <v>1.6E-2</v>
      </c>
      <c r="AG14" s="1776">
        <f>ROUND(AVERAGE(K14:K$27)/100,4)</f>
        <v>2.75E-2</v>
      </c>
      <c r="AH14" s="1776">
        <f>ROUND(AVERAGE(L14:L$27)/100,4)</f>
        <v>1.37E-2</v>
      </c>
    </row>
    <row r="15" spans="1:34" s="1455" customFormat="1" ht="15" customHeight="1" thickBot="1">
      <c r="A15" s="1450" t="s">
        <v>1157</v>
      </c>
      <c r="B15" s="1466">
        <f>B16*(1+N15)</f>
        <v>405.524</v>
      </c>
      <c r="C15" s="1466">
        <f>C16*(1+O15)</f>
        <v>307.79840000000002</v>
      </c>
      <c r="D15" s="1466">
        <f>C15</f>
        <v>307.79840000000002</v>
      </c>
      <c r="E15" s="1466">
        <f>E16*(1+P15)</f>
        <v>574.67759999999998</v>
      </c>
      <c r="F15" s="1466">
        <f>F16*(1+Q15)</f>
        <v>270.20280000000002</v>
      </c>
      <c r="G15" s="3376"/>
      <c r="H15" s="1453">
        <v>1</v>
      </c>
      <c r="I15" s="1453">
        <v>3.45</v>
      </c>
      <c r="J15" s="1453">
        <v>1.92</v>
      </c>
      <c r="K15" s="1453">
        <v>3.92</v>
      </c>
      <c r="L15" s="1467">
        <v>1.58</v>
      </c>
      <c r="M15" s="1460"/>
      <c r="N15" s="1461">
        <f t="shared" si="71"/>
        <v>3.4500000000000003E-2</v>
      </c>
      <c r="O15" s="1462">
        <f t="shared" ref="O15:Q30" si="94">J15/100</f>
        <v>1.9199999999999998E-2</v>
      </c>
      <c r="P15" s="1462">
        <f t="shared" si="94"/>
        <v>3.9199999999999999E-2</v>
      </c>
      <c r="Q15" s="1462">
        <f t="shared" si="94"/>
        <v>1.5800000000000002E-2</v>
      </c>
      <c r="R15" s="1463"/>
      <c r="S15" s="1461">
        <f>B15/B16-1</f>
        <v>3.4499999999999975E-2</v>
      </c>
      <c r="T15" s="1462">
        <f t="shared" ref="T15:V15" si="95">C15/C16-1</f>
        <v>1.9200000000000106E-2</v>
      </c>
      <c r="U15" s="1462">
        <f t="shared" si="95"/>
        <v>1.9200000000000106E-2</v>
      </c>
      <c r="V15" s="1462">
        <f t="shared" si="95"/>
        <v>3.9199999999999902E-2</v>
      </c>
      <c r="W15" s="1777"/>
      <c r="X15" s="1775">
        <f>ROUND(SUMPRODUCT(PRODUCT(1+N15:N$26)),4)</f>
        <v>1.3180000000000001</v>
      </c>
      <c r="Y15" s="1775">
        <f>ROUND(SUMPRODUCT(PRODUCT(1+O15:O$26)),4)</f>
        <v>1.1966000000000001</v>
      </c>
      <c r="Z15" s="1775">
        <f t="shared" si="0"/>
        <v>1.1966000000000001</v>
      </c>
      <c r="AA15" s="1775">
        <f>ROUND(SUMPRODUCT(PRODUCT(1+P15:P$26)),4)</f>
        <v>1.36</v>
      </c>
      <c r="AB15" s="1775">
        <f>ROUND(SUMPRODUCT(PRODUCT(1+Q15:Q$26)),4)</f>
        <v>1.1733</v>
      </c>
      <c r="AC15" s="1777"/>
      <c r="AD15" s="1776">
        <f>ROUND(AVERAGE(I15:I$27)/100,4)</f>
        <v>2.3900000000000001E-2</v>
      </c>
      <c r="AE15" s="1776">
        <f>ROUND(AVERAGE(J15:J$27)/100,4)</f>
        <v>1.5699999999999999E-2</v>
      </c>
      <c r="AF15" s="1776">
        <f t="shared" si="1"/>
        <v>1.5699999999999999E-2</v>
      </c>
      <c r="AG15" s="1776">
        <f>ROUND(AVERAGE(K15:K$27)/100,4)</f>
        <v>2.6599999999999999E-2</v>
      </c>
      <c r="AH15" s="1776">
        <f>ROUND(AVERAGE(L15:L$27)/100,4)</f>
        <v>1.34E-2</v>
      </c>
    </row>
    <row r="16" spans="1:34">
      <c r="A16" s="1450" t="s">
        <v>154</v>
      </c>
      <c r="B16" s="1458">
        <v>392</v>
      </c>
      <c r="C16" s="1458">
        <v>302</v>
      </c>
      <c r="D16" s="1458">
        <f>C16</f>
        <v>302</v>
      </c>
      <c r="E16" s="1458">
        <v>553</v>
      </c>
      <c r="F16" s="1459">
        <v>266</v>
      </c>
      <c r="G16" s="3372">
        <v>2016</v>
      </c>
      <c r="H16" s="1451">
        <v>4</v>
      </c>
      <c r="I16" s="1451">
        <v>4.5599999999999996</v>
      </c>
      <c r="J16" s="1451">
        <v>2.15</v>
      </c>
      <c r="K16" s="1451">
        <v>5.32</v>
      </c>
      <c r="L16" s="1452">
        <v>1.57</v>
      </c>
      <c r="N16" s="1461">
        <f t="shared" si="71"/>
        <v>4.5599999999999995E-2</v>
      </c>
      <c r="O16" s="1462">
        <f t="shared" si="94"/>
        <v>2.1499999999999998E-2</v>
      </c>
      <c r="P16" s="1462">
        <f t="shared" si="94"/>
        <v>5.3200000000000004E-2</v>
      </c>
      <c r="Q16" s="1462">
        <f t="shared" si="94"/>
        <v>1.5700000000000002E-2</v>
      </c>
      <c r="R16" s="1463"/>
      <c r="S16" s="1464"/>
      <c r="T16" s="1465"/>
      <c r="U16" s="1465"/>
      <c r="V16" s="1465"/>
      <c r="X16" s="1448">
        <f>ROUND(SUMPRODUCT(PRODUCT(1+N16:N$26)),4)</f>
        <v>1.274</v>
      </c>
      <c r="Y16" s="1448">
        <f>ROUND(SUMPRODUCT(PRODUCT(1+O16:O$26)),4)</f>
        <v>1.1740999999999999</v>
      </c>
      <c r="Z16" s="1448">
        <f t="shared" si="0"/>
        <v>1.1740999999999999</v>
      </c>
      <c r="AA16" s="1448">
        <f>ROUND(SUMPRODUCT(PRODUCT(1+P16:P$26)),4)</f>
        <v>1.3087</v>
      </c>
      <c r="AB16" s="1448">
        <f>ROUND(SUMPRODUCT(PRODUCT(1+Q16:Q$26)),4)</f>
        <v>1.1551</v>
      </c>
      <c r="AD16" s="1449">
        <f>ROUND(AVERAGE(I16:I$27)/100,4)</f>
        <v>2.3E-2</v>
      </c>
      <c r="AE16" s="1449">
        <f>ROUND(AVERAGE(J16:J$27)/100,4)</f>
        <v>1.55E-2</v>
      </c>
      <c r="AF16" s="1449">
        <f t="shared" si="1"/>
        <v>1.55E-2</v>
      </c>
      <c r="AG16" s="1449">
        <f>ROUND(AVERAGE(K16:K$27)/100,4)</f>
        <v>2.5600000000000001E-2</v>
      </c>
      <c r="AH16" s="1449">
        <f>ROUND(AVERAGE(L16:L$27)/100,4)</f>
        <v>1.32E-2</v>
      </c>
    </row>
    <row r="17" spans="1:34">
      <c r="A17" s="1450" t="s">
        <v>153</v>
      </c>
      <c r="B17" s="1466">
        <f t="shared" ref="B17:C19" si="96">B16/(1+N16)</f>
        <v>374.90436113236416</v>
      </c>
      <c r="C17" s="1466">
        <f t="shared" si="96"/>
        <v>295.64366128242779</v>
      </c>
      <c r="D17" s="1466">
        <f t="shared" ref="D17:D76" si="97">C17</f>
        <v>295.64366128242779</v>
      </c>
      <c r="E17" s="1466">
        <f t="shared" ref="E17:F19" si="98">E16/(1+P16)</f>
        <v>525.06646410938095</v>
      </c>
      <c r="F17" s="1466">
        <f t="shared" si="98"/>
        <v>261.88835286009646</v>
      </c>
      <c r="G17" s="3367"/>
      <c r="H17" s="1453">
        <v>3</v>
      </c>
      <c r="I17" s="1453">
        <v>4.12</v>
      </c>
      <c r="J17" s="1453">
        <v>2</v>
      </c>
      <c r="K17" s="1453">
        <v>4.79</v>
      </c>
      <c r="L17" s="1467">
        <v>1.97</v>
      </c>
      <c r="N17" s="1461">
        <f t="shared" ref="N17:Q51" si="99">I17/100</f>
        <v>4.1200000000000001E-2</v>
      </c>
      <c r="O17" s="1462">
        <f t="shared" si="94"/>
        <v>0.02</v>
      </c>
      <c r="P17" s="1462">
        <f t="shared" si="94"/>
        <v>4.7899999999999998E-2</v>
      </c>
      <c r="Q17" s="1462">
        <f t="shared" si="94"/>
        <v>1.9699999999999999E-2</v>
      </c>
      <c r="R17" s="1463"/>
      <c r="S17" s="1461"/>
      <c r="T17" s="1462"/>
      <c r="U17" s="1462"/>
      <c r="V17" s="1462"/>
      <c r="X17" s="1448">
        <f>ROUND(SUMPRODUCT(PRODUCT(1+N17:N$26)),4)</f>
        <v>1.2184999999999999</v>
      </c>
      <c r="Y17" s="1448">
        <f>ROUND(SUMPRODUCT(PRODUCT(1+O17:O$26)),4)</f>
        <v>1.1494</v>
      </c>
      <c r="Z17" s="1448">
        <f t="shared" si="0"/>
        <v>1.1494</v>
      </c>
      <c r="AA17" s="1448">
        <f>ROUND(SUMPRODUCT(PRODUCT(1+P17:P$26)),4)</f>
        <v>1.2425999999999999</v>
      </c>
      <c r="AB17" s="1448">
        <f>ROUND(SUMPRODUCT(PRODUCT(1+Q17:Q$26)),4)</f>
        <v>1.1372</v>
      </c>
      <c r="AD17" s="1449">
        <f>ROUND(AVERAGE(I17:I$27)/100,4)</f>
        <v>2.0899999999999998E-2</v>
      </c>
      <c r="AE17" s="1449">
        <f>ROUND(AVERAGE(J17:J$27)/100,4)</f>
        <v>1.49E-2</v>
      </c>
      <c r="AF17" s="1449">
        <f t="shared" si="1"/>
        <v>1.49E-2</v>
      </c>
      <c r="AG17" s="1449">
        <f>ROUND(AVERAGE(K17:K$27)/100,4)</f>
        <v>2.3099999999999999E-2</v>
      </c>
      <c r="AH17" s="1449">
        <f>ROUND(AVERAGE(L17:L$27)/100,4)</f>
        <v>1.2999999999999999E-2</v>
      </c>
    </row>
    <row r="18" spans="1:34">
      <c r="A18" s="1450" t="s">
        <v>143</v>
      </c>
      <c r="B18" s="1466">
        <f t="shared" si="96"/>
        <v>360.06949782209392</v>
      </c>
      <c r="C18" s="1466">
        <f t="shared" si="96"/>
        <v>289.84672674747821</v>
      </c>
      <c r="D18" s="1466">
        <f t="shared" si="97"/>
        <v>289.84672674747821</v>
      </c>
      <c r="E18" s="1466">
        <f t="shared" si="98"/>
        <v>501.06543001181495</v>
      </c>
      <c r="F18" s="1466">
        <f t="shared" si="98"/>
        <v>256.82882500744967</v>
      </c>
      <c r="G18" s="3367"/>
      <c r="H18" s="1454">
        <v>2</v>
      </c>
      <c r="I18" s="1454">
        <v>3.85</v>
      </c>
      <c r="J18" s="1454">
        <v>1.95</v>
      </c>
      <c r="K18" s="1454">
        <v>4.4800000000000004</v>
      </c>
      <c r="L18" s="1468">
        <v>1.41</v>
      </c>
      <c r="N18" s="1461">
        <f t="shared" si="99"/>
        <v>3.85E-2</v>
      </c>
      <c r="O18" s="1462">
        <f t="shared" si="94"/>
        <v>1.95E-2</v>
      </c>
      <c r="P18" s="1462">
        <f t="shared" si="94"/>
        <v>4.4800000000000006E-2</v>
      </c>
      <c r="Q18" s="1462">
        <f t="shared" si="94"/>
        <v>1.41E-2</v>
      </c>
      <c r="R18" s="1463"/>
      <c r="S18" s="1461"/>
      <c r="T18" s="1462"/>
      <c r="U18" s="1462"/>
      <c r="V18" s="1462"/>
      <c r="X18" s="1448">
        <f>ROUND(SUMPRODUCT(PRODUCT(1+N18:N$26)),4)</f>
        <v>1.1702999999999999</v>
      </c>
      <c r="Y18" s="1448">
        <f>ROUND(SUMPRODUCT(PRODUCT(1+O18:O$26)),4)</f>
        <v>1.1269</v>
      </c>
      <c r="Z18" s="1448">
        <f t="shared" si="0"/>
        <v>1.1269</v>
      </c>
      <c r="AA18" s="1448">
        <f>ROUND(SUMPRODUCT(PRODUCT(1+P18:P$26)),4)</f>
        <v>1.1858</v>
      </c>
      <c r="AB18" s="1448">
        <f>ROUND(SUMPRODUCT(PRODUCT(1+Q18:Q$26)),4)</f>
        <v>1.1152</v>
      </c>
      <c r="AD18" s="1449">
        <f>ROUND(AVERAGE(I18:I$27)/100,4)</f>
        <v>1.89E-2</v>
      </c>
      <c r="AE18" s="1449">
        <f>ROUND(AVERAGE(J18:J$27)/100,4)</f>
        <v>1.44E-2</v>
      </c>
      <c r="AF18" s="1449">
        <f t="shared" si="1"/>
        <v>1.44E-2</v>
      </c>
      <c r="AG18" s="1449">
        <f>ROUND(AVERAGE(K18:K$27)/100,4)</f>
        <v>2.06E-2</v>
      </c>
      <c r="AH18" s="1449">
        <f>ROUND(AVERAGE(L18:L$27)/100,4)</f>
        <v>1.23E-2</v>
      </c>
    </row>
    <row r="19" spans="1:34" ht="13.5" thickBot="1">
      <c r="A19" s="1450" t="s">
        <v>152</v>
      </c>
      <c r="B19" s="1466">
        <f t="shared" si="96"/>
        <v>346.720748986128</v>
      </c>
      <c r="C19" s="1466">
        <f t="shared" si="96"/>
        <v>284.30282172386285</v>
      </c>
      <c r="D19" s="1466">
        <f t="shared" si="97"/>
        <v>284.30282172386285</v>
      </c>
      <c r="E19" s="1466">
        <f t="shared" si="98"/>
        <v>479.58023546306947</v>
      </c>
      <c r="F19" s="1466">
        <f t="shared" si="98"/>
        <v>253.25788877571213</v>
      </c>
      <c r="G19" s="3368"/>
      <c r="H19" s="1453">
        <v>1</v>
      </c>
      <c r="I19" s="1453">
        <v>4.09</v>
      </c>
      <c r="J19" s="1453">
        <v>2.93</v>
      </c>
      <c r="K19" s="1453">
        <v>4.54</v>
      </c>
      <c r="L19" s="1467">
        <v>1.48</v>
      </c>
      <c r="N19" s="1461">
        <f t="shared" si="99"/>
        <v>4.0899999999999999E-2</v>
      </c>
      <c r="O19" s="1462">
        <f t="shared" si="94"/>
        <v>2.9300000000000003E-2</v>
      </c>
      <c r="P19" s="1462">
        <f t="shared" si="94"/>
        <v>4.5400000000000003E-2</v>
      </c>
      <c r="Q19" s="1462">
        <f t="shared" si="94"/>
        <v>1.4800000000000001E-2</v>
      </c>
      <c r="R19" s="1463"/>
      <c r="S19" s="1469">
        <f>B19/B20-1</f>
        <v>4.1203450408792808E-2</v>
      </c>
      <c r="T19" s="1470">
        <f>C19/C20-1</f>
        <v>2.6363977342465095E-2</v>
      </c>
      <c r="U19" s="1470">
        <f>E19/E20-1</f>
        <v>4.4837114298626357E-2</v>
      </c>
      <c r="V19" s="1470">
        <f>F19/F20-1</f>
        <v>1.7099954922538574E-2</v>
      </c>
      <c r="X19" s="1448">
        <f>ROUND(SUMPRODUCT(PRODUCT(1+N19:N$26)),4)</f>
        <v>1.1269</v>
      </c>
      <c r="Y19" s="1448">
        <f>ROUND(SUMPRODUCT(PRODUCT(1+O19:O$26)),4)</f>
        <v>1.1052999999999999</v>
      </c>
      <c r="Z19" s="1448">
        <f t="shared" si="0"/>
        <v>1.1052999999999999</v>
      </c>
      <c r="AA19" s="1448">
        <f>ROUND(SUMPRODUCT(PRODUCT(1+P19:P$26)),4)</f>
        <v>1.1349</v>
      </c>
      <c r="AB19" s="1448">
        <f>ROUND(SUMPRODUCT(PRODUCT(1+Q19:Q$26)),4)</f>
        <v>1.0996999999999999</v>
      </c>
      <c r="AD19" s="1449">
        <f>ROUND(AVERAGE(I19:I$27)/100,4)</f>
        <v>1.67E-2</v>
      </c>
      <c r="AE19" s="1449">
        <f>ROUND(AVERAGE(J19:J$27)/100,4)</f>
        <v>1.38E-2</v>
      </c>
      <c r="AF19" s="1449">
        <f t="shared" si="1"/>
        <v>1.38E-2</v>
      </c>
      <c r="AG19" s="1449">
        <f>ROUND(AVERAGE(K19:K$27)/100,4)</f>
        <v>1.7899999999999999E-2</v>
      </c>
      <c r="AH19" s="1449">
        <f>ROUND(AVERAGE(L19:L$27)/100,4)</f>
        <v>1.21E-2</v>
      </c>
    </row>
    <row r="20" spans="1:34" ht="13.5" thickBot="1">
      <c r="A20" s="1450" t="s">
        <v>151</v>
      </c>
      <c r="B20" s="1458">
        <v>333</v>
      </c>
      <c r="C20" s="1458">
        <v>277</v>
      </c>
      <c r="D20" s="1458">
        <f t="shared" si="97"/>
        <v>277</v>
      </c>
      <c r="E20" s="1458">
        <v>459</v>
      </c>
      <c r="F20" s="1459">
        <v>249</v>
      </c>
      <c r="G20" s="3366">
        <v>2015</v>
      </c>
      <c r="H20" s="1471">
        <v>4</v>
      </c>
      <c r="I20" s="1471">
        <v>1.63</v>
      </c>
      <c r="J20" s="1471">
        <v>1.1100000000000001</v>
      </c>
      <c r="K20" s="1471">
        <v>1.77</v>
      </c>
      <c r="L20" s="1472">
        <v>1.89</v>
      </c>
      <c r="N20" s="1473">
        <f t="shared" si="99"/>
        <v>1.6299999999999999E-2</v>
      </c>
      <c r="O20" s="1474">
        <f t="shared" si="94"/>
        <v>1.11E-2</v>
      </c>
      <c r="P20" s="1474">
        <f t="shared" si="94"/>
        <v>1.77E-2</v>
      </c>
      <c r="Q20" s="1474">
        <f t="shared" si="94"/>
        <v>1.89E-2</v>
      </c>
      <c r="R20" s="1463"/>
      <c r="X20" s="1448">
        <f>ROUND(SUMPRODUCT(PRODUCT(1+N20:N$26)),4)</f>
        <v>1.0826</v>
      </c>
      <c r="Y20" s="1448">
        <f>ROUND(SUMPRODUCT(PRODUCT(1+O20:O$26)),4)</f>
        <v>1.0738000000000001</v>
      </c>
      <c r="Z20" s="1448">
        <f t="shared" si="0"/>
        <v>1.0738000000000001</v>
      </c>
      <c r="AA20" s="1448">
        <f>ROUND(SUMPRODUCT(PRODUCT(1+P20:P$26)),4)</f>
        <v>1.0855999999999999</v>
      </c>
      <c r="AB20" s="1448">
        <f>ROUND(SUMPRODUCT(PRODUCT(1+Q20:Q$26)),4)</f>
        <v>1.0837000000000001</v>
      </c>
      <c r="AD20" s="1449">
        <f>ROUND(AVERAGE(I20:I$27)/100,4)</f>
        <v>1.37E-2</v>
      </c>
      <c r="AE20" s="1449">
        <f>ROUND(AVERAGE(J20:J$27)/100,4)</f>
        <v>1.1900000000000001E-2</v>
      </c>
      <c r="AF20" s="1449">
        <f t="shared" si="1"/>
        <v>1.1900000000000001E-2</v>
      </c>
      <c r="AG20" s="1449">
        <f>ROUND(AVERAGE(K20:K$27)/100,4)</f>
        <v>1.4500000000000001E-2</v>
      </c>
      <c r="AH20" s="1449">
        <f>ROUND(AVERAGE(L20:L$27)/100,4)</f>
        <v>1.18E-2</v>
      </c>
    </row>
    <row r="21" spans="1:34">
      <c r="A21" s="1450" t="s">
        <v>150</v>
      </c>
      <c r="B21" s="1466">
        <f t="shared" ref="B21:C23" si="100">B20/(1+N20)</f>
        <v>327.65915576109415</v>
      </c>
      <c r="C21" s="1466">
        <f t="shared" si="100"/>
        <v>273.95905449510434</v>
      </c>
      <c r="D21" s="1466">
        <f t="shared" si="97"/>
        <v>273.95905449510434</v>
      </c>
      <c r="E21" s="1466">
        <f t="shared" ref="E21:F23" si="101">E20/(1+P20)</f>
        <v>451.01699911565294</v>
      </c>
      <c r="F21" s="1466">
        <f t="shared" si="101"/>
        <v>244.38119540681129</v>
      </c>
      <c r="G21" s="3367"/>
      <c r="H21" s="1476">
        <v>3</v>
      </c>
      <c r="I21" s="1476">
        <v>1.65</v>
      </c>
      <c r="J21" s="1476">
        <v>0.92</v>
      </c>
      <c r="K21" s="1476">
        <v>1.88</v>
      </c>
      <c r="L21" s="1477">
        <v>1.26</v>
      </c>
      <c r="N21" s="1461">
        <f t="shared" si="99"/>
        <v>1.6500000000000001E-2</v>
      </c>
      <c r="O21" s="1478">
        <f t="shared" si="94"/>
        <v>9.1999999999999998E-3</v>
      </c>
      <c r="P21" s="1478">
        <f t="shared" si="94"/>
        <v>1.8799999999999997E-2</v>
      </c>
      <c r="Q21" s="1478">
        <f t="shared" si="94"/>
        <v>1.26E-2</v>
      </c>
      <c r="R21" s="1463"/>
      <c r="S21" s="1461"/>
      <c r="T21" s="1462"/>
      <c r="U21" s="1462"/>
      <c r="V21" s="1462"/>
      <c r="X21" s="1448">
        <f>ROUND(SUMPRODUCT(PRODUCT(1+N21:N$26)),4)</f>
        <v>1.0651999999999999</v>
      </c>
      <c r="Y21" s="1448">
        <f>ROUND(SUMPRODUCT(PRODUCT(1+O21:O$26)),4)</f>
        <v>1.0621</v>
      </c>
      <c r="Z21" s="1448">
        <f t="shared" si="0"/>
        <v>1.0621</v>
      </c>
      <c r="AA21" s="1448">
        <f>ROUND(SUMPRODUCT(PRODUCT(1+P21:P$26)),4)</f>
        <v>1.0668</v>
      </c>
      <c r="AB21" s="1448">
        <f>ROUND(SUMPRODUCT(PRODUCT(1+Q21:Q$26)),4)</f>
        <v>1.0636000000000001</v>
      </c>
      <c r="AD21" s="1449">
        <f>ROUND(AVERAGE(I21:I$27)/100,4)</f>
        <v>1.3299999999999999E-2</v>
      </c>
      <c r="AE21" s="1449">
        <f>ROUND(AVERAGE(J21:J$27)/100,4)</f>
        <v>1.2E-2</v>
      </c>
      <c r="AF21" s="1449">
        <f t="shared" si="1"/>
        <v>1.2E-2</v>
      </c>
      <c r="AG21" s="1449">
        <f>ROUND(AVERAGE(K21:K$27)/100,4)</f>
        <v>1.4E-2</v>
      </c>
      <c r="AH21" s="1449">
        <f>ROUND(AVERAGE(L21:L$27)/100,4)</f>
        <v>1.0800000000000001E-2</v>
      </c>
    </row>
    <row r="22" spans="1:34">
      <c r="A22" s="1450" t="s">
        <v>149</v>
      </c>
      <c r="B22" s="1466">
        <f t="shared" si="100"/>
        <v>322.34053690220776</v>
      </c>
      <c r="C22" s="1466">
        <f t="shared" si="100"/>
        <v>271.46160770422546</v>
      </c>
      <c r="D22" s="1466">
        <f t="shared" si="97"/>
        <v>271.46160770422546</v>
      </c>
      <c r="E22" s="1466">
        <f t="shared" si="101"/>
        <v>442.69434542172456</v>
      </c>
      <c r="F22" s="1466">
        <f t="shared" si="101"/>
        <v>241.34030753190925</v>
      </c>
      <c r="G22" s="3367"/>
      <c r="H22" s="1454">
        <v>2</v>
      </c>
      <c r="I22" s="1454">
        <v>0.77</v>
      </c>
      <c r="J22" s="1454">
        <v>0.69</v>
      </c>
      <c r="K22" s="1454">
        <v>0.8</v>
      </c>
      <c r="L22" s="1468">
        <v>0.88</v>
      </c>
      <c r="N22" s="1461">
        <f t="shared" si="99"/>
        <v>7.7000000000000002E-3</v>
      </c>
      <c r="O22" s="1478">
        <f t="shared" si="94"/>
        <v>6.8999999999999999E-3</v>
      </c>
      <c r="P22" s="1478">
        <f t="shared" si="94"/>
        <v>8.0000000000000002E-3</v>
      </c>
      <c r="Q22" s="1478">
        <f t="shared" si="94"/>
        <v>8.8000000000000005E-3</v>
      </c>
      <c r="R22" s="1463"/>
      <c r="S22" s="1461"/>
      <c r="T22" s="1462"/>
      <c r="U22" s="1462"/>
      <c r="V22" s="1462"/>
      <c r="X22" s="1448">
        <f>ROUND(SUMPRODUCT(PRODUCT(1+N22:N$26)),4)</f>
        <v>1.048</v>
      </c>
      <c r="Y22" s="1448">
        <f>ROUND(SUMPRODUCT(PRODUCT(1+O22:O$26)),4)</f>
        <v>1.0524</v>
      </c>
      <c r="Z22" s="1448">
        <f t="shared" si="0"/>
        <v>1.0524</v>
      </c>
      <c r="AA22" s="1448">
        <f>ROUND(SUMPRODUCT(PRODUCT(1+P22:P$26)),4)</f>
        <v>1.0470999999999999</v>
      </c>
      <c r="AB22" s="1448">
        <f>ROUND(SUMPRODUCT(PRODUCT(1+Q22:Q$26)),4)</f>
        <v>1.0504</v>
      </c>
      <c r="AD22" s="1449">
        <f>ROUND(AVERAGE(I22:I$27)/100,4)</f>
        <v>1.2800000000000001E-2</v>
      </c>
      <c r="AE22" s="1449">
        <f>ROUND(AVERAGE(J22:J$27)/100,4)</f>
        <v>1.2500000000000001E-2</v>
      </c>
      <c r="AF22" s="1449">
        <f t="shared" si="1"/>
        <v>1.2500000000000001E-2</v>
      </c>
      <c r="AG22" s="1449">
        <f>ROUND(AVERAGE(K22:K$27)/100,4)</f>
        <v>1.32E-2</v>
      </c>
      <c r="AH22" s="1449">
        <f>ROUND(AVERAGE(L22:L$27)/100,4)</f>
        <v>1.0500000000000001E-2</v>
      </c>
    </row>
    <row r="23" spans="1:34">
      <c r="A23" s="1450" t="s">
        <v>148</v>
      </c>
      <c r="B23" s="1466">
        <f t="shared" si="100"/>
        <v>319.87748030386797</v>
      </c>
      <c r="C23" s="1466">
        <f t="shared" si="100"/>
        <v>269.60135833173649</v>
      </c>
      <c r="D23" s="1466">
        <f t="shared" si="97"/>
        <v>269.60135833173649</v>
      </c>
      <c r="E23" s="1466">
        <f t="shared" si="101"/>
        <v>439.18089823583784</v>
      </c>
      <c r="F23" s="1466">
        <f t="shared" si="101"/>
        <v>239.23503918706311</v>
      </c>
      <c r="G23" s="3368"/>
      <c r="H23" s="1453">
        <v>1</v>
      </c>
      <c r="I23" s="1453">
        <v>0.51</v>
      </c>
      <c r="J23" s="1453">
        <v>0.54</v>
      </c>
      <c r="K23" s="1453">
        <v>0.48</v>
      </c>
      <c r="L23" s="1467">
        <v>0.93</v>
      </c>
      <c r="N23" s="1469">
        <f t="shared" si="99"/>
        <v>5.1000000000000004E-3</v>
      </c>
      <c r="O23" s="1470">
        <f t="shared" si="94"/>
        <v>5.4000000000000003E-3</v>
      </c>
      <c r="P23" s="1470">
        <f t="shared" si="94"/>
        <v>4.7999999999999996E-3</v>
      </c>
      <c r="Q23" s="1470">
        <f t="shared" si="94"/>
        <v>9.300000000000001E-3</v>
      </c>
      <c r="R23" s="1463"/>
      <c r="S23" s="1469">
        <f>B23/B24-1</f>
        <v>5.9040261127922822E-3</v>
      </c>
      <c r="T23" s="1470">
        <f>C23/C24-1</f>
        <v>5.9752176557332781E-3</v>
      </c>
      <c r="U23" s="1470">
        <f>E23/E24-1</f>
        <v>4.9906138119859556E-3</v>
      </c>
      <c r="V23" s="1470">
        <f>F23/F24-1</f>
        <v>9.4305450930933787E-3</v>
      </c>
      <c r="X23" s="1448">
        <f>ROUND(SUMPRODUCT(PRODUCT(1+N23:N$26)),4)</f>
        <v>1.0399</v>
      </c>
      <c r="Y23" s="1448">
        <f>ROUND(SUMPRODUCT(PRODUCT(1+O23:O$26)),4)</f>
        <v>1.0451999999999999</v>
      </c>
      <c r="Z23" s="1448">
        <f t="shared" si="0"/>
        <v>1.0451999999999999</v>
      </c>
      <c r="AA23" s="1448">
        <f>ROUND(SUMPRODUCT(PRODUCT(1+P23:P$26)),4)</f>
        <v>1.0387999999999999</v>
      </c>
      <c r="AB23" s="1448">
        <f>ROUND(SUMPRODUCT(PRODUCT(1+Q23:Q$26)),4)</f>
        <v>1.0411999999999999</v>
      </c>
      <c r="AD23" s="1449">
        <f>ROUND(AVERAGE(I23:I$27)/100,4)</f>
        <v>1.38E-2</v>
      </c>
      <c r="AE23" s="1449">
        <f>ROUND(AVERAGE(J23:J$27)/100,4)</f>
        <v>1.3599999999999999E-2</v>
      </c>
      <c r="AF23" s="1449">
        <f t="shared" si="1"/>
        <v>1.3599999999999999E-2</v>
      </c>
      <c r="AG23" s="1449">
        <f>ROUND(AVERAGE(K23:K$27)/100,4)</f>
        <v>1.4200000000000001E-2</v>
      </c>
      <c r="AH23" s="1449">
        <f>ROUND(AVERAGE(L23:L$27)/100,4)</f>
        <v>1.0800000000000001E-2</v>
      </c>
    </row>
    <row r="24" spans="1:34" ht="13.5" thickBot="1">
      <c r="A24" s="1450" t="s">
        <v>147</v>
      </c>
      <c r="B24" s="1479">
        <v>318</v>
      </c>
      <c r="C24" s="1479">
        <v>268</v>
      </c>
      <c r="D24" s="1479">
        <f t="shared" si="97"/>
        <v>268</v>
      </c>
      <c r="E24" s="1479">
        <v>437</v>
      </c>
      <c r="F24" s="1480">
        <v>237</v>
      </c>
      <c r="G24" s="3366">
        <v>2014</v>
      </c>
      <c r="H24" s="1471">
        <v>4</v>
      </c>
      <c r="I24" s="1471">
        <v>0.21</v>
      </c>
      <c r="J24" s="1471">
        <v>0.41</v>
      </c>
      <c r="K24" s="1471">
        <v>0.12</v>
      </c>
      <c r="L24" s="1472">
        <v>0.89</v>
      </c>
      <c r="N24" s="1461">
        <f t="shared" si="99"/>
        <v>2.0999999999999999E-3</v>
      </c>
      <c r="O24" s="1462">
        <f t="shared" si="94"/>
        <v>4.0999999999999995E-3</v>
      </c>
      <c r="P24" s="1462">
        <f t="shared" si="94"/>
        <v>1.1999999999999999E-3</v>
      </c>
      <c r="Q24" s="1462">
        <f t="shared" si="94"/>
        <v>8.8999999999999999E-3</v>
      </c>
      <c r="R24" s="1463"/>
      <c r="S24" s="1464"/>
      <c r="T24" s="1465"/>
      <c r="U24" s="1465"/>
      <c r="V24" s="1465"/>
      <c r="X24" s="1448">
        <f>ROUND(SUMPRODUCT(PRODUCT(1+N24:N$26)),4)</f>
        <v>1.0347</v>
      </c>
      <c r="Y24" s="1448">
        <f>ROUND(SUMPRODUCT(PRODUCT(1+O24:O$26)),4)</f>
        <v>1.0395000000000001</v>
      </c>
      <c r="Z24" s="1448">
        <f t="shared" si="0"/>
        <v>1.0395000000000001</v>
      </c>
      <c r="AA24" s="1448">
        <f>ROUND(SUMPRODUCT(PRODUCT(1+P24:P$26)),4)</f>
        <v>1.0338000000000001</v>
      </c>
      <c r="AB24" s="1448">
        <f>ROUND(SUMPRODUCT(PRODUCT(1+Q24:Q$26)),4)</f>
        <v>1.0316000000000001</v>
      </c>
      <c r="AD24" s="1449">
        <f>ROUND(AVERAGE(I24:I$27)/100,4)</f>
        <v>1.6E-2</v>
      </c>
      <c r="AE24" s="1449">
        <f>ROUND(AVERAGE(J24:J$27)/100,4)</f>
        <v>1.5599999999999999E-2</v>
      </c>
      <c r="AF24" s="1449">
        <f t="shared" si="1"/>
        <v>1.5599999999999999E-2</v>
      </c>
      <c r="AG24" s="1449">
        <f>ROUND(AVERAGE(K24:K$27)/100,4)</f>
        <v>1.66E-2</v>
      </c>
      <c r="AH24" s="1449">
        <f>ROUND(AVERAGE(L24:L$27)/100,4)</f>
        <v>1.12E-2</v>
      </c>
    </row>
    <row r="25" spans="1:34">
      <c r="A25" s="1450" t="s">
        <v>146</v>
      </c>
      <c r="B25" s="1466">
        <f t="shared" ref="B25:C27" si="102">B24/(1+N24)</f>
        <v>317.33359944117353</v>
      </c>
      <c r="C25" s="1466">
        <f t="shared" si="102"/>
        <v>266.90568668459315</v>
      </c>
      <c r="D25" s="1466">
        <f t="shared" si="97"/>
        <v>266.90568668459315</v>
      </c>
      <c r="E25" s="1466">
        <f t="shared" ref="E25:F27" si="103">E24/(1+P24)</f>
        <v>436.47622852576905</v>
      </c>
      <c r="F25" s="1466">
        <f t="shared" si="103"/>
        <v>234.90930716622066</v>
      </c>
      <c r="G25" s="3367"/>
      <c r="H25" s="1481">
        <v>3</v>
      </c>
      <c r="I25" s="1481">
        <v>0.83</v>
      </c>
      <c r="J25" s="1481">
        <v>1.47</v>
      </c>
      <c r="K25" s="1481">
        <v>0.65</v>
      </c>
      <c r="L25" s="1482">
        <v>0.72</v>
      </c>
      <c r="N25" s="1461">
        <f t="shared" si="99"/>
        <v>8.3000000000000001E-3</v>
      </c>
      <c r="O25" s="1462">
        <f t="shared" si="94"/>
        <v>1.47E-2</v>
      </c>
      <c r="P25" s="1462">
        <f t="shared" si="94"/>
        <v>6.5000000000000006E-3</v>
      </c>
      <c r="Q25" s="1462">
        <f t="shared" si="94"/>
        <v>7.1999999999999998E-3</v>
      </c>
      <c r="R25" s="1463"/>
      <c r="S25" s="1461"/>
      <c r="T25" s="1462"/>
      <c r="U25" s="1462"/>
      <c r="V25" s="1462"/>
      <c r="X25" s="1448">
        <f>ROUND(SUMPRODUCT(PRODUCT(1+N25:N$26)),4)</f>
        <v>1.0325</v>
      </c>
      <c r="Y25" s="1448">
        <f>ROUND(SUMPRODUCT(PRODUCT(1+O25:O$26)),4)</f>
        <v>1.0353000000000001</v>
      </c>
      <c r="Z25" s="1448">
        <f t="shared" ref="Z25:Z26" si="104">Y25</f>
        <v>1.0353000000000001</v>
      </c>
      <c r="AA25" s="1448">
        <f>ROUND(SUMPRODUCT(PRODUCT(1+P25:P$26)),4)</f>
        <v>1.0326</v>
      </c>
      <c r="AB25" s="1448">
        <f>ROUND(SUMPRODUCT(PRODUCT(1+Q25:Q$26)),4)</f>
        <v>1.0225</v>
      </c>
      <c r="AD25" s="1449">
        <f>ROUND(AVERAGE(I25:I$27)/100,4)</f>
        <v>2.07E-2</v>
      </c>
      <c r="AE25" s="1449">
        <f>ROUND(AVERAGE(J25:J$27)/100,4)</f>
        <v>1.95E-2</v>
      </c>
      <c r="AF25" s="1449">
        <f t="shared" si="1"/>
        <v>1.95E-2</v>
      </c>
      <c r="AG25" s="1449">
        <f>ROUND(AVERAGE(K25:K$27)/100,4)</f>
        <v>2.1700000000000001E-2</v>
      </c>
      <c r="AH25" s="1449">
        <f>ROUND(AVERAGE(L25:L$27)/100,4)</f>
        <v>1.2E-2</v>
      </c>
    </row>
    <row r="26" spans="1:34" ht="13.5" thickBot="1">
      <c r="A26" s="1450" t="s">
        <v>145</v>
      </c>
      <c r="B26" s="1466">
        <f t="shared" si="102"/>
        <v>314.72141172386546</v>
      </c>
      <c r="C26" s="1466">
        <f t="shared" si="102"/>
        <v>263.03901319069001</v>
      </c>
      <c r="D26" s="1466">
        <f t="shared" si="97"/>
        <v>263.03901319069001</v>
      </c>
      <c r="E26" s="1466">
        <f t="shared" si="103"/>
        <v>433.65745506782821</v>
      </c>
      <c r="F26" s="1466">
        <f t="shared" si="103"/>
        <v>233.23005080045735</v>
      </c>
      <c r="G26" s="3367"/>
      <c r="H26" s="1471">
        <v>2</v>
      </c>
      <c r="I26" s="1471">
        <v>2.4</v>
      </c>
      <c r="J26" s="1471">
        <v>2.0299999999999998</v>
      </c>
      <c r="K26" s="1471">
        <v>2.59</v>
      </c>
      <c r="L26" s="1472">
        <v>1.52</v>
      </c>
      <c r="N26" s="1461">
        <f t="shared" si="99"/>
        <v>2.4E-2</v>
      </c>
      <c r="O26" s="1462">
        <f t="shared" si="94"/>
        <v>2.0299999999999999E-2</v>
      </c>
      <c r="P26" s="1462">
        <f t="shared" si="94"/>
        <v>2.5899999999999999E-2</v>
      </c>
      <c r="Q26" s="1462">
        <f t="shared" si="94"/>
        <v>1.52E-2</v>
      </c>
      <c r="R26" s="1463"/>
      <c r="S26" s="1461"/>
      <c r="T26" s="1462"/>
      <c r="U26" s="1462"/>
      <c r="V26" s="1462"/>
      <c r="X26" s="1448">
        <f>1+N26</f>
        <v>1.024</v>
      </c>
      <c r="Y26" s="1448">
        <f>1+O26</f>
        <v>1.0203</v>
      </c>
      <c r="Z26" s="1448">
        <f t="shared" si="104"/>
        <v>1.0203</v>
      </c>
      <c r="AA26" s="1448">
        <f>1+P26</f>
        <v>1.0259</v>
      </c>
      <c r="AB26" s="1448">
        <f>1+Q26</f>
        <v>1.0152000000000001</v>
      </c>
      <c r="AD26" s="1449">
        <f>ROUND(AVERAGE(I26:I$27)/100,4)</f>
        <v>2.69E-2</v>
      </c>
      <c r="AE26" s="1449">
        <f>ROUND(AVERAGE(J26:J$27)/100,4)</f>
        <v>2.1899999999999999E-2</v>
      </c>
      <c r="AF26" s="1449">
        <f t="shared" ref="AF26" si="105">AE26</f>
        <v>2.1899999999999999E-2</v>
      </c>
      <c r="AG26" s="1449">
        <f>ROUND(AVERAGE(K26:K$27)/100,4)</f>
        <v>2.9399999999999999E-2</v>
      </c>
      <c r="AH26" s="1449">
        <f>ROUND(AVERAGE(L26:L$27)/100,4)</f>
        <v>1.44E-2</v>
      </c>
    </row>
    <row r="27" spans="1:34" s="1487" customFormat="1" ht="13.5" thickBot="1">
      <c r="A27" s="1483" t="s">
        <v>144</v>
      </c>
      <c r="B27" s="1484">
        <f t="shared" si="102"/>
        <v>307.34512863658733</v>
      </c>
      <c r="C27" s="1484">
        <f t="shared" si="102"/>
        <v>257.80556031626975</v>
      </c>
      <c r="D27" s="1484">
        <f t="shared" si="97"/>
        <v>257.80556031626975</v>
      </c>
      <c r="E27" s="1484">
        <f t="shared" si="103"/>
        <v>422.70928459677179</v>
      </c>
      <c r="F27" s="1484">
        <f t="shared" si="103"/>
        <v>229.73803270336617</v>
      </c>
      <c r="G27" s="3368"/>
      <c r="H27" s="1485">
        <v>1</v>
      </c>
      <c r="I27" s="1485">
        <v>2.97</v>
      </c>
      <c r="J27" s="1485">
        <v>2.34</v>
      </c>
      <c r="K27" s="1485">
        <v>3.28</v>
      </c>
      <c r="L27" s="1486">
        <v>1.36</v>
      </c>
      <c r="N27" s="1488">
        <f t="shared" si="99"/>
        <v>2.9700000000000001E-2</v>
      </c>
      <c r="O27" s="1489">
        <f t="shared" si="94"/>
        <v>2.3399999999999997E-2</v>
      </c>
      <c r="P27" s="1489">
        <f t="shared" si="94"/>
        <v>3.2799999999999996E-2</v>
      </c>
      <c r="Q27" s="1489">
        <f t="shared" si="94"/>
        <v>1.3600000000000001E-2</v>
      </c>
      <c r="R27" s="1490"/>
      <c r="S27" s="1491">
        <f>B27/B28-1</f>
        <v>2.7910129219355539E-2</v>
      </c>
      <c r="T27" s="1492">
        <f>C27/C28-1</f>
        <v>2.3037937762975247E-2</v>
      </c>
      <c r="U27" s="1492">
        <f>E27/E28-1</f>
        <v>3.3519033243940788E-2</v>
      </c>
      <c r="V27" s="1492">
        <f>F27/F28-1</f>
        <v>1.2061818076502862E-2</v>
      </c>
      <c r="W27" s="1493" t="s">
        <v>1158</v>
      </c>
      <c r="X27" s="1494">
        <v>1</v>
      </c>
      <c r="Y27" s="1494">
        <v>1</v>
      </c>
      <c r="Z27" s="1494">
        <v>1</v>
      </c>
      <c r="AA27" s="1494">
        <v>1</v>
      </c>
      <c r="AB27" s="1494">
        <v>1</v>
      </c>
      <c r="AD27" s="1715">
        <f>I27/100</f>
        <v>2.9700000000000001E-2</v>
      </c>
      <c r="AE27" s="1715">
        <f>J27/100</f>
        <v>2.3399999999999997E-2</v>
      </c>
      <c r="AF27" s="1715">
        <f>AE27</f>
        <v>2.3399999999999997E-2</v>
      </c>
      <c r="AG27" s="1715">
        <f>K27/100</f>
        <v>3.2799999999999996E-2</v>
      </c>
      <c r="AH27" s="1715">
        <f>L27/100</f>
        <v>1.3600000000000001E-2</v>
      </c>
    </row>
    <row r="28" spans="1:34" ht="13.5" thickBot="1">
      <c r="A28" s="1450" t="s">
        <v>1159</v>
      </c>
      <c r="B28" s="1458">
        <v>299</v>
      </c>
      <c r="C28" s="1458">
        <v>252</v>
      </c>
      <c r="D28" s="1458">
        <f t="shared" si="97"/>
        <v>252</v>
      </c>
      <c r="E28" s="1458">
        <v>409</v>
      </c>
      <c r="F28" s="1459">
        <v>227</v>
      </c>
      <c r="G28" s="3373">
        <v>2013</v>
      </c>
      <c r="H28" s="1495">
        <v>4</v>
      </c>
      <c r="I28" s="1495">
        <v>1.83</v>
      </c>
      <c r="J28" s="1495">
        <v>1.68</v>
      </c>
      <c r="K28" s="1495">
        <v>1.97</v>
      </c>
      <c r="L28" s="1496">
        <v>0.87</v>
      </c>
      <c r="N28" s="1473">
        <f t="shared" si="99"/>
        <v>1.83E-2</v>
      </c>
      <c r="O28" s="1474">
        <f t="shared" si="94"/>
        <v>1.6799999999999999E-2</v>
      </c>
      <c r="P28" s="1474">
        <f t="shared" si="94"/>
        <v>1.9699999999999999E-2</v>
      </c>
      <c r="Q28" s="1474">
        <f t="shared" si="94"/>
        <v>8.6999999999999994E-3</v>
      </c>
      <c r="R28" s="1463"/>
      <c r="S28" s="1464"/>
      <c r="T28" s="1465"/>
      <c r="U28" s="1465"/>
      <c r="V28" s="1465"/>
      <c r="X28" s="1465"/>
      <c r="Y28" s="1465"/>
      <c r="Z28" s="1465"/>
    </row>
    <row r="29" spans="1:34">
      <c r="A29" s="1450" t="s">
        <v>1160</v>
      </c>
      <c r="B29" s="1466">
        <f t="shared" ref="B29:C31" si="106">B28/(1+N28)</f>
        <v>293.62663262299913</v>
      </c>
      <c r="C29" s="1466">
        <f t="shared" si="106"/>
        <v>247.83634933123525</v>
      </c>
      <c r="D29" s="1466">
        <f t="shared" si="97"/>
        <v>247.83634933123525</v>
      </c>
      <c r="E29" s="1466">
        <f t="shared" ref="E29:F31" si="107">E28/(1+P28)</f>
        <v>401.09836226341076</v>
      </c>
      <c r="F29" s="1466">
        <f t="shared" si="107"/>
        <v>225.04213343908003</v>
      </c>
      <c r="G29" s="3374"/>
      <c r="H29" s="1476">
        <v>3</v>
      </c>
      <c r="I29" s="1476">
        <v>1.86</v>
      </c>
      <c r="J29" s="1476">
        <v>1.72</v>
      </c>
      <c r="K29" s="1476">
        <v>1.98</v>
      </c>
      <c r="L29" s="1477">
        <v>0.88</v>
      </c>
      <c r="N29" s="1461">
        <f t="shared" si="99"/>
        <v>1.8600000000000002E-2</v>
      </c>
      <c r="O29" s="1478">
        <f t="shared" si="94"/>
        <v>1.72E-2</v>
      </c>
      <c r="P29" s="1478">
        <f t="shared" si="94"/>
        <v>1.9799999999999998E-2</v>
      </c>
      <c r="Q29" s="1478">
        <f t="shared" si="94"/>
        <v>8.8000000000000005E-3</v>
      </c>
      <c r="R29" s="1463"/>
      <c r="S29" s="1461"/>
      <c r="T29" s="1462"/>
      <c r="U29" s="1462"/>
      <c r="V29" s="1462"/>
    </row>
    <row r="30" spans="1:34">
      <c r="A30" s="1450" t="s">
        <v>1161</v>
      </c>
      <c r="B30" s="1466">
        <f t="shared" si="106"/>
        <v>288.2649053828776</v>
      </c>
      <c r="C30" s="1466">
        <f t="shared" si="106"/>
        <v>243.64564425013293</v>
      </c>
      <c r="D30" s="1466">
        <f t="shared" si="97"/>
        <v>243.64564425013293</v>
      </c>
      <c r="E30" s="1466">
        <f t="shared" si="107"/>
        <v>393.31080825986544</v>
      </c>
      <c r="F30" s="1466">
        <f t="shared" si="107"/>
        <v>223.07903790551154</v>
      </c>
      <c r="G30" s="3374"/>
      <c r="H30" s="1454">
        <v>2</v>
      </c>
      <c r="I30" s="1454">
        <v>2.04</v>
      </c>
      <c r="J30" s="1454">
        <v>2.33</v>
      </c>
      <c r="K30" s="1454">
        <v>2.0699999999999998</v>
      </c>
      <c r="L30" s="1468">
        <v>0.69</v>
      </c>
      <c r="N30" s="1461">
        <f t="shared" si="99"/>
        <v>2.0400000000000001E-2</v>
      </c>
      <c r="O30" s="1478">
        <f t="shared" si="94"/>
        <v>2.3300000000000001E-2</v>
      </c>
      <c r="P30" s="1478">
        <f t="shared" si="94"/>
        <v>2.07E-2</v>
      </c>
      <c r="Q30" s="1478">
        <f t="shared" si="94"/>
        <v>6.8999999999999999E-3</v>
      </c>
      <c r="R30" s="1463"/>
      <c r="S30" s="1461"/>
      <c r="T30" s="1462"/>
      <c r="U30" s="1462"/>
      <c r="V30" s="1462"/>
      <c r="X30" s="1497"/>
      <c r="Y30" s="1498"/>
    </row>
    <row r="31" spans="1:34">
      <c r="A31" s="1450" t="s">
        <v>1162</v>
      </c>
      <c r="B31" s="1466">
        <f t="shared" si="106"/>
        <v>282.50186729015837</v>
      </c>
      <c r="C31" s="1466">
        <f t="shared" si="106"/>
        <v>238.09796174155468</v>
      </c>
      <c r="D31" s="1466">
        <f t="shared" si="97"/>
        <v>238.09796174155468</v>
      </c>
      <c r="E31" s="1466">
        <f t="shared" si="107"/>
        <v>385.33438646014054</v>
      </c>
      <c r="F31" s="1466">
        <f t="shared" si="107"/>
        <v>221.55034055567739</v>
      </c>
      <c r="G31" s="3375"/>
      <c r="H31" s="1453">
        <v>1</v>
      </c>
      <c r="I31" s="1453">
        <v>1.67</v>
      </c>
      <c r="J31" s="1453">
        <v>1.31</v>
      </c>
      <c r="K31" s="1453">
        <v>1.85</v>
      </c>
      <c r="L31" s="1467">
        <v>0.96</v>
      </c>
      <c r="N31" s="1469">
        <f t="shared" si="99"/>
        <v>1.67E-2</v>
      </c>
      <c r="O31" s="1470">
        <f t="shared" si="99"/>
        <v>1.3100000000000001E-2</v>
      </c>
      <c r="P31" s="1470">
        <f t="shared" si="99"/>
        <v>1.8500000000000003E-2</v>
      </c>
      <c r="Q31" s="1470">
        <f t="shared" si="99"/>
        <v>9.5999999999999992E-3</v>
      </c>
      <c r="R31" s="1463"/>
      <c r="S31" s="1469">
        <f>B31/B32-1</f>
        <v>1.6193767230785472E-2</v>
      </c>
      <c r="T31" s="1470">
        <f>C31/C32-1</f>
        <v>1.7512657015190891E-2</v>
      </c>
      <c r="U31" s="1470">
        <f>E31/E32-1</f>
        <v>1.6713420739157048E-2</v>
      </c>
      <c r="V31" s="1470">
        <f>F31/F32-1</f>
        <v>7.0470025258062563E-3</v>
      </c>
      <c r="X31" s="1499"/>
      <c r="Y31" s="1449"/>
      <c r="Z31" s="1449"/>
    </row>
    <row r="32" spans="1:34" ht="13.5" thickBot="1">
      <c r="A32" s="1450" t="s">
        <v>1163</v>
      </c>
      <c r="B32" s="1500">
        <v>278</v>
      </c>
      <c r="C32" s="1500">
        <v>234</v>
      </c>
      <c r="D32" s="1500">
        <f t="shared" si="97"/>
        <v>234</v>
      </c>
      <c r="E32" s="1500">
        <v>379</v>
      </c>
      <c r="F32" s="1501">
        <v>220</v>
      </c>
      <c r="G32" s="3366">
        <v>2012</v>
      </c>
      <c r="H32" s="1471">
        <v>4</v>
      </c>
      <c r="I32" s="1471">
        <v>0.91</v>
      </c>
      <c r="J32" s="1471">
        <v>0.68</v>
      </c>
      <c r="K32" s="1471">
        <v>0.98</v>
      </c>
      <c r="L32" s="1472">
        <v>0.9</v>
      </c>
      <c r="N32" s="1461">
        <f t="shared" si="99"/>
        <v>9.1000000000000004E-3</v>
      </c>
      <c r="O32" s="1462">
        <f t="shared" si="99"/>
        <v>6.8000000000000005E-3</v>
      </c>
      <c r="P32" s="1462">
        <f t="shared" si="99"/>
        <v>9.7999999999999997E-3</v>
      </c>
      <c r="Q32" s="1462">
        <f t="shared" si="99"/>
        <v>9.0000000000000011E-3</v>
      </c>
      <c r="R32" s="1463"/>
      <c r="S32" s="1464"/>
      <c r="T32" s="1465"/>
      <c r="U32" s="1465"/>
      <c r="V32" s="1465"/>
      <c r="X32" s="1465"/>
      <c r="Y32" s="1465"/>
      <c r="Z32" s="1465"/>
    </row>
    <row r="33" spans="1:26">
      <c r="A33" s="1450" t="s">
        <v>1164</v>
      </c>
      <c r="B33" s="1466">
        <f>B32/(1+N32)</f>
        <v>275.49301357645425</v>
      </c>
      <c r="C33" s="1466">
        <f>C32/(1+O32)</f>
        <v>232.41954707985698</v>
      </c>
      <c r="D33" s="1466">
        <f t="shared" si="97"/>
        <v>232.41954707985698</v>
      </c>
      <c r="E33" s="1466">
        <f t="shared" ref="E33:F35" si="108">E32/(1+P32)</f>
        <v>375.32184591008121</v>
      </c>
      <c r="F33" s="1466">
        <f t="shared" si="108"/>
        <v>218.03766105054513</v>
      </c>
      <c r="G33" s="3367"/>
      <c r="H33" s="1476">
        <v>3</v>
      </c>
      <c r="I33" s="1476">
        <v>0.09</v>
      </c>
      <c r="J33" s="1476">
        <v>0.28999999999999998</v>
      </c>
      <c r="K33" s="1476">
        <v>-0.01</v>
      </c>
      <c r="L33" s="1477">
        <v>0.57999999999999996</v>
      </c>
      <c r="N33" s="1461">
        <f t="shared" si="99"/>
        <v>8.9999999999999998E-4</v>
      </c>
      <c r="O33" s="1462">
        <f t="shared" si="99"/>
        <v>2.8999999999999998E-3</v>
      </c>
      <c r="P33" s="1462">
        <f t="shared" si="99"/>
        <v>-1E-4</v>
      </c>
      <c r="Q33" s="1462">
        <f t="shared" si="99"/>
        <v>5.7999999999999996E-3</v>
      </c>
      <c r="R33" s="1463"/>
      <c r="S33" s="1461"/>
      <c r="T33" s="1462"/>
      <c r="U33" s="1462"/>
      <c r="V33" s="1462"/>
    </row>
    <row r="34" spans="1:26">
      <c r="A34" s="1450" t="s">
        <v>1165</v>
      </c>
      <c r="B34" s="1466">
        <f>B33/(1+N33)</f>
        <v>275.24529281292263</v>
      </c>
      <c r="C34" s="1466">
        <f>C33/(1+O33)</f>
        <v>231.74747938962707</v>
      </c>
      <c r="D34" s="1466">
        <f t="shared" si="97"/>
        <v>231.74747938962707</v>
      </c>
      <c r="E34" s="1466">
        <f t="shared" si="108"/>
        <v>375.35938184826603</v>
      </c>
      <c r="F34" s="1466">
        <f t="shared" si="108"/>
        <v>216.78033510692495</v>
      </c>
      <c r="G34" s="3367"/>
      <c r="H34" s="1454">
        <v>2</v>
      </c>
      <c r="I34" s="1454">
        <v>0.02</v>
      </c>
      <c r="J34" s="1454">
        <v>0.12</v>
      </c>
      <c r="K34" s="1454">
        <v>-0.08</v>
      </c>
      <c r="L34" s="1468">
        <v>1.24</v>
      </c>
      <c r="N34" s="1461">
        <f t="shared" si="99"/>
        <v>2.0000000000000001E-4</v>
      </c>
      <c r="O34" s="1462">
        <f t="shared" si="99"/>
        <v>1.1999999999999999E-3</v>
      </c>
      <c r="P34" s="1462">
        <f t="shared" si="99"/>
        <v>-8.0000000000000004E-4</v>
      </c>
      <c r="Q34" s="1462">
        <f t="shared" si="99"/>
        <v>1.24E-2</v>
      </c>
      <c r="R34" s="1463"/>
      <c r="S34" s="1461"/>
      <c r="T34" s="1462"/>
      <c r="U34" s="1462"/>
      <c r="V34" s="1462"/>
    </row>
    <row r="35" spans="1:26" ht="13.5" thickBot="1">
      <c r="A35" s="1450" t="s">
        <v>1166</v>
      </c>
      <c r="B35" s="1466">
        <f>B34/(1+N34)</f>
        <v>275.19025476197027</v>
      </c>
      <c r="C35" s="1502">
        <v>232</v>
      </c>
      <c r="D35" s="1502">
        <f t="shared" si="97"/>
        <v>232</v>
      </c>
      <c r="E35" s="1466">
        <f t="shared" si="108"/>
        <v>375.65990977608692</v>
      </c>
      <c r="F35" s="1466">
        <f t="shared" si="108"/>
        <v>214.12518283971252</v>
      </c>
      <c r="G35" s="3368"/>
      <c r="H35" s="1453">
        <v>1</v>
      </c>
      <c r="I35" s="1453">
        <v>0.02</v>
      </c>
      <c r="J35" s="1453">
        <v>0.13</v>
      </c>
      <c r="K35" s="1453">
        <v>-0.04</v>
      </c>
      <c r="L35" s="1467">
        <v>0.46</v>
      </c>
      <c r="N35" s="1461">
        <f t="shared" si="99"/>
        <v>2.0000000000000001E-4</v>
      </c>
      <c r="O35" s="1462">
        <f t="shared" si="99"/>
        <v>1.2999999999999999E-3</v>
      </c>
      <c r="P35" s="1462">
        <f t="shared" si="99"/>
        <v>-4.0000000000000002E-4</v>
      </c>
      <c r="Q35" s="1462">
        <f t="shared" si="99"/>
        <v>4.5999999999999999E-3</v>
      </c>
      <c r="R35" s="1463"/>
      <c r="S35" s="1469">
        <f>B35/B36-1</f>
        <v>6.9183549807361189E-4</v>
      </c>
      <c r="T35" s="1470">
        <f>C35/C36-1</f>
        <v>0</v>
      </c>
      <c r="U35" s="1470">
        <f>E35/E36-1</f>
        <v>-9.0449527636460303E-4</v>
      </c>
      <c r="V35" s="1470">
        <f>F35/F36-1</f>
        <v>5.2825485432512753E-3</v>
      </c>
      <c r="X35" s="1449"/>
      <c r="Y35" s="1449"/>
      <c r="Z35" s="1449"/>
    </row>
    <row r="36" spans="1:26" ht="13.5" thickBot="1">
      <c r="A36" s="1450" t="s">
        <v>1167</v>
      </c>
      <c r="B36" s="1458">
        <v>275</v>
      </c>
      <c r="C36" s="1458">
        <v>232</v>
      </c>
      <c r="D36" s="1458">
        <f t="shared" si="97"/>
        <v>232</v>
      </c>
      <c r="E36" s="1458">
        <v>376</v>
      </c>
      <c r="F36" s="1459">
        <v>213</v>
      </c>
      <c r="G36" s="3366">
        <v>2011</v>
      </c>
      <c r="H36" s="1471">
        <v>4</v>
      </c>
      <c r="I36" s="1471">
        <v>-0.2</v>
      </c>
      <c r="J36" s="1471">
        <v>0.04</v>
      </c>
      <c r="K36" s="1471">
        <v>-0.34</v>
      </c>
      <c r="L36" s="1472">
        <v>0.46</v>
      </c>
      <c r="N36" s="1473">
        <f t="shared" si="99"/>
        <v>-2E-3</v>
      </c>
      <c r="O36" s="1474">
        <f t="shared" si="99"/>
        <v>4.0000000000000002E-4</v>
      </c>
      <c r="P36" s="1474">
        <f t="shared" si="99"/>
        <v>-3.4000000000000002E-3</v>
      </c>
      <c r="Q36" s="1474">
        <f t="shared" si="99"/>
        <v>4.5999999999999999E-3</v>
      </c>
      <c r="R36" s="1463"/>
      <c r="S36" s="1464"/>
      <c r="T36" s="1465"/>
      <c r="U36" s="1465"/>
      <c r="V36" s="1465"/>
      <c r="X36" s="1465"/>
      <c r="Y36" s="1465"/>
      <c r="Z36" s="1465"/>
    </row>
    <row r="37" spans="1:26">
      <c r="A37" s="1450" t="s">
        <v>1168</v>
      </c>
      <c r="B37" s="1466">
        <f t="shared" ref="B37:C39" si="109">B36/(1+N36)</f>
        <v>275.55110220440883</v>
      </c>
      <c r="C37" s="1466">
        <f t="shared" si="109"/>
        <v>231.90723710515795</v>
      </c>
      <c r="D37" s="1466">
        <f t="shared" si="97"/>
        <v>231.90723710515795</v>
      </c>
      <c r="E37" s="1466">
        <f t="shared" ref="E37:F39" si="110">E36/(1+P36)</f>
        <v>377.28276138872161</v>
      </c>
      <c r="F37" s="1466">
        <f t="shared" si="110"/>
        <v>212.02468644236512</v>
      </c>
      <c r="G37" s="3367">
        <v>2011</v>
      </c>
      <c r="H37" s="1476">
        <v>3</v>
      </c>
      <c r="I37" s="1476">
        <v>0.13</v>
      </c>
      <c r="J37" s="1476">
        <v>0.75</v>
      </c>
      <c r="K37" s="1476">
        <v>-0.08</v>
      </c>
      <c r="L37" s="1477">
        <v>0.53</v>
      </c>
      <c r="N37" s="1461">
        <f t="shared" si="99"/>
        <v>1.2999999999999999E-3</v>
      </c>
      <c r="O37" s="1478">
        <f t="shared" si="99"/>
        <v>7.4999999999999997E-3</v>
      </c>
      <c r="P37" s="1478">
        <f t="shared" si="99"/>
        <v>-8.0000000000000004E-4</v>
      </c>
      <c r="Q37" s="1478">
        <f t="shared" si="99"/>
        <v>5.3E-3</v>
      </c>
      <c r="R37" s="1463"/>
      <c r="S37" s="1461"/>
      <c r="T37" s="1462"/>
      <c r="U37" s="1462"/>
      <c r="V37" s="1462"/>
    </row>
    <row r="38" spans="1:26">
      <c r="A38" s="1450" t="s">
        <v>1169</v>
      </c>
      <c r="B38" s="1466">
        <f t="shared" si="109"/>
        <v>275.19335084830601</v>
      </c>
      <c r="C38" s="1466">
        <f t="shared" si="109"/>
        <v>230.18088050139744</v>
      </c>
      <c r="D38" s="1466">
        <f t="shared" si="97"/>
        <v>230.18088050139744</v>
      </c>
      <c r="E38" s="1466">
        <f t="shared" si="110"/>
        <v>377.58482925212331</v>
      </c>
      <c r="F38" s="1466">
        <f t="shared" si="110"/>
        <v>210.90687997847917</v>
      </c>
      <c r="G38" s="3367">
        <v>2011</v>
      </c>
      <c r="H38" s="1454">
        <v>2</v>
      </c>
      <c r="I38" s="1454">
        <v>-0.4</v>
      </c>
      <c r="J38" s="1454">
        <v>0.17</v>
      </c>
      <c r="K38" s="1454">
        <v>-0.57999999999999996</v>
      </c>
      <c r="L38" s="1468">
        <v>-0.2</v>
      </c>
      <c r="N38" s="1461">
        <f t="shared" si="99"/>
        <v>-4.0000000000000001E-3</v>
      </c>
      <c r="O38" s="1478">
        <f t="shared" si="99"/>
        <v>1.7000000000000001E-3</v>
      </c>
      <c r="P38" s="1478">
        <f t="shared" si="99"/>
        <v>-5.7999999999999996E-3</v>
      </c>
      <c r="Q38" s="1478">
        <f t="shared" si="99"/>
        <v>-2E-3</v>
      </c>
      <c r="R38" s="1463"/>
      <c r="S38" s="1461"/>
      <c r="T38" s="1462"/>
      <c r="U38" s="1462"/>
      <c r="V38" s="1462"/>
    </row>
    <row r="39" spans="1:26" ht="13.5" thickBot="1">
      <c r="A39" s="1450" t="s">
        <v>1170</v>
      </c>
      <c r="B39" s="1466">
        <f t="shared" si="109"/>
        <v>276.29854502841971</v>
      </c>
      <c r="C39" s="1466">
        <f t="shared" si="109"/>
        <v>229.79023709833027</v>
      </c>
      <c r="D39" s="1466">
        <f t="shared" si="97"/>
        <v>229.79023709833027</v>
      </c>
      <c r="E39" s="1466">
        <f t="shared" si="110"/>
        <v>379.78759731655936</v>
      </c>
      <c r="F39" s="1466">
        <f t="shared" si="110"/>
        <v>211.32953905659235</v>
      </c>
      <c r="G39" s="3368">
        <v>2011</v>
      </c>
      <c r="H39" s="1453">
        <v>1</v>
      </c>
      <c r="I39" s="1453">
        <v>2.65</v>
      </c>
      <c r="J39" s="1453">
        <v>3.76</v>
      </c>
      <c r="K39" s="1453">
        <v>1.89</v>
      </c>
      <c r="L39" s="1467">
        <v>7.95</v>
      </c>
      <c r="N39" s="1469">
        <f t="shared" si="99"/>
        <v>2.6499999999999999E-2</v>
      </c>
      <c r="O39" s="1470">
        <f t="shared" si="99"/>
        <v>3.7599999999999995E-2</v>
      </c>
      <c r="P39" s="1470">
        <f t="shared" si="99"/>
        <v>1.89E-2</v>
      </c>
      <c r="Q39" s="1470">
        <f t="shared" si="99"/>
        <v>7.9500000000000001E-2</v>
      </c>
      <c r="R39" s="1463"/>
      <c r="S39" s="1469">
        <f>B39/B40-1</f>
        <v>2.713213765211786E-2</v>
      </c>
      <c r="T39" s="1470">
        <f>C39/C40-1</f>
        <v>3.9774828499231862E-2</v>
      </c>
      <c r="U39" s="1470">
        <f>E39/E40-1</f>
        <v>1.8197311840641772E-2</v>
      </c>
      <c r="V39" s="1470">
        <f>F39/F40-1</f>
        <v>7.8211933962205826E-2</v>
      </c>
      <c r="X39" s="1449"/>
      <c r="Y39" s="1449"/>
      <c r="Z39" s="1449"/>
    </row>
    <row r="40" spans="1:26" ht="13.5" thickBot="1">
      <c r="A40" s="1450" t="s">
        <v>1171</v>
      </c>
      <c r="B40" s="1458">
        <v>269</v>
      </c>
      <c r="C40" s="1458">
        <v>221</v>
      </c>
      <c r="D40" s="1458">
        <f t="shared" si="97"/>
        <v>221</v>
      </c>
      <c r="E40" s="1458">
        <v>373</v>
      </c>
      <c r="F40" s="1459">
        <v>196</v>
      </c>
      <c r="G40" s="3366">
        <v>2010</v>
      </c>
      <c r="H40" s="1471">
        <v>4</v>
      </c>
      <c r="I40" s="1471">
        <v>5.72</v>
      </c>
      <c r="J40" s="1471">
        <v>6.57</v>
      </c>
      <c r="K40" s="1471">
        <v>5.72</v>
      </c>
      <c r="L40" s="1472">
        <v>2.72</v>
      </c>
      <c r="N40" s="1461">
        <f t="shared" si="99"/>
        <v>5.7200000000000001E-2</v>
      </c>
      <c r="O40" s="1462">
        <f t="shared" si="99"/>
        <v>6.5700000000000008E-2</v>
      </c>
      <c r="P40" s="1462">
        <f t="shared" si="99"/>
        <v>5.7200000000000001E-2</v>
      </c>
      <c r="Q40" s="1462">
        <f t="shared" si="99"/>
        <v>2.7200000000000002E-2</v>
      </c>
      <c r="R40" s="1463"/>
      <c r="S40" s="1464"/>
      <c r="T40" s="1465"/>
      <c r="U40" s="1465"/>
      <c r="V40" s="1465"/>
      <c r="X40" s="1465"/>
      <c r="Y40" s="1465"/>
      <c r="Z40" s="1465"/>
    </row>
    <row r="41" spans="1:26">
      <c r="A41" s="1450" t="s">
        <v>1172</v>
      </c>
      <c r="B41" s="1466">
        <f t="shared" ref="B41:C43" si="111">B40/(1+N40)</f>
        <v>254.44570563753314</v>
      </c>
      <c r="C41" s="1466">
        <f t="shared" si="111"/>
        <v>207.37543398705074</v>
      </c>
      <c r="D41" s="1466">
        <f t="shared" si="97"/>
        <v>207.37543398705074</v>
      </c>
      <c r="E41" s="1466">
        <f t="shared" ref="E41:F43" si="112">E40/(1+P40)</f>
        <v>352.81876655315932</v>
      </c>
      <c r="F41" s="1466">
        <f t="shared" si="112"/>
        <v>190.809968847352</v>
      </c>
      <c r="G41" s="3367">
        <v>2010</v>
      </c>
      <c r="H41" s="1476">
        <v>3</v>
      </c>
      <c r="I41" s="1476">
        <v>4.7300000000000004</v>
      </c>
      <c r="J41" s="1476">
        <v>3.9</v>
      </c>
      <c r="K41" s="1476">
        <v>5.03</v>
      </c>
      <c r="L41" s="1477">
        <v>4.21</v>
      </c>
      <c r="N41" s="1461">
        <f t="shared" si="99"/>
        <v>4.7300000000000002E-2</v>
      </c>
      <c r="O41" s="1462">
        <f t="shared" si="99"/>
        <v>3.9E-2</v>
      </c>
      <c r="P41" s="1462">
        <f t="shared" si="99"/>
        <v>5.0300000000000004E-2</v>
      </c>
      <c r="Q41" s="1462">
        <f t="shared" si="99"/>
        <v>4.2099999999999999E-2</v>
      </c>
      <c r="R41" s="1463"/>
      <c r="S41" s="1461"/>
      <c r="T41" s="1462"/>
      <c r="U41" s="1462"/>
      <c r="V41" s="1462"/>
    </row>
    <row r="42" spans="1:26">
      <c r="A42" s="1450" t="s">
        <v>1173</v>
      </c>
      <c r="B42" s="1466">
        <f t="shared" si="111"/>
        <v>242.95398227588385</v>
      </c>
      <c r="C42" s="1466">
        <f t="shared" si="111"/>
        <v>199.59137053614126</v>
      </c>
      <c r="D42" s="1466">
        <f t="shared" si="97"/>
        <v>199.59137053614126</v>
      </c>
      <c r="E42" s="1466">
        <f t="shared" si="112"/>
        <v>335.92189522342125</v>
      </c>
      <c r="F42" s="1466">
        <f t="shared" si="112"/>
        <v>183.10139991109489</v>
      </c>
      <c r="G42" s="3367">
        <v>2010</v>
      </c>
      <c r="H42" s="1454">
        <v>2</v>
      </c>
      <c r="I42" s="1454">
        <v>4.6900000000000004</v>
      </c>
      <c r="J42" s="1454">
        <v>3.55</v>
      </c>
      <c r="K42" s="1454">
        <v>5.07</v>
      </c>
      <c r="L42" s="1468">
        <v>4.2300000000000004</v>
      </c>
      <c r="N42" s="1461">
        <f t="shared" si="99"/>
        <v>4.6900000000000004E-2</v>
      </c>
      <c r="O42" s="1462">
        <f t="shared" si="99"/>
        <v>3.5499999999999997E-2</v>
      </c>
      <c r="P42" s="1462">
        <f t="shared" si="99"/>
        <v>5.0700000000000002E-2</v>
      </c>
      <c r="Q42" s="1462">
        <f t="shared" si="99"/>
        <v>4.2300000000000004E-2</v>
      </c>
      <c r="R42" s="1463"/>
      <c r="S42" s="1461"/>
      <c r="T42" s="1462"/>
      <c r="U42" s="1462"/>
      <c r="V42" s="1462"/>
    </row>
    <row r="43" spans="1:26" ht="13.5" thickBot="1">
      <c r="A43" s="1450" t="s">
        <v>1174</v>
      </c>
      <c r="B43" s="1466">
        <f t="shared" si="111"/>
        <v>232.06990378821649</v>
      </c>
      <c r="C43" s="1466">
        <f t="shared" si="111"/>
        <v>192.74878854286936</v>
      </c>
      <c r="D43" s="1466">
        <f t="shared" si="97"/>
        <v>192.74878854286936</v>
      </c>
      <c r="E43" s="1466">
        <f t="shared" si="112"/>
        <v>319.71247284992984</v>
      </c>
      <c r="F43" s="1466">
        <f t="shared" si="112"/>
        <v>175.67053622862409</v>
      </c>
      <c r="G43" s="3368">
        <v>2010</v>
      </c>
      <c r="H43" s="1453">
        <v>1</v>
      </c>
      <c r="I43" s="1453">
        <v>5.4</v>
      </c>
      <c r="J43" s="1453">
        <v>3.2</v>
      </c>
      <c r="K43" s="1453">
        <v>6.16</v>
      </c>
      <c r="L43" s="1467">
        <v>4.51</v>
      </c>
      <c r="N43" s="1461">
        <f t="shared" si="99"/>
        <v>5.4000000000000006E-2</v>
      </c>
      <c r="O43" s="1462">
        <f t="shared" si="99"/>
        <v>3.2000000000000001E-2</v>
      </c>
      <c r="P43" s="1462">
        <f t="shared" si="99"/>
        <v>6.1600000000000002E-2</v>
      </c>
      <c r="Q43" s="1462">
        <f t="shared" si="99"/>
        <v>4.5100000000000001E-2</v>
      </c>
      <c r="R43" s="1463"/>
      <c r="S43" s="1469">
        <f>B43/B44-1</f>
        <v>5.4863199037347599E-2</v>
      </c>
      <c r="T43" s="1470">
        <f>C43/C44-1</f>
        <v>3.0742184721226584E-2</v>
      </c>
      <c r="U43" s="1470">
        <f>E43/E44-1</f>
        <v>6.2167683886810154E-2</v>
      </c>
      <c r="V43" s="1470">
        <f>F43/F44-1</f>
        <v>4.5657953741810031E-2</v>
      </c>
      <c r="X43" s="1449"/>
      <c r="Y43" s="1449"/>
      <c r="Z43" s="1449"/>
    </row>
    <row r="44" spans="1:26" ht="13.5" thickBot="1">
      <c r="A44" s="1450" t="s">
        <v>1175</v>
      </c>
      <c r="B44" s="1458">
        <v>220</v>
      </c>
      <c r="C44" s="1458">
        <v>187</v>
      </c>
      <c r="D44" s="1458">
        <f t="shared" si="97"/>
        <v>187</v>
      </c>
      <c r="E44" s="1458">
        <v>301</v>
      </c>
      <c r="F44" s="1459">
        <v>168</v>
      </c>
      <c r="G44" s="3366">
        <v>2009</v>
      </c>
      <c r="H44" s="1471">
        <v>4</v>
      </c>
      <c r="I44" s="1471">
        <v>2.2999999999999998</v>
      </c>
      <c r="J44" s="1471">
        <v>1.04</v>
      </c>
      <c r="K44" s="1471">
        <v>2.84</v>
      </c>
      <c r="L44" s="1472">
        <v>0.67</v>
      </c>
      <c r="N44" s="1473">
        <f t="shared" si="99"/>
        <v>2.3E-2</v>
      </c>
      <c r="O44" s="1474">
        <f t="shared" si="99"/>
        <v>1.04E-2</v>
      </c>
      <c r="P44" s="1474">
        <f t="shared" si="99"/>
        <v>2.8399999999999998E-2</v>
      </c>
      <c r="Q44" s="1474">
        <f t="shared" si="99"/>
        <v>6.7000000000000002E-3</v>
      </c>
      <c r="R44" s="1463"/>
      <c r="S44" s="1464"/>
      <c r="T44" s="1465"/>
      <c r="U44" s="1465"/>
      <c r="V44" s="1465"/>
      <c r="X44" s="1465"/>
      <c r="Y44" s="1465"/>
      <c r="Z44" s="1465"/>
    </row>
    <row r="45" spans="1:26">
      <c r="A45" s="1450" t="s">
        <v>1176</v>
      </c>
      <c r="B45" s="1466">
        <f t="shared" ref="B45:C47" si="113">B44/(1+N44)</f>
        <v>215.05376344086022</v>
      </c>
      <c r="C45" s="1466">
        <f t="shared" si="113"/>
        <v>185.0752177355503</v>
      </c>
      <c r="D45" s="1466">
        <f t="shared" si="97"/>
        <v>185.0752177355503</v>
      </c>
      <c r="E45" s="1466">
        <f t="shared" ref="E45:F47" si="114">E44/(1+P44)</f>
        <v>292.68767016725008</v>
      </c>
      <c r="F45" s="1466">
        <f t="shared" si="114"/>
        <v>166.88189132810174</v>
      </c>
      <c r="G45" s="3367">
        <v>2009</v>
      </c>
      <c r="H45" s="1476">
        <v>3</v>
      </c>
      <c r="I45" s="1476">
        <v>2.1</v>
      </c>
      <c r="J45" s="1476">
        <v>1.86</v>
      </c>
      <c r="K45" s="1476">
        <v>2.29</v>
      </c>
      <c r="L45" s="1477">
        <v>0.85</v>
      </c>
      <c r="N45" s="1461">
        <f t="shared" si="99"/>
        <v>2.1000000000000001E-2</v>
      </c>
      <c r="O45" s="1478">
        <f t="shared" si="99"/>
        <v>1.8600000000000002E-2</v>
      </c>
      <c r="P45" s="1478">
        <f t="shared" si="99"/>
        <v>2.29E-2</v>
      </c>
      <c r="Q45" s="1478">
        <f t="shared" si="99"/>
        <v>8.5000000000000006E-3</v>
      </c>
      <c r="R45" s="1463"/>
      <c r="S45" s="1461"/>
      <c r="T45" s="1462"/>
      <c r="U45" s="1462"/>
      <c r="V45" s="1462"/>
    </row>
    <row r="46" spans="1:26">
      <c r="A46" s="1450" t="s">
        <v>1177</v>
      </c>
      <c r="B46" s="1466">
        <f t="shared" si="113"/>
        <v>210.630522469011</v>
      </c>
      <c r="C46" s="1466">
        <f t="shared" si="113"/>
        <v>181.69567812247232</v>
      </c>
      <c r="D46" s="1466">
        <f t="shared" si="97"/>
        <v>181.69567812247232</v>
      </c>
      <c r="E46" s="1466">
        <f t="shared" si="114"/>
        <v>286.13517466736738</v>
      </c>
      <c r="F46" s="1466">
        <f t="shared" si="114"/>
        <v>165.47535084591149</v>
      </c>
      <c r="G46" s="3367">
        <v>2009</v>
      </c>
      <c r="H46" s="1454">
        <v>2</v>
      </c>
      <c r="I46" s="1454">
        <v>0.86</v>
      </c>
      <c r="J46" s="1454">
        <v>-1.1299999999999999</v>
      </c>
      <c r="K46" s="1454">
        <v>1.79</v>
      </c>
      <c r="L46" s="1468">
        <v>-2.0699999999999998</v>
      </c>
      <c r="N46" s="1461">
        <f t="shared" si="99"/>
        <v>8.6E-3</v>
      </c>
      <c r="O46" s="1478">
        <f t="shared" si="99"/>
        <v>-1.1299999999999999E-2</v>
      </c>
      <c r="P46" s="1478">
        <f t="shared" si="99"/>
        <v>1.7899999999999999E-2</v>
      </c>
      <c r="Q46" s="1478">
        <f t="shared" si="99"/>
        <v>-2.07E-2</v>
      </c>
      <c r="R46" s="1463"/>
      <c r="S46" s="1461"/>
      <c r="T46" s="1462"/>
      <c r="U46" s="1462"/>
      <c r="V46" s="1462"/>
    </row>
    <row r="47" spans="1:26">
      <c r="A47" s="1450" t="s">
        <v>1178</v>
      </c>
      <c r="B47" s="1466">
        <f t="shared" si="113"/>
        <v>208.83454537875372</v>
      </c>
      <c r="C47" s="1466">
        <f t="shared" si="113"/>
        <v>183.77230517090351</v>
      </c>
      <c r="D47" s="1466">
        <f t="shared" si="97"/>
        <v>183.77230517090351</v>
      </c>
      <c r="E47" s="1466">
        <f t="shared" si="114"/>
        <v>281.10342338870947</v>
      </c>
      <c r="F47" s="1466">
        <f t="shared" si="114"/>
        <v>168.97309388942256</v>
      </c>
      <c r="G47" s="3368">
        <v>2009</v>
      </c>
      <c r="H47" s="1453">
        <v>1</v>
      </c>
      <c r="I47" s="1453">
        <v>-2.64</v>
      </c>
      <c r="J47" s="1453">
        <v>-2.5299999999999998</v>
      </c>
      <c r="K47" s="1453">
        <v>-3.02</v>
      </c>
      <c r="L47" s="1467">
        <v>1.52</v>
      </c>
      <c r="N47" s="1469">
        <f t="shared" si="99"/>
        <v>-2.64E-2</v>
      </c>
      <c r="O47" s="1470">
        <f t="shared" si="99"/>
        <v>-2.53E-2</v>
      </c>
      <c r="P47" s="1470">
        <f t="shared" si="99"/>
        <v>-3.0200000000000001E-2</v>
      </c>
      <c r="Q47" s="1470">
        <f t="shared" si="99"/>
        <v>1.52E-2</v>
      </c>
      <c r="R47" s="1463"/>
      <c r="S47" s="1469">
        <f>B47/B48-1</f>
        <v>-2.4137638417038754E-2</v>
      </c>
      <c r="T47" s="1470">
        <f>C47/C48-1</f>
        <v>-2.248773845264096E-2</v>
      </c>
      <c r="U47" s="1470">
        <f>E47/E48-1</f>
        <v>-2.7323794502735366E-2</v>
      </c>
      <c r="V47" s="1470">
        <f>F47/F48-1</f>
        <v>1.7910204153148035E-2</v>
      </c>
      <c r="X47" s="1449"/>
      <c r="Y47" s="1449"/>
      <c r="Z47" s="1449"/>
    </row>
    <row r="48" spans="1:26" ht="13.5" thickBot="1">
      <c r="A48" s="1450" t="s">
        <v>1179</v>
      </c>
      <c r="B48" s="1500">
        <v>214</v>
      </c>
      <c r="C48" s="1500">
        <v>188</v>
      </c>
      <c r="D48" s="1500">
        <f t="shared" si="97"/>
        <v>188</v>
      </c>
      <c r="E48" s="1500">
        <v>289</v>
      </c>
      <c r="F48" s="1501">
        <v>166</v>
      </c>
      <c r="G48" s="3366">
        <v>2008</v>
      </c>
      <c r="H48" s="1471">
        <v>4</v>
      </c>
      <c r="I48" s="1471">
        <v>1.73</v>
      </c>
      <c r="J48" s="1471">
        <v>0.03</v>
      </c>
      <c r="K48" s="1471">
        <v>2.59</v>
      </c>
      <c r="L48" s="1472">
        <v>-1.66</v>
      </c>
      <c r="N48" s="1461">
        <f t="shared" si="99"/>
        <v>1.7299999999999999E-2</v>
      </c>
      <c r="O48" s="1462">
        <f t="shared" si="99"/>
        <v>2.9999999999999997E-4</v>
      </c>
      <c r="P48" s="1462">
        <f t="shared" si="99"/>
        <v>2.5899999999999999E-2</v>
      </c>
      <c r="Q48" s="1462">
        <f t="shared" si="99"/>
        <v>-1.66E-2</v>
      </c>
      <c r="R48" s="1463"/>
      <c r="S48" s="1464"/>
      <c r="T48" s="1465"/>
      <c r="U48" s="1465"/>
      <c r="V48" s="1465"/>
      <c r="X48" s="1465"/>
      <c r="Y48" s="1465"/>
      <c r="Z48" s="1465"/>
    </row>
    <row r="49" spans="1:26">
      <c r="A49" s="1450" t="s">
        <v>1180</v>
      </c>
      <c r="B49" s="1466">
        <f t="shared" ref="B49:C51" si="115">B48/(1+N48)</f>
        <v>210.36075887152265</v>
      </c>
      <c r="C49" s="1466">
        <f t="shared" si="115"/>
        <v>187.94361691492554</v>
      </c>
      <c r="D49" s="1466">
        <f t="shared" si="97"/>
        <v>187.94361691492554</v>
      </c>
      <c r="E49" s="1466">
        <f t="shared" ref="E49:F51" si="116">E48/(1+P48)</f>
        <v>281.70386977288234</v>
      </c>
      <c r="F49" s="1466">
        <f t="shared" si="116"/>
        <v>168.80211511083994</v>
      </c>
      <c r="G49" s="3367">
        <v>2008</v>
      </c>
      <c r="H49" s="1476">
        <v>3</v>
      </c>
      <c r="I49" s="1476">
        <v>1.96</v>
      </c>
      <c r="J49" s="1476">
        <v>2.36</v>
      </c>
      <c r="K49" s="1476">
        <v>1.82</v>
      </c>
      <c r="L49" s="1477">
        <v>2.2200000000000002</v>
      </c>
      <c r="N49" s="1461">
        <f t="shared" si="99"/>
        <v>1.9599999999999999E-2</v>
      </c>
      <c r="O49" s="1462">
        <f t="shared" si="99"/>
        <v>2.3599999999999999E-2</v>
      </c>
      <c r="P49" s="1462">
        <f t="shared" si="99"/>
        <v>1.8200000000000001E-2</v>
      </c>
      <c r="Q49" s="1462">
        <f t="shared" si="99"/>
        <v>2.2200000000000001E-2</v>
      </c>
      <c r="R49" s="1463"/>
      <c r="S49" s="1461"/>
      <c r="T49" s="1462"/>
      <c r="U49" s="1462"/>
      <c r="V49" s="1462"/>
    </row>
    <row r="50" spans="1:26">
      <c r="A50" s="1450" t="s">
        <v>1181</v>
      </c>
      <c r="B50" s="1466">
        <f t="shared" si="115"/>
        <v>206.31694671589116</v>
      </c>
      <c r="C50" s="1466">
        <f t="shared" si="115"/>
        <v>183.61041121036101</v>
      </c>
      <c r="D50" s="1466">
        <f t="shared" si="97"/>
        <v>183.61041121036101</v>
      </c>
      <c r="E50" s="1466">
        <f t="shared" si="116"/>
        <v>276.66850301795557</v>
      </c>
      <c r="F50" s="1466">
        <f t="shared" si="116"/>
        <v>165.1360938278614</v>
      </c>
      <c r="G50" s="3367">
        <v>2008</v>
      </c>
      <c r="H50" s="1454">
        <v>2</v>
      </c>
      <c r="I50" s="1454">
        <v>4.93</v>
      </c>
      <c r="J50" s="1454">
        <v>7.38</v>
      </c>
      <c r="K50" s="1454">
        <v>3.98</v>
      </c>
      <c r="L50" s="1468">
        <v>6.86</v>
      </c>
      <c r="N50" s="1461">
        <f t="shared" si="99"/>
        <v>4.9299999999999997E-2</v>
      </c>
      <c r="O50" s="1462">
        <f t="shared" si="99"/>
        <v>7.3800000000000004E-2</v>
      </c>
      <c r="P50" s="1462">
        <f t="shared" si="99"/>
        <v>3.9800000000000002E-2</v>
      </c>
      <c r="Q50" s="1462">
        <f t="shared" si="99"/>
        <v>6.8600000000000008E-2</v>
      </c>
      <c r="R50" s="1463"/>
      <c r="S50" s="1461"/>
      <c r="T50" s="1462"/>
      <c r="U50" s="1462"/>
      <c r="V50" s="1462"/>
    </row>
    <row r="51" spans="1:26" s="1506" customFormat="1" ht="13.5" thickBot="1">
      <c r="A51" s="1450" t="s">
        <v>1182</v>
      </c>
      <c r="B51" s="1503">
        <f t="shared" si="115"/>
        <v>196.62341248059772</v>
      </c>
      <c r="C51" s="1503">
        <f t="shared" si="115"/>
        <v>170.99125648199012</v>
      </c>
      <c r="D51" s="1503">
        <f t="shared" si="97"/>
        <v>170.99125648199012</v>
      </c>
      <c r="E51" s="1503">
        <f t="shared" si="116"/>
        <v>266.07857570490052</v>
      </c>
      <c r="F51" s="1503">
        <f t="shared" si="116"/>
        <v>154.53499328828505</v>
      </c>
      <c r="G51" s="3368">
        <v>2008</v>
      </c>
      <c r="H51" s="1504">
        <v>1</v>
      </c>
      <c r="I51" s="1504">
        <v>4.1399999999999997</v>
      </c>
      <c r="J51" s="1504">
        <v>3.45</v>
      </c>
      <c r="K51" s="1504">
        <v>4.95</v>
      </c>
      <c r="L51" s="1505">
        <v>4.82</v>
      </c>
      <c r="N51" s="1507">
        <f t="shared" si="99"/>
        <v>4.1399999999999999E-2</v>
      </c>
      <c r="O51" s="1508">
        <f t="shared" si="99"/>
        <v>3.4500000000000003E-2</v>
      </c>
      <c r="P51" s="1508">
        <f t="shared" si="99"/>
        <v>4.9500000000000002E-2</v>
      </c>
      <c r="Q51" s="1508">
        <f t="shared" si="99"/>
        <v>4.82E-2</v>
      </c>
      <c r="R51" s="1509"/>
      <c r="S51" s="1507">
        <f>B51/B52-1</f>
        <v>4.5869215322328349E-2</v>
      </c>
      <c r="T51" s="1508">
        <f>C51/C52-1</f>
        <v>3.6310645345394743E-2</v>
      </c>
      <c r="U51" s="1508">
        <f>E51/E52-1</f>
        <v>4.7553447657088688E-2</v>
      </c>
      <c r="V51" s="1508">
        <f>F51/F52-1</f>
        <v>4.4155360055980086E-2</v>
      </c>
      <c r="X51" s="1510"/>
      <c r="Y51" s="1510"/>
      <c r="Z51" s="1510"/>
    </row>
    <row r="52" spans="1:26" ht="13.5" thickBot="1">
      <c r="A52" s="1450" t="s">
        <v>1183</v>
      </c>
      <c r="B52" s="1458">
        <v>188</v>
      </c>
      <c r="C52" s="1458">
        <v>165</v>
      </c>
      <c r="D52" s="1458">
        <f t="shared" si="97"/>
        <v>165</v>
      </c>
      <c r="E52" s="1458">
        <v>254</v>
      </c>
      <c r="F52" s="1459">
        <v>148</v>
      </c>
      <c r="G52" s="3366">
        <v>2007</v>
      </c>
      <c r="H52" s="1511">
        <v>4</v>
      </c>
      <c r="I52" s="1511">
        <v>5.51</v>
      </c>
      <c r="J52" s="1511">
        <v>4.8899999999999997</v>
      </c>
      <c r="K52" s="1511">
        <v>6.43</v>
      </c>
      <c r="L52" s="1512">
        <v>5.36</v>
      </c>
      <c r="N52" s="1513">
        <f t="shared" ref="N52:O55" si="117">B52/B53-1</f>
        <v>4.1339718365245526E-2</v>
      </c>
      <c r="O52" s="1514">
        <f t="shared" si="117"/>
        <v>4.0324492593776018E-2</v>
      </c>
      <c r="P52" s="1514">
        <f t="shared" ref="P52:Q55" si="118">E52/E53-1</f>
        <v>6.1625555347990968E-2</v>
      </c>
      <c r="Q52" s="1514">
        <f t="shared" si="118"/>
        <v>4.6757569250590603E-2</v>
      </c>
      <c r="R52" s="1463"/>
      <c r="S52" s="1464"/>
      <c r="T52" s="1465"/>
      <c r="U52" s="1465"/>
      <c r="V52" s="1465"/>
      <c r="X52" s="1465"/>
      <c r="Y52" s="1465"/>
      <c r="Z52" s="1465"/>
    </row>
    <row r="53" spans="1:26">
      <c r="A53" s="1450" t="s">
        <v>1184</v>
      </c>
      <c r="B53" s="1466">
        <f t="shared" ref="B53:C55" si="119">B54+(B$52-B$56)*I53/SUM(I$52:I$55)</f>
        <v>180.5366651097618</v>
      </c>
      <c r="C53" s="1466">
        <f t="shared" si="119"/>
        <v>158.60435967302453</v>
      </c>
      <c r="D53" s="1466">
        <f t="shared" si="97"/>
        <v>158.60435967302453</v>
      </c>
      <c r="E53" s="1466">
        <f t="shared" ref="E53:F55" si="120">E54+(E$52-E$56)*K53/SUM(K$52:K$55)</f>
        <v>239.25573260785075</v>
      </c>
      <c r="F53" s="1466">
        <f t="shared" si="120"/>
        <v>141.38899430740037</v>
      </c>
      <c r="G53" s="3367">
        <v>2007</v>
      </c>
      <c r="H53" s="1476">
        <v>3</v>
      </c>
      <c r="I53" s="1476">
        <v>8.65</v>
      </c>
      <c r="J53" s="1476">
        <v>8.06</v>
      </c>
      <c r="K53" s="1476">
        <v>9.94</v>
      </c>
      <c r="L53" s="1477">
        <v>5.8</v>
      </c>
      <c r="N53" s="1513">
        <f t="shared" si="117"/>
        <v>6.940217571740015E-2</v>
      </c>
      <c r="O53" s="1514">
        <f t="shared" si="117"/>
        <v>7.1197482471153428E-2</v>
      </c>
      <c r="P53" s="1514">
        <f t="shared" si="118"/>
        <v>0.10529679922579582</v>
      </c>
      <c r="Q53" s="1514">
        <f t="shared" si="118"/>
        <v>5.3292245059512133E-2</v>
      </c>
      <c r="R53" s="1463"/>
      <c r="S53" s="1461"/>
      <c r="T53" s="1462"/>
      <c r="U53" s="1462"/>
      <c r="V53" s="1462"/>
      <c r="X53" s="1515"/>
      <c r="Y53" s="1515"/>
      <c r="Z53" s="1515"/>
    </row>
    <row r="54" spans="1:26">
      <c r="A54" s="1450" t="s">
        <v>1185</v>
      </c>
      <c r="B54" s="1466">
        <f t="shared" si="119"/>
        <v>168.82017748715555</v>
      </c>
      <c r="C54" s="1466">
        <f t="shared" si="119"/>
        <v>148.06267029972753</v>
      </c>
      <c r="D54" s="1466">
        <f t="shared" si="97"/>
        <v>148.06267029972753</v>
      </c>
      <c r="E54" s="1466">
        <f t="shared" si="120"/>
        <v>216.46288379323747</v>
      </c>
      <c r="F54" s="1466">
        <f t="shared" si="120"/>
        <v>134.23529411764704</v>
      </c>
      <c r="G54" s="3367">
        <v>2007</v>
      </c>
      <c r="H54" s="1454">
        <v>2</v>
      </c>
      <c r="I54" s="1454">
        <v>3.67</v>
      </c>
      <c r="J54" s="1454">
        <v>2.3199999999999998</v>
      </c>
      <c r="K54" s="1454">
        <v>5.0199999999999996</v>
      </c>
      <c r="L54" s="1468">
        <v>6.71</v>
      </c>
      <c r="N54" s="1513">
        <f t="shared" si="117"/>
        <v>3.0339138143848032E-2</v>
      </c>
      <c r="O54" s="1514">
        <f t="shared" si="117"/>
        <v>2.0922341588790472E-2</v>
      </c>
      <c r="P54" s="1514">
        <f t="shared" si="118"/>
        <v>5.6164796592717003E-2</v>
      </c>
      <c r="Q54" s="1514">
        <f t="shared" si="118"/>
        <v>6.5704536723887319E-2</v>
      </c>
      <c r="R54" s="1463"/>
      <c r="S54" s="1461"/>
      <c r="T54" s="1462"/>
      <c r="U54" s="1462"/>
      <c r="V54" s="1462"/>
      <c r="X54" s="1515"/>
      <c r="Y54" s="1515"/>
      <c r="Z54" s="1515"/>
    </row>
    <row r="55" spans="1:26">
      <c r="A55" s="1450" t="s">
        <v>1186</v>
      </c>
      <c r="B55" s="1466">
        <f t="shared" si="119"/>
        <v>163.84913591779542</v>
      </c>
      <c r="C55" s="1466">
        <f t="shared" si="119"/>
        <v>145.0283378746594</v>
      </c>
      <c r="D55" s="1466">
        <f t="shared" si="97"/>
        <v>145.0283378746594</v>
      </c>
      <c r="E55" s="1466">
        <f t="shared" si="120"/>
        <v>204.95180722891567</v>
      </c>
      <c r="F55" s="1466">
        <f t="shared" si="120"/>
        <v>125.95920303605313</v>
      </c>
      <c r="G55" s="3368">
        <v>2007</v>
      </c>
      <c r="H55" s="1453">
        <v>1</v>
      </c>
      <c r="I55" s="1453">
        <v>3.58</v>
      </c>
      <c r="J55" s="1453">
        <v>3.08</v>
      </c>
      <c r="K55" s="1453">
        <v>4.34</v>
      </c>
      <c r="L55" s="1467">
        <v>3.21</v>
      </c>
      <c r="N55" s="1516">
        <f t="shared" si="117"/>
        <v>3.0497710174814063E-2</v>
      </c>
      <c r="O55" s="1517">
        <f t="shared" si="117"/>
        <v>2.8569772160704998E-2</v>
      </c>
      <c r="P55" s="1517">
        <f t="shared" si="118"/>
        <v>5.1034908866234296E-2</v>
      </c>
      <c r="Q55" s="1517">
        <f t="shared" si="118"/>
        <v>3.245248390207478E-2</v>
      </c>
      <c r="R55" s="1463"/>
      <c r="S55" s="1469">
        <f>B55/B56-1</f>
        <v>3.0497710174814063E-2</v>
      </c>
      <c r="T55" s="1470">
        <f>C55/C56-1</f>
        <v>2.8569772160704998E-2</v>
      </c>
      <c r="U55" s="1470">
        <f>E55/E56-1</f>
        <v>5.1034908866234296E-2</v>
      </c>
      <c r="V55" s="1470">
        <f>F55/F56-1</f>
        <v>3.245248390207478E-2</v>
      </c>
      <c r="X55" s="1515"/>
      <c r="Y55" s="1515"/>
      <c r="Z55" s="1515"/>
    </row>
    <row r="56" spans="1:26" ht="13.5" thickBot="1">
      <c r="A56" s="1450" t="s">
        <v>1187</v>
      </c>
      <c r="B56" s="1479">
        <v>159</v>
      </c>
      <c r="C56" s="1479">
        <v>141</v>
      </c>
      <c r="D56" s="1479">
        <f t="shared" si="97"/>
        <v>141</v>
      </c>
      <c r="E56" s="1479">
        <v>195</v>
      </c>
      <c r="F56" s="1480">
        <v>122</v>
      </c>
      <c r="G56" s="3366">
        <v>2006</v>
      </c>
      <c r="H56" s="1471">
        <v>4</v>
      </c>
      <c r="I56" s="1471">
        <v>3.79</v>
      </c>
      <c r="J56" s="1471">
        <v>2.21</v>
      </c>
      <c r="K56" s="1471">
        <v>5.65</v>
      </c>
      <c r="L56" s="1472">
        <v>5.41</v>
      </c>
      <c r="N56" s="1513">
        <f t="shared" ref="N56:O59" si="121">I56/SUM(I$56:I$59)*(B$56/B$60-1)</f>
        <v>7.245466462748526E-2</v>
      </c>
      <c r="O56" s="1514">
        <f t="shared" si="121"/>
        <v>2.3237230038062766E-2</v>
      </c>
      <c r="P56" s="1514">
        <f t="shared" ref="P56:Q59" si="122">K56/SUM(K$56:K$59)*(E$56/E$60-1)</f>
        <v>0.16146893866323722</v>
      </c>
      <c r="Q56" s="1514">
        <f t="shared" si="122"/>
        <v>5.0755230321793784E-2</v>
      </c>
      <c r="R56" s="1463"/>
      <c r="S56" s="1464"/>
      <c r="T56" s="1465"/>
      <c r="U56" s="1465"/>
      <c r="V56" s="1465"/>
      <c r="X56" s="1515"/>
      <c r="Y56" s="1515"/>
      <c r="Z56" s="1515"/>
    </row>
    <row r="57" spans="1:26">
      <c r="A57" s="1450" t="s">
        <v>1188</v>
      </c>
      <c r="B57" s="1466">
        <f t="shared" ref="B57:C59" si="123">B58+(B$56-B$60)*I57/SUM(I$56:I$59)</f>
        <v>149.00125628140702</v>
      </c>
      <c r="C57" s="1466">
        <f t="shared" si="123"/>
        <v>137.95592286501378</v>
      </c>
      <c r="D57" s="1466">
        <f t="shared" si="97"/>
        <v>137.95592286501378</v>
      </c>
      <c r="E57" s="1466">
        <f t="shared" ref="E57:F59" si="124">E58+(E$56-E$60)*K57/SUM(K$56:K$59)</f>
        <v>169.97231450719823</v>
      </c>
      <c r="F57" s="1466">
        <f t="shared" si="124"/>
        <v>116.21390374331551</v>
      </c>
      <c r="G57" s="3367">
        <v>2006</v>
      </c>
      <c r="H57" s="1476">
        <v>3</v>
      </c>
      <c r="I57" s="1476">
        <v>0.92</v>
      </c>
      <c r="J57" s="1476">
        <v>1.08</v>
      </c>
      <c r="K57" s="1476">
        <v>0.73</v>
      </c>
      <c r="L57" s="1477">
        <v>1.08</v>
      </c>
      <c r="N57" s="1513">
        <f t="shared" si="121"/>
        <v>1.7587939698492462E-2</v>
      </c>
      <c r="O57" s="1514">
        <f t="shared" si="121"/>
        <v>1.1355750425840628E-2</v>
      </c>
      <c r="P57" s="1514">
        <f t="shared" si="122"/>
        <v>2.0862358446754544E-2</v>
      </c>
      <c r="Q57" s="1514">
        <f t="shared" si="122"/>
        <v>1.0132282578103011E-2</v>
      </c>
      <c r="R57" s="1463"/>
      <c r="S57" s="1461"/>
      <c r="T57" s="1462"/>
      <c r="U57" s="1462"/>
      <c r="V57" s="1462"/>
      <c r="X57" s="1515"/>
      <c r="Y57" s="1515"/>
      <c r="Z57" s="1515"/>
    </row>
    <row r="58" spans="1:26">
      <c r="A58" s="1450" t="s">
        <v>1189</v>
      </c>
      <c r="B58" s="1466">
        <f t="shared" si="123"/>
        <v>146.57412060301507</v>
      </c>
      <c r="C58" s="1466">
        <f t="shared" si="123"/>
        <v>136.46831955922866</v>
      </c>
      <c r="D58" s="1466">
        <f t="shared" si="97"/>
        <v>136.46831955922866</v>
      </c>
      <c r="E58" s="1466">
        <f t="shared" si="124"/>
        <v>166.73864894795128</v>
      </c>
      <c r="F58" s="1466">
        <f t="shared" si="124"/>
        <v>115.05882352941177</v>
      </c>
      <c r="G58" s="3367">
        <v>2006</v>
      </c>
      <c r="H58" s="1454">
        <v>2</v>
      </c>
      <c r="I58" s="1454">
        <v>0.96</v>
      </c>
      <c r="J58" s="1454">
        <v>0.25</v>
      </c>
      <c r="K58" s="1454">
        <v>1.9</v>
      </c>
      <c r="L58" s="1468">
        <v>0.95</v>
      </c>
      <c r="N58" s="1513">
        <f t="shared" si="121"/>
        <v>1.8352632728861701E-2</v>
      </c>
      <c r="O58" s="1514">
        <f t="shared" si="121"/>
        <v>2.6286459319075526E-3</v>
      </c>
      <c r="P58" s="1514">
        <f t="shared" si="122"/>
        <v>5.4299289107991269E-2</v>
      </c>
      <c r="Q58" s="1514">
        <f t="shared" si="122"/>
        <v>8.9126559714794995E-3</v>
      </c>
      <c r="R58" s="1463"/>
      <c r="S58" s="1461"/>
      <c r="T58" s="1462"/>
      <c r="U58" s="1462"/>
      <c r="V58" s="1462"/>
      <c r="X58" s="1515"/>
      <c r="Y58" s="1515"/>
      <c r="Z58" s="1515"/>
    </row>
    <row r="59" spans="1:26">
      <c r="A59" s="1450" t="s">
        <v>1190</v>
      </c>
      <c r="B59" s="1466">
        <f t="shared" si="123"/>
        <v>144.04145728643215</v>
      </c>
      <c r="C59" s="1466">
        <f t="shared" si="123"/>
        <v>136.12396694214877</v>
      </c>
      <c r="D59" s="1466">
        <f t="shared" si="97"/>
        <v>136.12396694214877</v>
      </c>
      <c r="E59" s="1466">
        <f t="shared" si="124"/>
        <v>158.32225913621264</v>
      </c>
      <c r="F59" s="1466">
        <f t="shared" si="124"/>
        <v>114.04278074866311</v>
      </c>
      <c r="G59" s="3368">
        <v>2006</v>
      </c>
      <c r="H59" s="1453">
        <v>1</v>
      </c>
      <c r="I59" s="1453">
        <v>2.29</v>
      </c>
      <c r="J59" s="1453">
        <v>3.72</v>
      </c>
      <c r="K59" s="1453">
        <v>0.75</v>
      </c>
      <c r="L59" s="1467">
        <v>0.04</v>
      </c>
      <c r="N59" s="1516">
        <f t="shared" si="121"/>
        <v>4.3778675988638847E-2</v>
      </c>
      <c r="O59" s="1517">
        <f t="shared" si="121"/>
        <v>3.9114251466784385E-2</v>
      </c>
      <c r="P59" s="1517">
        <f t="shared" si="122"/>
        <v>2.1433929911049188E-2</v>
      </c>
      <c r="Q59" s="1517">
        <f t="shared" si="122"/>
        <v>3.7526972511492629E-4</v>
      </c>
      <c r="R59" s="1463"/>
      <c r="S59" s="1469">
        <f>B59/B60-1</f>
        <v>4.3778675988638716E-2</v>
      </c>
      <c r="T59" s="1470">
        <f>C59/C60-1</f>
        <v>3.91142514667846E-2</v>
      </c>
      <c r="U59" s="1470">
        <f>E59/E60-1</f>
        <v>2.143392991104931E-2</v>
      </c>
      <c r="V59" s="1470">
        <f>F59/F60-1</f>
        <v>3.7526972511492396E-4</v>
      </c>
      <c r="X59" s="1515"/>
      <c r="Y59" s="1515"/>
      <c r="Z59" s="1515"/>
    </row>
    <row r="60" spans="1:26" ht="13.5" thickBot="1">
      <c r="A60" s="1450" t="s">
        <v>1191</v>
      </c>
      <c r="B60" s="1479">
        <v>138</v>
      </c>
      <c r="C60" s="1479">
        <v>131</v>
      </c>
      <c r="D60" s="1479">
        <f t="shared" si="97"/>
        <v>131</v>
      </c>
      <c r="E60" s="1479">
        <v>155</v>
      </c>
      <c r="F60" s="1480">
        <v>114</v>
      </c>
      <c r="G60" s="3366">
        <v>2005</v>
      </c>
      <c r="H60" s="1471">
        <v>4</v>
      </c>
      <c r="I60" s="1471">
        <v>3.29</v>
      </c>
      <c r="J60" s="1471">
        <v>1.44</v>
      </c>
      <c r="K60" s="1471">
        <v>0.66</v>
      </c>
      <c r="L60" s="1472">
        <v>7.78</v>
      </c>
      <c r="N60" s="1513">
        <f t="shared" ref="N60:O63" si="125">I60/SUM(I$60:I$63)*(B$60/B$64-1)</f>
        <v>9.9404603216919935E-2</v>
      </c>
      <c r="O60" s="1514">
        <f t="shared" si="125"/>
        <v>4.7636550760861554E-2</v>
      </c>
      <c r="P60" s="1514">
        <f t="shared" ref="P60:Q63" si="126">K60/SUM(K$60:K$63)*(E$60/E$64-1)</f>
        <v>8.3756345177664976E-2</v>
      </c>
      <c r="Q60" s="1514">
        <f t="shared" si="126"/>
        <v>5.2148766661559584E-2</v>
      </c>
      <c r="R60" s="1463"/>
      <c r="S60" s="1464"/>
      <c r="T60" s="1465"/>
      <c r="U60" s="1465"/>
      <c r="V60" s="1465"/>
      <c r="X60" s="1515"/>
      <c r="Y60" s="1515"/>
      <c r="Z60" s="1515"/>
    </row>
    <row r="61" spans="1:26">
      <c r="A61" s="1450" t="s">
        <v>1192</v>
      </c>
      <c r="B61" s="1466">
        <f t="shared" ref="B61:C63" si="127">B62+(B$60-B$64)*I61/SUM(I$60:I$63)</f>
        <v>125.9720430107527</v>
      </c>
      <c r="C61" s="1466">
        <f t="shared" si="127"/>
        <v>125.1883408071749</v>
      </c>
      <c r="D61" s="1466">
        <f t="shared" si="97"/>
        <v>125.1883408071749</v>
      </c>
      <c r="E61" s="1466">
        <f t="shared" ref="E61:F63" si="128">E62+(E$60-E$64)*K61/SUM(K$60:K$63)</f>
        <v>144.61421319796952</v>
      </c>
      <c r="F61" s="1466">
        <f t="shared" si="128"/>
        <v>108.42008196721311</v>
      </c>
      <c r="G61" s="3367">
        <v>2005</v>
      </c>
      <c r="H61" s="1476">
        <v>3</v>
      </c>
      <c r="I61" s="1476">
        <v>0.46</v>
      </c>
      <c r="J61" s="1476">
        <v>0.32</v>
      </c>
      <c r="K61" s="1476">
        <v>0.42</v>
      </c>
      <c r="L61" s="1477">
        <v>0.64</v>
      </c>
      <c r="N61" s="1513">
        <f t="shared" si="125"/>
        <v>1.3898515951301874E-2</v>
      </c>
      <c r="O61" s="1514">
        <f t="shared" si="125"/>
        <v>1.0585900169080346E-2</v>
      </c>
      <c r="P61" s="1514">
        <f t="shared" si="126"/>
        <v>5.3299492385786795E-2</v>
      </c>
      <c r="Q61" s="1514">
        <f t="shared" si="126"/>
        <v>4.2898728359123568E-3</v>
      </c>
      <c r="R61" s="1463"/>
      <c r="S61" s="1461"/>
      <c r="T61" s="1462"/>
      <c r="U61" s="1462"/>
      <c r="V61" s="1462"/>
      <c r="X61" s="1515"/>
      <c r="Y61" s="1515"/>
      <c r="Z61" s="1515"/>
    </row>
    <row r="62" spans="1:26">
      <c r="A62" s="1450" t="s">
        <v>1193</v>
      </c>
      <c r="B62" s="1466">
        <f t="shared" si="127"/>
        <v>124.29032258064517</v>
      </c>
      <c r="C62" s="1466">
        <f t="shared" si="127"/>
        <v>123.8968609865471</v>
      </c>
      <c r="D62" s="1466">
        <f t="shared" si="97"/>
        <v>123.8968609865471</v>
      </c>
      <c r="E62" s="1466">
        <f t="shared" si="128"/>
        <v>138.00507614213197</v>
      </c>
      <c r="F62" s="1466">
        <f t="shared" si="128"/>
        <v>107.96106557377048</v>
      </c>
      <c r="G62" s="3367">
        <v>2005</v>
      </c>
      <c r="H62" s="1454">
        <v>2</v>
      </c>
      <c r="I62" s="1454">
        <v>0.47</v>
      </c>
      <c r="J62" s="1454">
        <v>0.1</v>
      </c>
      <c r="K62" s="1454">
        <v>0.52</v>
      </c>
      <c r="L62" s="1468">
        <v>0.79</v>
      </c>
      <c r="N62" s="1513">
        <f t="shared" si="125"/>
        <v>1.420065760241713E-2</v>
      </c>
      <c r="O62" s="1514">
        <f t="shared" si="125"/>
        <v>3.3080938028376083E-3</v>
      </c>
      <c r="P62" s="1514">
        <f t="shared" si="126"/>
        <v>6.598984771573603E-2</v>
      </c>
      <c r="Q62" s="1514">
        <f t="shared" si="126"/>
        <v>5.2953117818293153E-3</v>
      </c>
      <c r="R62" s="1463"/>
      <c r="S62" s="1461"/>
      <c r="T62" s="1462"/>
      <c r="U62" s="1462"/>
      <c r="V62" s="1462"/>
      <c r="X62" s="1515"/>
      <c r="Y62" s="1515"/>
      <c r="Z62" s="1515"/>
    </row>
    <row r="63" spans="1:26">
      <c r="A63" s="1450" t="s">
        <v>1194</v>
      </c>
      <c r="B63" s="1466">
        <f t="shared" si="127"/>
        <v>122.57204301075269</v>
      </c>
      <c r="C63" s="1466">
        <f t="shared" si="127"/>
        <v>123.4932735426009</v>
      </c>
      <c r="D63" s="1466">
        <f t="shared" si="97"/>
        <v>123.4932735426009</v>
      </c>
      <c r="E63" s="1466">
        <f t="shared" si="128"/>
        <v>129.82233502538071</v>
      </c>
      <c r="F63" s="1466">
        <f t="shared" si="128"/>
        <v>107.39446721311475</v>
      </c>
      <c r="G63" s="3368">
        <v>2005</v>
      </c>
      <c r="H63" s="1453">
        <v>1</v>
      </c>
      <c r="I63" s="1453">
        <v>0.43</v>
      </c>
      <c r="J63" s="1453">
        <v>0.37</v>
      </c>
      <c r="K63" s="1453">
        <v>0.37</v>
      </c>
      <c r="L63" s="1467">
        <v>0.55000000000000004</v>
      </c>
      <c r="N63" s="1516">
        <f t="shared" si="125"/>
        <v>1.2992090997956099E-2</v>
      </c>
      <c r="O63" s="1517">
        <f t="shared" si="125"/>
        <v>1.2239947070499151E-2</v>
      </c>
      <c r="P63" s="1517">
        <f t="shared" si="126"/>
        <v>4.6954314720812178E-2</v>
      </c>
      <c r="Q63" s="1517">
        <f t="shared" si="126"/>
        <v>3.6866094683621815E-3</v>
      </c>
      <c r="R63" s="1463"/>
      <c r="S63" s="1469">
        <f>B63/B64-1</f>
        <v>1.2992090997956174E-2</v>
      </c>
      <c r="T63" s="1470">
        <f>C63/C64-1</f>
        <v>1.2239947070499246E-2</v>
      </c>
      <c r="U63" s="1470">
        <f>E63/E64-1</f>
        <v>4.695431472081224E-2</v>
      </c>
      <c r="V63" s="1470">
        <f>F63/F64-1</f>
        <v>3.6866094683620787E-3</v>
      </c>
      <c r="X63" s="1515"/>
      <c r="Y63" s="1515"/>
      <c r="Z63" s="1515"/>
    </row>
    <row r="64" spans="1:26" ht="13.5" thickBot="1">
      <c r="A64" s="1450" t="s">
        <v>1195</v>
      </c>
      <c r="B64" s="1500">
        <v>121</v>
      </c>
      <c r="C64" s="1500">
        <v>122</v>
      </c>
      <c r="D64" s="1500">
        <f t="shared" si="97"/>
        <v>122</v>
      </c>
      <c r="E64" s="1500">
        <v>124</v>
      </c>
      <c r="F64" s="1501">
        <v>107</v>
      </c>
      <c r="G64" s="3366">
        <v>2004</v>
      </c>
      <c r="H64" s="1471">
        <v>4</v>
      </c>
      <c r="I64" s="1471">
        <v>0.33</v>
      </c>
      <c r="J64" s="1471">
        <v>0.5</v>
      </c>
      <c r="K64" s="1471">
        <v>0.5</v>
      </c>
      <c r="L64" s="1472">
        <v>0</v>
      </c>
      <c r="N64" s="1513">
        <f t="shared" ref="N64:O67" si="129">I64/SUM(I$64:I$67)*(B$64/B$68-1)</f>
        <v>1.3391770148526898E-2</v>
      </c>
      <c r="O64" s="1514">
        <f t="shared" si="129"/>
        <v>1.063264221158958E-2</v>
      </c>
      <c r="P64" s="1514">
        <f t="shared" ref="P64:Q67" si="130">K64/SUM(K$64:K$67)*(E$64/E$68-1)</f>
        <v>2.2244466688911134E-2</v>
      </c>
      <c r="Q64" s="1514">
        <f t="shared" si="130"/>
        <v>0</v>
      </c>
      <c r="R64" s="1463"/>
      <c r="S64" s="1464"/>
      <c r="T64" s="1465"/>
      <c r="U64" s="1465"/>
      <c r="V64" s="1465"/>
      <c r="X64" s="1515"/>
      <c r="Y64" s="1515"/>
      <c r="Z64" s="1515"/>
    </row>
    <row r="65" spans="1:26">
      <c r="A65" s="1450" t="s">
        <v>1196</v>
      </c>
      <c r="B65" s="1466">
        <f t="shared" ref="B65:C67" si="131">B66+(B$64-B$68)*I65/SUM(I$64:I$67)</f>
        <v>119.51351351351352</v>
      </c>
      <c r="C65" s="1466">
        <f t="shared" si="131"/>
        <v>120.7878787878788</v>
      </c>
      <c r="D65" s="1466">
        <f t="shared" si="97"/>
        <v>120.7878787878788</v>
      </c>
      <c r="E65" s="1466">
        <f t="shared" ref="E65:F67" si="132">E66+(E$64-E$68)*K65/SUM(K$64:K$67)</f>
        <v>121.5975975975976</v>
      </c>
      <c r="F65" s="1466">
        <f t="shared" si="132"/>
        <v>107</v>
      </c>
      <c r="G65" s="3367">
        <v>2004</v>
      </c>
      <c r="H65" s="1476">
        <v>3</v>
      </c>
      <c r="I65" s="1476">
        <v>0.56000000000000005</v>
      </c>
      <c r="J65" s="1476">
        <v>0.8</v>
      </c>
      <c r="K65" s="1476">
        <v>0.83</v>
      </c>
      <c r="L65" s="1477">
        <v>0.06</v>
      </c>
      <c r="N65" s="1513">
        <f t="shared" si="129"/>
        <v>2.2725428130833527E-2</v>
      </c>
      <c r="O65" s="1514">
        <f t="shared" si="129"/>
        <v>1.7012227538543329E-2</v>
      </c>
      <c r="P65" s="1514">
        <f t="shared" si="130"/>
        <v>3.6925814703592477E-2</v>
      </c>
      <c r="Q65" s="1514">
        <f t="shared" si="130"/>
        <v>2.8846153846153744E-2</v>
      </c>
      <c r="R65" s="1463"/>
      <c r="S65" s="1461"/>
      <c r="T65" s="1462"/>
      <c r="U65" s="1462"/>
      <c r="V65" s="1462"/>
      <c r="X65" s="1515"/>
      <c r="Y65" s="1515"/>
      <c r="Z65" s="1515"/>
    </row>
    <row r="66" spans="1:26">
      <c r="A66" s="1450" t="s">
        <v>1197</v>
      </c>
      <c r="B66" s="1466">
        <f t="shared" si="131"/>
        <v>116.99099099099099</v>
      </c>
      <c r="C66" s="1466">
        <f t="shared" si="131"/>
        <v>118.84848484848486</v>
      </c>
      <c r="D66" s="1466">
        <f t="shared" si="97"/>
        <v>118.84848484848486</v>
      </c>
      <c r="E66" s="1466">
        <f t="shared" si="132"/>
        <v>117.60960960960961</v>
      </c>
      <c r="F66" s="1466">
        <f t="shared" si="132"/>
        <v>104</v>
      </c>
      <c r="G66" s="3367">
        <v>2004</v>
      </c>
      <c r="H66" s="1454">
        <v>2</v>
      </c>
      <c r="I66" s="1454">
        <v>1</v>
      </c>
      <c r="J66" s="1454">
        <v>1.5</v>
      </c>
      <c r="K66" s="1454">
        <v>1.5</v>
      </c>
      <c r="L66" s="1468">
        <v>0</v>
      </c>
      <c r="N66" s="1513">
        <f t="shared" si="129"/>
        <v>4.0581121662202721E-2</v>
      </c>
      <c r="O66" s="1514">
        <f t="shared" si="129"/>
        <v>3.1897926634768738E-2</v>
      </c>
      <c r="P66" s="1514">
        <f t="shared" si="130"/>
        <v>6.6733400066733395E-2</v>
      </c>
      <c r="Q66" s="1514">
        <f t="shared" si="130"/>
        <v>0</v>
      </c>
      <c r="R66" s="1463"/>
      <c r="S66" s="1461"/>
      <c r="T66" s="1462"/>
      <c r="U66" s="1462"/>
      <c r="V66" s="1462"/>
      <c r="X66" s="1515"/>
      <c r="Y66" s="1515"/>
      <c r="Z66" s="1515"/>
    </row>
    <row r="67" spans="1:26" s="1506" customFormat="1" ht="13.5" thickBot="1">
      <c r="A67" s="1450" t="s">
        <v>1198</v>
      </c>
      <c r="B67" s="1503">
        <f t="shared" si="131"/>
        <v>112.48648648648648</v>
      </c>
      <c r="C67" s="1503">
        <f t="shared" si="131"/>
        <v>115.21212121212122</v>
      </c>
      <c r="D67" s="1503">
        <f t="shared" si="97"/>
        <v>115.21212121212122</v>
      </c>
      <c r="E67" s="1503">
        <f t="shared" si="132"/>
        <v>110.4024024024024</v>
      </c>
      <c r="F67" s="1503">
        <f t="shared" si="132"/>
        <v>104</v>
      </c>
      <c r="G67" s="3368">
        <v>2004</v>
      </c>
      <c r="H67" s="1504">
        <v>1</v>
      </c>
      <c r="I67" s="1504">
        <v>0.33</v>
      </c>
      <c r="J67" s="1504">
        <v>0.5</v>
      </c>
      <c r="K67" s="1504">
        <v>0.5</v>
      </c>
      <c r="L67" s="1505">
        <v>0</v>
      </c>
      <c r="N67" s="1518">
        <f t="shared" si="129"/>
        <v>1.3391770148526898E-2</v>
      </c>
      <c r="O67" s="1519">
        <f t="shared" si="129"/>
        <v>1.063264221158958E-2</v>
      </c>
      <c r="P67" s="1519">
        <f t="shared" si="130"/>
        <v>2.2244466688911134E-2</v>
      </c>
      <c r="Q67" s="1519">
        <f t="shared" si="130"/>
        <v>0</v>
      </c>
      <c r="R67" s="1509"/>
      <c r="S67" s="1507">
        <f>B67/B68-1</f>
        <v>1.3391770148526883E-2</v>
      </c>
      <c r="T67" s="1508">
        <f>C67/C68-1</f>
        <v>1.063264221158966E-2</v>
      </c>
      <c r="U67" s="1508">
        <f>E67/E68-1</f>
        <v>2.2244466688911224E-2</v>
      </c>
      <c r="V67" s="1508">
        <f>F67/F68-1</f>
        <v>0</v>
      </c>
      <c r="X67" s="1520"/>
      <c r="Y67" s="1520"/>
      <c r="Z67" s="1520"/>
    </row>
    <row r="68" spans="1:26" ht="13.5" thickBot="1">
      <c r="A68" s="1450" t="s">
        <v>1199</v>
      </c>
      <c r="B68" s="1521">
        <v>111</v>
      </c>
      <c r="C68" s="1521">
        <v>114</v>
      </c>
      <c r="D68" s="1521">
        <f t="shared" si="97"/>
        <v>114</v>
      </c>
      <c r="E68" s="1521">
        <v>108</v>
      </c>
      <c r="F68" s="1522">
        <v>104</v>
      </c>
      <c r="G68" s="3366">
        <v>2003</v>
      </c>
      <c r="H68" s="1511">
        <v>4</v>
      </c>
      <c r="I68" s="1523"/>
      <c r="J68" s="1523"/>
      <c r="K68" s="1523"/>
      <c r="L68" s="1523"/>
      <c r="N68" s="1524"/>
      <c r="O68" s="1523"/>
      <c r="P68" s="1523"/>
      <c r="Q68" s="1523"/>
      <c r="S68" s="1524"/>
      <c r="T68" s="1523"/>
      <c r="U68" s="1523"/>
      <c r="V68" s="1523"/>
      <c r="X68" s="1515"/>
      <c r="Y68" s="1515"/>
      <c r="Z68" s="1515"/>
    </row>
    <row r="69" spans="1:26">
      <c r="A69" s="1450" t="s">
        <v>1200</v>
      </c>
      <c r="B69" s="1525">
        <f t="shared" ref="B69:C71" si="133">B70+(B$68-B$72)/4</f>
        <v>109.75</v>
      </c>
      <c r="C69" s="1525">
        <f t="shared" si="133"/>
        <v>112.25</v>
      </c>
      <c r="D69" s="1525">
        <f t="shared" si="97"/>
        <v>112.25</v>
      </c>
      <c r="E69" s="1525">
        <f t="shared" ref="E69:F71" si="134">E70+(E$68-E$72)/4</f>
        <v>107.25</v>
      </c>
      <c r="F69" s="1525">
        <f t="shared" si="134"/>
        <v>103.5</v>
      </c>
      <c r="G69" s="3367">
        <v>2003</v>
      </c>
      <c r="H69" s="1476">
        <v>3</v>
      </c>
      <c r="I69" s="1523"/>
      <c r="J69" s="1523"/>
      <c r="K69" s="1523"/>
      <c r="L69" s="1523"/>
      <c r="X69" s="1515"/>
      <c r="Y69" s="1515"/>
      <c r="Z69" s="1515"/>
    </row>
    <row r="70" spans="1:26">
      <c r="A70" s="1450" t="s">
        <v>1201</v>
      </c>
      <c r="B70" s="1525">
        <f t="shared" si="133"/>
        <v>108.5</v>
      </c>
      <c r="C70" s="1525">
        <f t="shared" si="133"/>
        <v>110.5</v>
      </c>
      <c r="D70" s="1525">
        <f t="shared" si="97"/>
        <v>110.5</v>
      </c>
      <c r="E70" s="1525">
        <f t="shared" si="134"/>
        <v>106.5</v>
      </c>
      <c r="F70" s="1525">
        <f t="shared" si="134"/>
        <v>103</v>
      </c>
      <c r="G70" s="3367">
        <v>2003</v>
      </c>
      <c r="H70" s="1454">
        <v>2</v>
      </c>
      <c r="I70" s="1523"/>
      <c r="J70" s="1523"/>
      <c r="K70" s="1523"/>
      <c r="L70" s="1523"/>
      <c r="X70" s="1515"/>
      <c r="Y70" s="1515"/>
      <c r="Z70" s="1515"/>
    </row>
    <row r="71" spans="1:26" ht="13.5" thickBot="1">
      <c r="A71" s="1450" t="s">
        <v>1202</v>
      </c>
      <c r="B71" s="1525">
        <f t="shared" si="133"/>
        <v>107.25</v>
      </c>
      <c r="C71" s="1525">
        <f t="shared" si="133"/>
        <v>108.75</v>
      </c>
      <c r="D71" s="1525">
        <f t="shared" si="97"/>
        <v>108.75</v>
      </c>
      <c r="E71" s="1525">
        <f t="shared" si="134"/>
        <v>105.75</v>
      </c>
      <c r="F71" s="1525">
        <f t="shared" si="134"/>
        <v>102.5</v>
      </c>
      <c r="G71" s="3368">
        <v>2003</v>
      </c>
      <c r="H71" s="1526">
        <v>1</v>
      </c>
      <c r="I71" s="1523"/>
      <c r="J71" s="1523"/>
      <c r="K71" s="1523"/>
      <c r="L71" s="1523"/>
      <c r="S71" s="1461"/>
      <c r="T71" s="1462"/>
      <c r="U71" s="1462"/>
      <c r="X71" s="1515"/>
      <c r="Y71" s="1515"/>
      <c r="Z71" s="1515"/>
    </row>
    <row r="72" spans="1:26" ht="13.5" thickBot="1">
      <c r="A72" s="1450" t="s">
        <v>1203</v>
      </c>
      <c r="B72" s="1527">
        <v>106</v>
      </c>
      <c r="C72" s="1527">
        <v>107</v>
      </c>
      <c r="D72" s="1527">
        <f t="shared" si="97"/>
        <v>107</v>
      </c>
      <c r="E72" s="1527">
        <v>105</v>
      </c>
      <c r="F72" s="1528">
        <v>102</v>
      </c>
      <c r="G72" s="3366">
        <v>2002</v>
      </c>
      <c r="H72" s="1471">
        <v>4</v>
      </c>
      <c r="I72" s="1523"/>
      <c r="J72" s="1523"/>
      <c r="K72" s="1523"/>
      <c r="L72" s="1523"/>
      <c r="N72" s="1524"/>
      <c r="O72" s="1523"/>
      <c r="P72" s="1523"/>
      <c r="Q72" s="1523"/>
      <c r="S72" s="1524"/>
      <c r="T72" s="1523"/>
      <c r="U72" s="1523"/>
      <c r="V72" s="1523"/>
      <c r="X72" s="1515"/>
      <c r="Y72" s="1515"/>
      <c r="Z72" s="1515"/>
    </row>
    <row r="73" spans="1:26">
      <c r="A73" s="1450" t="s">
        <v>1204</v>
      </c>
      <c r="B73" s="1525">
        <f t="shared" ref="B73:C75" si="135">B74+(B$72-B$76)/4</f>
        <v>105</v>
      </c>
      <c r="C73" s="1525">
        <f t="shared" si="135"/>
        <v>106</v>
      </c>
      <c r="D73" s="1525">
        <f t="shared" si="97"/>
        <v>106</v>
      </c>
      <c r="E73" s="1525">
        <f t="shared" ref="E73:F75" si="136">E74+(E$72-E$76)/4</f>
        <v>104.5</v>
      </c>
      <c r="F73" s="1525">
        <f t="shared" si="136"/>
        <v>101.5</v>
      </c>
      <c r="G73" s="3367">
        <v>2002</v>
      </c>
      <c r="H73" s="1476">
        <v>3</v>
      </c>
      <c r="I73" s="1523"/>
      <c r="J73" s="1523"/>
      <c r="K73" s="1523"/>
      <c r="L73" s="1523"/>
      <c r="X73" s="1515"/>
      <c r="Y73" s="1515"/>
      <c r="Z73" s="1515"/>
    </row>
    <row r="74" spans="1:26">
      <c r="A74" s="1450" t="s">
        <v>1205</v>
      </c>
      <c r="B74" s="1525">
        <f t="shared" si="135"/>
        <v>104</v>
      </c>
      <c r="C74" s="1525">
        <f t="shared" si="135"/>
        <v>105</v>
      </c>
      <c r="D74" s="1525">
        <f t="shared" si="97"/>
        <v>105</v>
      </c>
      <c r="E74" s="1525">
        <f t="shared" si="136"/>
        <v>104</v>
      </c>
      <c r="F74" s="1525">
        <f t="shared" si="136"/>
        <v>101</v>
      </c>
      <c r="G74" s="3367">
        <v>2002</v>
      </c>
      <c r="H74" s="1454">
        <v>2</v>
      </c>
      <c r="I74" s="1523"/>
      <c r="J74" s="1523"/>
      <c r="K74" s="1523"/>
      <c r="L74" s="1523"/>
      <c r="X74" s="1515"/>
      <c r="Y74" s="1515"/>
      <c r="Z74" s="1515"/>
    </row>
    <row r="75" spans="1:26" s="1487" customFormat="1" ht="13.5" thickBot="1">
      <c r="A75" s="1483" t="s">
        <v>1206</v>
      </c>
      <c r="B75" s="1529">
        <f t="shared" si="135"/>
        <v>103</v>
      </c>
      <c r="C75" s="1529">
        <f t="shared" si="135"/>
        <v>104</v>
      </c>
      <c r="D75" s="1529">
        <f t="shared" si="97"/>
        <v>104</v>
      </c>
      <c r="E75" s="1529">
        <f t="shared" si="136"/>
        <v>103.5</v>
      </c>
      <c r="F75" s="1529">
        <f t="shared" si="136"/>
        <v>100.5</v>
      </c>
      <c r="G75" s="3368">
        <v>2002</v>
      </c>
      <c r="H75" s="1530">
        <v>1</v>
      </c>
      <c r="I75" s="1531"/>
      <c r="J75" s="1531"/>
      <c r="K75" s="1531"/>
      <c r="L75" s="1531"/>
      <c r="N75" s="1532"/>
      <c r="S75" s="1532"/>
      <c r="X75" s="1533"/>
      <c r="Y75" s="1533"/>
      <c r="Z75" s="1533"/>
    </row>
    <row r="76" spans="1:26" ht="13.5" thickBot="1">
      <c r="B76" s="1534">
        <v>102</v>
      </c>
      <c r="C76" s="1535">
        <v>103</v>
      </c>
      <c r="D76" s="1535">
        <f t="shared" si="97"/>
        <v>103</v>
      </c>
      <c r="E76" s="1535">
        <v>103</v>
      </c>
      <c r="F76" s="1536">
        <v>100</v>
      </c>
      <c r="I76" s="1523"/>
      <c r="J76" s="1523"/>
      <c r="K76" s="1523"/>
      <c r="L76" s="1523"/>
      <c r="N76" s="1524"/>
      <c r="O76" s="1523"/>
      <c r="P76" s="1523"/>
      <c r="Q76" s="1523"/>
      <c r="S76" s="1524"/>
      <c r="T76" s="1523"/>
      <c r="U76" s="1523"/>
      <c r="V76" s="1523"/>
      <c r="X76" s="1465"/>
      <c r="Y76" s="1465"/>
      <c r="Z76" s="1465"/>
    </row>
    <row r="78" spans="1:26" s="1538" customFormat="1">
      <c r="A78" s="1537" t="s">
        <v>1207</v>
      </c>
      <c r="G78" s="1539"/>
      <c r="N78" s="1539"/>
      <c r="S78" s="1539"/>
    </row>
    <row r="79" spans="1:26" s="1538" customFormat="1">
      <c r="A79" s="1538" t="s">
        <v>1208</v>
      </c>
      <c r="G79" s="1539"/>
      <c r="N79" s="1539"/>
      <c r="S79" s="1539"/>
    </row>
    <row r="80" spans="1:26" s="1538" customFormat="1">
      <c r="A80" s="1538" t="s">
        <v>1209</v>
      </c>
      <c r="G80" s="1539"/>
      <c r="I80" s="1540"/>
      <c r="J80" s="1540"/>
      <c r="K80" s="1540"/>
      <c r="L80" s="1540"/>
      <c r="N80" s="1541"/>
      <c r="O80" s="1540"/>
      <c r="P80" s="1540"/>
      <c r="Q80" s="1540"/>
      <c r="S80" s="1541"/>
      <c r="T80" s="1540"/>
      <c r="U80" s="1540"/>
      <c r="V80" s="1540"/>
    </row>
    <row r="81" spans="1:22" s="1538" customFormat="1">
      <c r="A81" s="1538" t="s">
        <v>1210</v>
      </c>
      <c r="G81" s="1539"/>
      <c r="N81" s="1539"/>
      <c r="S81" s="1539"/>
    </row>
    <row r="88" spans="1:22" ht="13.5" thickBot="1"/>
    <row r="89" spans="1:22">
      <c r="G89" s="1460"/>
      <c r="S89" s="1542" t="s">
        <v>1211</v>
      </c>
      <c r="T89" s="1543" t="s">
        <v>1212</v>
      </c>
      <c r="U89" s="1543" t="s">
        <v>1213</v>
      </c>
      <c r="V89" s="1543" t="s">
        <v>1214</v>
      </c>
    </row>
    <row r="90" spans="1:22">
      <c r="G90" s="1460"/>
      <c r="N90" s="1464"/>
      <c r="O90" s="1465"/>
      <c r="P90" s="1465"/>
      <c r="Q90" s="1465"/>
      <c r="S90" s="1544">
        <v>2006</v>
      </c>
      <c r="T90" s="1545">
        <v>15.1</v>
      </c>
      <c r="U90" s="1545">
        <v>7.43</v>
      </c>
      <c r="V90" s="1545">
        <v>26.26</v>
      </c>
    </row>
    <row r="91" spans="1:22">
      <c r="G91" s="1460"/>
      <c r="N91" s="1464"/>
      <c r="O91" s="1465"/>
      <c r="P91" s="1465"/>
      <c r="Q91" s="1465"/>
      <c r="S91" s="1546">
        <v>2005</v>
      </c>
      <c r="T91" s="1547">
        <v>13.9</v>
      </c>
      <c r="U91" s="1547">
        <v>7.49</v>
      </c>
      <c r="V91" s="1547">
        <v>24.92</v>
      </c>
    </row>
    <row r="92" spans="1:22">
      <c r="G92" s="1460"/>
      <c r="N92" s="1464"/>
      <c r="O92" s="1465"/>
      <c r="P92" s="1465"/>
      <c r="Q92" s="1465"/>
      <c r="S92" s="1544">
        <v>2004</v>
      </c>
      <c r="T92" s="1545">
        <v>9.48</v>
      </c>
      <c r="U92" s="1545">
        <v>7.2</v>
      </c>
      <c r="V92" s="1545">
        <v>14.68</v>
      </c>
    </row>
    <row r="93" spans="1:22">
      <c r="G93" s="1460"/>
      <c r="N93" s="1464"/>
      <c r="O93" s="1465"/>
      <c r="P93" s="1465"/>
      <c r="Q93" s="1465"/>
      <c r="S93" s="1546">
        <v>2003</v>
      </c>
      <c r="T93" s="1547">
        <v>4.5</v>
      </c>
      <c r="U93" s="1547">
        <v>6.12</v>
      </c>
      <c r="V93" s="1547">
        <v>2.34</v>
      </c>
    </row>
    <row r="94" spans="1:22" ht="13.5" thickBot="1">
      <c r="G94" s="1460"/>
      <c r="N94" s="1464"/>
      <c r="O94" s="1465"/>
      <c r="P94" s="1465"/>
      <c r="Q94" s="1465"/>
      <c r="S94" s="1548">
        <v>2002</v>
      </c>
      <c r="T94" s="1549">
        <v>3.59</v>
      </c>
      <c r="U94" s="1549">
        <v>4.54</v>
      </c>
      <c r="V94" s="1549">
        <v>2.5499999999999998</v>
      </c>
    </row>
    <row r="95" spans="1:22">
      <c r="G95" s="1460"/>
      <c r="N95" s="1464"/>
      <c r="O95" s="1465"/>
      <c r="P95" s="1465"/>
      <c r="Q95" s="1465"/>
    </row>
    <row r="96" spans="1:22">
      <c r="G96" s="1460"/>
      <c r="N96" s="1464"/>
      <c r="O96" s="1465"/>
      <c r="P96" s="1465"/>
      <c r="Q96" s="1465"/>
    </row>
    <row r="97" spans="7:19">
      <c r="G97" s="1460"/>
      <c r="N97" s="1464"/>
      <c r="O97" s="1465"/>
      <c r="P97" s="1465"/>
      <c r="Q97" s="1465"/>
    </row>
    <row r="98" spans="7:19">
      <c r="G98" s="1460"/>
      <c r="N98" s="1464"/>
      <c r="O98" s="1465"/>
      <c r="P98" s="1465"/>
      <c r="Q98" s="1465"/>
    </row>
    <row r="99" spans="7:19">
      <c r="G99" s="1460"/>
      <c r="N99" s="1464"/>
      <c r="O99" s="1465"/>
      <c r="P99" s="1465"/>
      <c r="Q99" s="1465"/>
    </row>
    <row r="100" spans="7:19">
      <c r="G100" s="1460"/>
      <c r="N100" s="1464"/>
      <c r="O100" s="1465"/>
      <c r="P100" s="1465"/>
      <c r="Q100" s="1465"/>
    </row>
    <row r="101" spans="7:19">
      <c r="G101" s="1460"/>
      <c r="N101" s="1464"/>
      <c r="O101" s="1465"/>
      <c r="P101" s="1465"/>
      <c r="Q101" s="1465"/>
    </row>
    <row r="102" spans="7:19">
      <c r="G102" s="1460"/>
      <c r="N102" s="1464"/>
      <c r="O102" s="1465"/>
      <c r="P102" s="1465"/>
      <c r="Q102" s="1465"/>
    </row>
    <row r="103" spans="7:19">
      <c r="G103" s="1460"/>
      <c r="N103" s="1464"/>
      <c r="O103" s="1465"/>
      <c r="P103" s="1465"/>
      <c r="Q103" s="1465"/>
    </row>
    <row r="104" spans="7:19">
      <c r="G104" s="1460"/>
      <c r="N104" s="1464"/>
      <c r="O104" s="1465"/>
      <c r="P104" s="1465"/>
      <c r="Q104" s="1465"/>
    </row>
    <row r="105" spans="7:19">
      <c r="G105" s="1460"/>
      <c r="N105" s="1464"/>
      <c r="O105" s="1465"/>
      <c r="P105" s="1465"/>
      <c r="Q105" s="1465"/>
      <c r="S105" s="1460"/>
    </row>
    <row r="106" spans="7:19">
      <c r="G106" s="1460"/>
      <c r="N106" s="1464"/>
      <c r="O106" s="1465"/>
      <c r="P106" s="1465"/>
      <c r="Q106" s="1465"/>
      <c r="S106" s="1460"/>
    </row>
    <row r="107" spans="7:19">
      <c r="G107" s="1460"/>
      <c r="N107" s="1464"/>
      <c r="O107" s="1465"/>
      <c r="P107" s="1465"/>
      <c r="Q107" s="1465"/>
      <c r="S107" s="1460"/>
    </row>
    <row r="108" spans="7:19">
      <c r="G108" s="1460"/>
      <c r="N108" s="1464"/>
      <c r="O108" s="1465"/>
      <c r="P108" s="1465"/>
      <c r="Q108" s="1465"/>
      <c r="S108" s="1460"/>
    </row>
    <row r="109" spans="7:19">
      <c r="G109" s="1460"/>
      <c r="N109" s="1464"/>
      <c r="O109" s="1465"/>
      <c r="P109" s="1465"/>
      <c r="Q109" s="1465"/>
      <c r="S109" s="1460"/>
    </row>
    <row r="110" spans="7:19">
      <c r="G110" s="1460"/>
      <c r="N110" s="1464"/>
      <c r="O110" s="1465"/>
      <c r="P110" s="1465"/>
      <c r="Q110" s="1465"/>
      <c r="S110" s="146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1616</v>
      </c>
      <c r="B1" s="1945"/>
      <c r="C1" s="1945"/>
      <c r="D1" s="1945"/>
      <c r="E1" s="1945"/>
    </row>
    <row r="2" spans="1:5" ht="78" customHeight="1">
      <c r="A2" s="30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5"/>
      <c r="C2" s="3055"/>
      <c r="D2" s="3055"/>
      <c r="E2" s="3055"/>
    </row>
    <row r="3" spans="1:5" ht="18">
      <c r="A3" s="3056" t="str">
        <f>IF(项目基本情况!B9="房地产市场价值","估价结果一览表（市场价值不需“结果表-1”）","估价结果一览表")</f>
        <v>估价结果一览表</v>
      </c>
      <c r="B3" s="3056"/>
      <c r="C3" s="3056"/>
      <c r="D3" s="3056"/>
      <c r="E3" s="3056"/>
    </row>
    <row r="4" spans="1:5" ht="19.5" thickBot="1">
      <c r="A4" s="1947"/>
      <c r="B4" s="3054" t="s">
        <v>1625</v>
      </c>
      <c r="C4" s="3054"/>
      <c r="D4" s="3054"/>
      <c r="E4" s="1947"/>
    </row>
    <row r="5" spans="1:5" ht="16.5" thickTop="1">
      <c r="A5" s="1945"/>
      <c r="B5" s="3052" t="s">
        <v>1617</v>
      </c>
      <c r="C5" s="1948" t="s">
        <v>1618</v>
      </c>
      <c r="D5" s="1029">
        <f ca="1">结果表!H101</f>
        <v>27909</v>
      </c>
      <c r="E5" s="1945"/>
    </row>
    <row r="6" spans="1:5" ht="15.75">
      <c r="A6" s="1945"/>
      <c r="B6" s="3052"/>
      <c r="C6" s="1948" t="s">
        <v>1619</v>
      </c>
      <c r="D6" s="1029" t="str">
        <f ca="1">NUMBERSTRING(INT(D5*10000),2)&amp;"元整"</f>
        <v>贰亿柒仟玖佰零玖万元整</v>
      </c>
      <c r="E6" s="1945"/>
    </row>
    <row r="7" spans="1:5" ht="15.75">
      <c r="A7" s="1945"/>
      <c r="B7" s="3057"/>
      <c r="C7" s="1949" t="s">
        <v>1620</v>
      </c>
      <c r="D7" s="1030">
        <f ca="1">结果表!H102</f>
        <v>4185</v>
      </c>
      <c r="E7" s="1945"/>
    </row>
    <row r="8" spans="1:5" ht="15.75">
      <c r="A8" s="1945"/>
      <c r="B8" s="3058" t="str">
        <f>结果表!E103</f>
        <v>2.估价师知悉的法定优先受偿款</v>
      </c>
      <c r="C8" s="1950" t="s">
        <v>1621</v>
      </c>
      <c r="D8" s="1030">
        <f>结果表!H103</f>
        <v>0</v>
      </c>
      <c r="E8" s="1945"/>
    </row>
    <row r="9" spans="1:5" ht="15.75">
      <c r="A9" s="1945"/>
      <c r="B9" s="3060"/>
      <c r="C9" s="1948" t="s">
        <v>1619</v>
      </c>
      <c r="D9" s="1029" t="str">
        <f>NUMBERSTRING(INT(D8*10000),2)&amp;"元整"</f>
        <v>零元整</v>
      </c>
      <c r="E9" s="1945"/>
    </row>
    <row r="10" spans="1:5" ht="15">
      <c r="A10" s="1945"/>
      <c r="B10" s="1951" t="s">
        <v>1624</v>
      </c>
      <c r="C10" s="1952" t="s">
        <v>1622</v>
      </c>
      <c r="D10" s="1031">
        <f>结果表!H104</f>
        <v>0</v>
      </c>
      <c r="E10" s="1945"/>
    </row>
    <row r="11" spans="1:5" ht="15">
      <c r="A11" s="1945"/>
      <c r="B11" s="1951" t="s">
        <v>1626</v>
      </c>
      <c r="C11" s="1952" t="s">
        <v>1627</v>
      </c>
      <c r="D11" s="1031">
        <f>结果表!H105</f>
        <v>0</v>
      </c>
      <c r="E11" s="1945"/>
    </row>
    <row r="12" spans="1:5" ht="15">
      <c r="A12" s="1945"/>
      <c r="B12" s="1951" t="s">
        <v>1628</v>
      </c>
      <c r="C12" s="1952" t="s">
        <v>1627</v>
      </c>
      <c r="D12" s="1031">
        <f>结果表!H106</f>
        <v>0</v>
      </c>
      <c r="E12" s="1945"/>
    </row>
    <row r="13" spans="1:5" ht="15.75">
      <c r="A13" s="1945"/>
      <c r="B13" s="3051" t="str">
        <f>结果表!E107</f>
        <v>3.房地产抵押价值</v>
      </c>
      <c r="C13" s="1953" t="s">
        <v>1618</v>
      </c>
      <c r="D13" s="1032">
        <f ca="1">结果表!H107</f>
        <v>27909</v>
      </c>
      <c r="E13" s="1945"/>
    </row>
    <row r="14" spans="1:5" ht="15.75">
      <c r="A14" s="1945"/>
      <c r="B14" s="3052"/>
      <c r="C14" s="1948" t="s">
        <v>1619</v>
      </c>
      <c r="D14" s="1029" t="str">
        <f ca="1">NUMBERSTRING(INT(D13*10000),2)&amp;"元整"</f>
        <v>贰亿柒仟玖佰零玖万元整</v>
      </c>
      <c r="E14" s="1945"/>
    </row>
    <row r="15" spans="1:5" ht="15">
      <c r="A15" s="1945"/>
      <c r="B15" s="3057"/>
      <c r="C15" s="1949" t="s">
        <v>1629</v>
      </c>
      <c r="D15" s="1041">
        <f ca="1">结果表!H108</f>
        <v>4185</v>
      </c>
      <c r="E15" s="1945"/>
    </row>
    <row r="16" spans="1:5" ht="15">
      <c r="A16" s="1945"/>
      <c r="B16" s="3058" t="str">
        <f>结果表!E109</f>
        <v>——</v>
      </c>
      <c r="C16" s="1953" t="s">
        <v>1630</v>
      </c>
      <c r="D16" s="1954" t="str">
        <f>结果表!H109</f>
        <v>——</v>
      </c>
      <c r="E16" s="1945"/>
    </row>
    <row r="17" spans="1:5" ht="15.75">
      <c r="A17" s="1945"/>
      <c r="B17" s="3059"/>
      <c r="C17" s="1948" t="s">
        <v>1631</v>
      </c>
      <c r="D17" s="1029" t="e">
        <f>NUMBERSTRING(INT(D16*10000),2)&amp;"元整"</f>
        <v>#VALUE!</v>
      </c>
      <c r="E17" s="1945"/>
    </row>
    <row r="18" spans="1:5" ht="15">
      <c r="A18" s="1945"/>
      <c r="B18" s="3060"/>
      <c r="C18" s="1949" t="s">
        <v>1620</v>
      </c>
      <c r="D18" s="1041" t="str">
        <f>结果表!H110</f>
        <v>——</v>
      </c>
      <c r="E18" s="1945"/>
    </row>
    <row r="19" spans="1:5" ht="15.75">
      <c r="A19" s="1945"/>
      <c r="B19" s="3051" t="str">
        <f>结果表!E111</f>
        <v>——</v>
      </c>
      <c r="C19" s="1953" t="s">
        <v>1618</v>
      </c>
      <c r="D19" s="1030" t="str">
        <f>结果表!H111</f>
        <v>——</v>
      </c>
      <c r="E19" s="1945"/>
    </row>
    <row r="20" spans="1:5" ht="15.75">
      <c r="A20" s="1945"/>
      <c r="B20" s="3052"/>
      <c r="C20" s="1948" t="s">
        <v>1631</v>
      </c>
      <c r="D20" s="1029" t="e">
        <f>NUMBERSTRING(INT(D19*10000),2)&amp;"元整"</f>
        <v>#VALUE!</v>
      </c>
      <c r="E20" s="1945"/>
    </row>
    <row r="21" spans="1:5" ht="15.75" thickBot="1">
      <c r="A21" s="1945"/>
      <c r="B21" s="3053"/>
      <c r="C21" s="1955" t="s">
        <v>1629</v>
      </c>
      <c r="D21" s="1042" t="str">
        <f>结果表!H112</f>
        <v>——</v>
      </c>
      <c r="E21" s="1945"/>
    </row>
    <row r="22" spans="1:5" ht="15" thickTop="1">
      <c r="A22" s="1945"/>
      <c r="B22" s="1956" t="s">
        <v>1632</v>
      </c>
      <c r="C22" s="1945"/>
      <c r="D22" s="1945"/>
      <c r="E22" s="1945"/>
    </row>
    <row r="23" spans="1:5">
      <c r="A23" s="1945"/>
      <c r="B23" s="1945"/>
      <c r="C23" s="1945"/>
      <c r="D23" s="1945"/>
      <c r="E23" s="1945"/>
    </row>
    <row r="24" spans="1:5" ht="18.75">
      <c r="A24" s="1957"/>
      <c r="B24" s="1958" t="s">
        <v>1623</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3.87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7"/>
    <col min="20" max="45" width="9" style="792"/>
    <col min="46" max="16384" width="9" style="137"/>
  </cols>
  <sheetData>
    <row r="1" spans="1:45" ht="14.25" customHeight="1" thickBot="1">
      <c r="A1" s="153"/>
      <c r="B1" s="1193" t="s">
        <v>2988</v>
      </c>
      <c r="C1" s="3378" t="s">
        <v>2989</v>
      </c>
      <c r="D1" s="3379"/>
      <c r="E1" s="3379"/>
      <c r="F1" s="3379"/>
      <c r="G1" s="3379"/>
      <c r="H1" s="3379"/>
      <c r="I1" s="3379"/>
      <c r="J1" s="3379"/>
      <c r="K1" s="3379"/>
      <c r="L1" s="3379"/>
      <c r="M1" s="3379"/>
      <c r="N1" s="3379"/>
      <c r="O1" s="3379"/>
      <c r="P1" s="3379"/>
      <c r="Q1" s="3379"/>
      <c r="R1" s="3379"/>
      <c r="S1" s="3380"/>
      <c r="T1" s="1193" t="s">
        <v>2990</v>
      </c>
    </row>
    <row r="2" spans="1:45" s="704" customFormat="1" ht="38.25">
      <c r="A2" s="1194"/>
      <c r="B2" s="700" t="s">
        <v>2991</v>
      </c>
      <c r="C2" s="701" t="str">
        <f t="shared" ref="C2:L2" si="0">C3&amp;"(含)"&amp;"-"&amp;D3</f>
        <v>0(含)-1000000</v>
      </c>
      <c r="D2" s="702" t="str">
        <f t="shared" si="0"/>
        <v>1000000(含)-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5"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6"/>
      <c r="B3" s="705"/>
      <c r="C3" s="706">
        <v>0</v>
      </c>
      <c r="D3" s="707">
        <v>1000000</v>
      </c>
      <c r="E3" s="707"/>
      <c r="F3" s="1692"/>
      <c r="G3" s="1692"/>
      <c r="H3" s="1692"/>
      <c r="I3" s="1692"/>
      <c r="J3" s="1692"/>
      <c r="K3" s="1692"/>
      <c r="L3" s="1693"/>
      <c r="M3" s="1694"/>
      <c r="N3" s="1694"/>
      <c r="O3" s="1692"/>
      <c r="P3" s="1692"/>
      <c r="Q3" s="1692"/>
      <c r="R3" s="1692"/>
      <c r="S3" s="169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197"/>
      <c r="B4" s="1198"/>
      <c r="C4" s="1199">
        <v>100</v>
      </c>
      <c r="D4" s="1200"/>
      <c r="E4" s="1200"/>
      <c r="F4" s="1696"/>
      <c r="G4" s="1696"/>
      <c r="H4" s="1696"/>
      <c r="I4" s="1696"/>
      <c r="J4" s="1696"/>
      <c r="K4" s="1696"/>
      <c r="L4" s="1696"/>
      <c r="M4" s="1697"/>
      <c r="N4" s="1697"/>
      <c r="O4" s="1696"/>
      <c r="P4" s="1696"/>
      <c r="Q4" s="1696"/>
      <c r="R4" s="1696"/>
      <c r="S4" s="1698"/>
      <c r="T4" s="120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04"/>
      <c r="B5" s="3046" t="s">
        <v>4689</v>
      </c>
      <c r="C5" s="3047" t="s">
        <v>4690</v>
      </c>
      <c r="D5" s="3048" t="s">
        <v>4691</v>
      </c>
      <c r="E5" s="3048" t="s">
        <v>4692</v>
      </c>
      <c r="F5" s="3048" t="s">
        <v>4695</v>
      </c>
      <c r="G5" s="1699"/>
      <c r="H5" s="1699"/>
      <c r="I5" s="1699"/>
      <c r="J5" s="1699"/>
      <c r="K5" s="1699"/>
      <c r="L5" s="1700"/>
      <c r="M5" s="1701"/>
      <c r="N5" s="1701"/>
      <c r="O5" s="1699"/>
      <c r="P5" s="1699"/>
      <c r="Q5" s="1699"/>
      <c r="R5" s="1699"/>
      <c r="S5" s="1702"/>
      <c r="T5" s="120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4"/>
      <c r="B6" s="1105"/>
      <c r="C6" s="1111">
        <v>100</v>
      </c>
      <c r="D6" s="1108">
        <f>C6-$T5</f>
        <v>98</v>
      </c>
      <c r="E6" s="1108">
        <f t="shared" ref="E6:S6" si="7">D6-$T5</f>
        <v>96</v>
      </c>
      <c r="F6" s="1703">
        <f t="shared" si="7"/>
        <v>94</v>
      </c>
      <c r="G6" s="1703">
        <f t="shared" si="7"/>
        <v>92</v>
      </c>
      <c r="H6" s="1703">
        <f t="shared" si="7"/>
        <v>90</v>
      </c>
      <c r="I6" s="1703">
        <f t="shared" si="7"/>
        <v>88</v>
      </c>
      <c r="J6" s="1703">
        <f t="shared" si="7"/>
        <v>86</v>
      </c>
      <c r="K6" s="1703">
        <f t="shared" si="7"/>
        <v>84</v>
      </c>
      <c r="L6" s="1703">
        <f t="shared" si="7"/>
        <v>82</v>
      </c>
      <c r="M6" s="1703">
        <f t="shared" si="7"/>
        <v>80</v>
      </c>
      <c r="N6" s="1703">
        <f t="shared" si="7"/>
        <v>78</v>
      </c>
      <c r="O6" s="1703">
        <f t="shared" si="7"/>
        <v>76</v>
      </c>
      <c r="P6" s="1703">
        <f t="shared" si="7"/>
        <v>74</v>
      </c>
      <c r="Q6" s="1703">
        <f t="shared" si="7"/>
        <v>72</v>
      </c>
      <c r="R6" s="1703">
        <f t="shared" si="7"/>
        <v>70</v>
      </c>
      <c r="S6" s="1703">
        <f t="shared" si="7"/>
        <v>68</v>
      </c>
      <c r="T6" s="110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04"/>
      <c r="B7" s="1757" t="s">
        <v>2992</v>
      </c>
      <c r="C7" s="1110"/>
      <c r="D7" s="1104"/>
      <c r="E7" s="1104"/>
      <c r="F7" s="1704"/>
      <c r="G7" s="1704"/>
      <c r="H7" s="1704"/>
      <c r="I7" s="1704"/>
      <c r="J7" s="1704"/>
      <c r="K7" s="1704"/>
      <c r="L7" s="1704"/>
      <c r="M7" s="1705"/>
      <c r="N7" s="1706"/>
      <c r="O7" s="1707"/>
      <c r="P7" s="1708"/>
      <c r="Q7" s="1709"/>
      <c r="R7" s="1710"/>
      <c r="S7" s="171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4"/>
      <c r="B8" s="1105"/>
      <c r="C8" s="1111">
        <v>100</v>
      </c>
      <c r="D8" s="1108">
        <f>C8-$T7</f>
        <v>100</v>
      </c>
      <c r="E8" s="1108">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0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04"/>
      <c r="B9" s="1757" t="s">
        <v>2993</v>
      </c>
      <c r="C9" s="1110"/>
      <c r="D9" s="1104"/>
      <c r="E9" s="1104"/>
      <c r="F9" s="1704"/>
      <c r="G9" s="1704"/>
      <c r="H9" s="1704"/>
      <c r="I9" s="1704"/>
      <c r="J9" s="1704"/>
      <c r="K9" s="1704"/>
      <c r="L9" s="1712"/>
      <c r="M9" s="1705"/>
      <c r="N9" s="1706"/>
      <c r="O9" s="1707"/>
      <c r="P9" s="1708"/>
      <c r="Q9" s="1709"/>
      <c r="R9" s="1710"/>
      <c r="S9" s="171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4"/>
      <c r="B10" s="1198"/>
      <c r="C10" s="1209">
        <v>100</v>
      </c>
      <c r="D10" s="1210">
        <f>C10-$T9</f>
        <v>100</v>
      </c>
      <c r="E10" s="1210">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4"/>
      <c r="B11" s="1756" t="s">
        <v>2994</v>
      </c>
      <c r="C11" s="1205"/>
      <c r="D11" s="1206"/>
      <c r="E11" s="1206"/>
      <c r="F11" s="1206"/>
      <c r="G11" s="1206"/>
      <c r="H11" s="1206"/>
      <c r="I11" s="1206"/>
      <c r="J11" s="1206"/>
      <c r="K11" s="1206"/>
      <c r="L11" s="1206"/>
      <c r="M11" s="1207"/>
      <c r="N11" s="1211"/>
      <c r="O11" s="1212"/>
      <c r="P11" s="1213"/>
      <c r="Q11" s="1214"/>
      <c r="R11" s="1215"/>
      <c r="S11" s="1216"/>
      <c r="T11" s="120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4"/>
      <c r="B13" s="1756" t="s">
        <v>2995</v>
      </c>
      <c r="C13" s="1205"/>
      <c r="D13" s="1206"/>
      <c r="E13" s="1206"/>
      <c r="F13" s="1206"/>
      <c r="G13" s="1206"/>
      <c r="H13" s="1206"/>
      <c r="I13" s="1206"/>
      <c r="J13" s="1206"/>
      <c r="K13" s="1206"/>
      <c r="L13" s="1206"/>
      <c r="M13" s="1207"/>
      <c r="N13" s="1211"/>
      <c r="O13" s="1212"/>
      <c r="P13" s="1213"/>
      <c r="Q13" s="1214"/>
      <c r="R13" s="1215"/>
      <c r="S13" s="1216"/>
      <c r="T13" s="121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4"/>
      <c r="B15" s="1756" t="s">
        <v>2996</v>
      </c>
      <c r="C15" s="1205"/>
      <c r="D15" s="1206"/>
      <c r="E15" s="1206"/>
      <c r="F15" s="1206"/>
      <c r="G15" s="1206"/>
      <c r="H15" s="1206"/>
      <c r="I15" s="1206"/>
      <c r="J15" s="1206"/>
      <c r="K15" s="1206"/>
      <c r="L15" s="1206"/>
      <c r="M15" s="1207"/>
      <c r="N15" s="1211"/>
      <c r="O15" s="1212"/>
      <c r="P15" s="1213"/>
      <c r="Q15" s="1214"/>
      <c r="R15" s="1215"/>
      <c r="S15" s="1216"/>
      <c r="T15" s="121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86" t="s">
        <v>2997</v>
      </c>
      <c r="B17" s="2887" t="s">
        <v>2998</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3"/>
      <c r="AS17" s="793"/>
    </row>
    <row r="18" spans="1:45" s="704"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93"/>
      <c r="AS18" s="793"/>
    </row>
    <row r="19" spans="1:45">
      <c r="A19" s="136"/>
      <c r="B19" s="166"/>
      <c r="C19" s="166"/>
      <c r="D19" s="2888" t="s">
        <v>2999</v>
      </c>
      <c r="E19" s="1779"/>
      <c r="F19" s="1779"/>
      <c r="G19" s="1779"/>
      <c r="H19" s="1269"/>
      <c r="I19" s="166"/>
      <c r="J19" s="166"/>
      <c r="K19" s="166"/>
      <c r="L19" s="166"/>
      <c r="M19" s="166"/>
      <c r="N19" s="166"/>
      <c r="O19" s="166"/>
      <c r="P19" s="166"/>
      <c r="Q19" s="166"/>
      <c r="R19" s="785"/>
      <c r="S19" s="136"/>
    </row>
    <row r="20" spans="1:45" ht="16.5" thickBot="1">
      <c r="A20" s="712" t="s">
        <v>3000</v>
      </c>
      <c r="B20" s="336">
        <f ca="1">IF(D20="——",S22,S22-F20)</f>
        <v>84860</v>
      </c>
      <c r="C20" s="166"/>
      <c r="D20" s="2889" t="s">
        <v>70</v>
      </c>
      <c r="E20" s="1780"/>
      <c r="F20" s="1193" t="e">
        <f ca="1">SUMIF(INDIRECT("'"&amp;H20&amp;"'"&amp;"!A:A"),"承租人权益价值",INDIRECT("'"&amp;H20&amp;"'"&amp;"!c:c"))</f>
        <v>#REF!</v>
      </c>
      <c r="G20" s="1193" t="s">
        <v>3001</v>
      </c>
      <c r="H20" s="2890"/>
      <c r="I20" s="166"/>
      <c r="J20" s="166"/>
      <c r="K20" s="166"/>
      <c r="L20" s="166"/>
      <c r="M20" s="166"/>
      <c r="N20" s="166"/>
      <c r="O20" s="166"/>
      <c r="P20" s="166"/>
      <c r="Q20" s="166"/>
      <c r="R20" s="785"/>
      <c r="S20" s="136"/>
    </row>
    <row r="21" spans="1:45" ht="15.75">
      <c r="A21" s="712" t="s">
        <v>3002</v>
      </c>
      <c r="B21" s="336">
        <f ca="1">R22</f>
        <v>4225</v>
      </c>
      <c r="C21" s="166"/>
      <c r="D21" s="166"/>
      <c r="E21" s="166"/>
      <c r="F21" s="166"/>
      <c r="G21" s="166"/>
      <c r="H21" s="166"/>
      <c r="I21" s="166"/>
      <c r="J21" s="166"/>
      <c r="K21" s="166"/>
      <c r="L21" s="166"/>
      <c r="M21" s="166"/>
      <c r="N21" s="166"/>
      <c r="O21" s="166"/>
      <c r="P21" s="166"/>
      <c r="Q21" s="166"/>
      <c r="R21" s="785"/>
      <c r="S21" s="136"/>
    </row>
    <row r="22" spans="1:45">
      <c r="A22" s="359" t="s">
        <v>3003</v>
      </c>
      <c r="B22" s="23">
        <f>SUM(B24:B10000)</f>
        <v>200839.61</v>
      </c>
      <c r="C22" s="3235" t="s">
        <v>33</v>
      </c>
      <c r="D22" s="3236"/>
      <c r="E22" s="3236"/>
      <c r="F22" s="3236"/>
      <c r="G22" s="3236"/>
      <c r="H22" s="3236"/>
      <c r="I22" s="3236"/>
      <c r="J22" s="3236"/>
      <c r="K22" s="3236"/>
      <c r="L22" s="3236"/>
      <c r="M22" s="3236"/>
      <c r="N22" s="3236"/>
      <c r="O22" s="3236"/>
      <c r="P22" s="3236"/>
      <c r="Q22" s="3377"/>
      <c r="R22" s="713">
        <f ca="1">ROUND(S22*10000/B22,0)</f>
        <v>4225</v>
      </c>
      <c r="S22" s="23">
        <f ca="1">SUM(S24:S10000)</f>
        <v>84860</v>
      </c>
    </row>
    <row r="23" spans="1:45" s="12" customFormat="1" ht="24">
      <c r="A23" s="11" t="s">
        <v>3004</v>
      </c>
      <c r="B23" s="11" t="s">
        <v>3005</v>
      </c>
      <c r="C23" s="11" t="s">
        <v>3006</v>
      </c>
      <c r="D23" s="11" t="str">
        <f>B5</f>
        <v>容积率</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4" t="s">
        <v>3007</v>
      </c>
      <c r="S23" s="11" t="s">
        <v>3008</v>
      </c>
      <c r="T23" s="796"/>
      <c r="U23" s="3049" t="s">
        <v>4693</v>
      </c>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24">
      <c r="A24" s="3045" t="str">
        <f>'20200214地块划分明细表'!C4</f>
        <v>商业-13B
（02-07-02地块）</v>
      </c>
      <c r="B24" s="715">
        <f>ROUND('20200214地块划分明细表'!J4,2)</f>
        <v>66687.25</v>
      </c>
      <c r="C24" s="716">
        <v>1</v>
      </c>
      <c r="D24" s="717" t="s">
        <v>4694</v>
      </c>
      <c r="E24" s="716">
        <v>1</v>
      </c>
      <c r="F24" s="717"/>
      <c r="G24" s="716">
        <v>1</v>
      </c>
      <c r="H24" s="717"/>
      <c r="I24" s="716">
        <v>1</v>
      </c>
      <c r="J24" s="717"/>
      <c r="K24" s="716">
        <v>1</v>
      </c>
      <c r="L24" s="717"/>
      <c r="M24" s="716">
        <v>1</v>
      </c>
      <c r="N24" s="717"/>
      <c r="O24" s="716">
        <v>1</v>
      </c>
      <c r="P24" s="717"/>
      <c r="Q24" s="716">
        <v>1</v>
      </c>
      <c r="R24" s="718">
        <f ca="1">结果表!H102</f>
        <v>4185</v>
      </c>
      <c r="S24" s="716">
        <f t="shared" ref="S24:S54" ca="1" si="11">ROUND(R24*B24/10000,0)</f>
        <v>27909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24">
      <c r="A25" s="3045" t="str">
        <f>'20200214地块划分明细表'!C5</f>
        <v>商业-01、02
（02-05-04地块）</v>
      </c>
      <c r="B25" s="58">
        <f>ROUND('20200214地块划分明细表'!J5,2)</f>
        <v>101963.11</v>
      </c>
      <c r="C25" s="23">
        <f>IF(B25="",1,(LOOKUP(B25,$3:$3,$4:$4)-LOOKUP($B$24,$3:$3,$4:$4)+100)/100)</f>
        <v>1</v>
      </c>
      <c r="D25" s="717" t="s">
        <v>4694</v>
      </c>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 ca="1">IF(B25="",0,ROUND($R$24*C25*E25*G25*I25*K25*M25*O25*Q25,0))</f>
        <v>4185</v>
      </c>
      <c r="S25" s="359">
        <f t="shared" ca="1" si="11"/>
        <v>42672</v>
      </c>
    </row>
    <row r="26" spans="1:45" ht="24">
      <c r="A26" s="3045" t="str">
        <f>'20200214地块划分明细表'!C3</f>
        <v>商业-04
（02-04-01地块）</v>
      </c>
      <c r="B26" s="58">
        <f>ROUND('20200214地块划分明细表'!K3,2)</f>
        <v>32189.25</v>
      </c>
      <c r="C26" s="23">
        <f t="shared" ref="C26:C89" si="12">IF(B26="",1,(LOOKUP(B26,$3:$3,$4:$4)-LOOKUP($B$24,$3:$3,$4:$4)+100)/100)</f>
        <v>1</v>
      </c>
      <c r="D26" s="717" t="s">
        <v>4696</v>
      </c>
      <c r="E26" s="23">
        <f t="shared" ref="E26:E89" si="13">(SUMIF($5:$5,D26,$6:$6)-SUMIF($5:$5,$D$24,$6:$6)+100)/100</f>
        <v>1.06</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ca="1" si="20">IF(B26="",0,ROUND($R$24*C26*E26*G26*I26*K26*M26*O26*Q26,0))</f>
        <v>4436</v>
      </c>
      <c r="S26" s="359">
        <f t="shared" ca="1" si="11"/>
        <v>14279</v>
      </c>
    </row>
    <row r="27" spans="1:45">
      <c r="A27" s="157"/>
      <c r="B27" s="58"/>
      <c r="C27" s="23">
        <f t="shared" si="12"/>
        <v>1</v>
      </c>
      <c r="D27" s="717"/>
      <c r="E27" s="23">
        <f t="shared" si="13"/>
        <v>0.06</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9">
        <f t="shared" si="11"/>
        <v>0</v>
      </c>
    </row>
    <row r="28" spans="1:45">
      <c r="A28" s="157"/>
      <c r="B28" s="58"/>
      <c r="C28" s="23">
        <f t="shared" si="12"/>
        <v>1</v>
      </c>
      <c r="D28" s="717"/>
      <c r="E28" s="23">
        <f t="shared" si="13"/>
        <v>0.06</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9">
        <f t="shared" si="11"/>
        <v>0</v>
      </c>
    </row>
    <row r="29" spans="1:45">
      <c r="A29" s="157"/>
      <c r="B29" s="58"/>
      <c r="C29" s="23">
        <f t="shared" si="12"/>
        <v>1</v>
      </c>
      <c r="D29" s="717"/>
      <c r="E29" s="23">
        <f t="shared" si="13"/>
        <v>0.06</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9">
        <f t="shared" si="11"/>
        <v>0</v>
      </c>
    </row>
    <row r="30" spans="1:45">
      <c r="A30" s="157"/>
      <c r="B30" s="58"/>
      <c r="C30" s="23">
        <f t="shared" si="12"/>
        <v>1</v>
      </c>
      <c r="D30" s="717"/>
      <c r="E30" s="23">
        <f t="shared" si="13"/>
        <v>0.06</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9">
        <f t="shared" si="11"/>
        <v>0</v>
      </c>
    </row>
    <row r="31" spans="1:45">
      <c r="A31" s="157"/>
      <c r="B31" s="58"/>
      <c r="C31" s="23">
        <f t="shared" si="12"/>
        <v>1</v>
      </c>
      <c r="D31" s="717"/>
      <c r="E31" s="23">
        <f t="shared" si="13"/>
        <v>0.06</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9">
        <f t="shared" si="11"/>
        <v>0</v>
      </c>
    </row>
    <row r="32" spans="1:45">
      <c r="A32" s="157"/>
      <c r="B32" s="58"/>
      <c r="C32" s="23">
        <f t="shared" si="12"/>
        <v>1</v>
      </c>
      <c r="D32" s="717"/>
      <c r="E32" s="23">
        <f t="shared" si="13"/>
        <v>0.06</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9">
        <f t="shared" si="11"/>
        <v>0</v>
      </c>
    </row>
    <row r="33" spans="1:19">
      <c r="A33" s="157"/>
      <c r="B33" s="58"/>
      <c r="C33" s="23">
        <f t="shared" si="12"/>
        <v>1</v>
      </c>
      <c r="D33" s="717"/>
      <c r="E33" s="23">
        <f t="shared" si="13"/>
        <v>0.06</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9">
        <f t="shared" si="11"/>
        <v>0</v>
      </c>
    </row>
    <row r="34" spans="1:19">
      <c r="A34" s="157"/>
      <c r="B34" s="58"/>
      <c r="C34" s="23">
        <f t="shared" si="12"/>
        <v>1</v>
      </c>
      <c r="D34" s="717"/>
      <c r="E34" s="23">
        <f t="shared" si="13"/>
        <v>0.06</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9">
        <f t="shared" si="11"/>
        <v>0</v>
      </c>
    </row>
    <row r="35" spans="1:19">
      <c r="A35" s="157"/>
      <c r="B35" s="58"/>
      <c r="C35" s="23">
        <f t="shared" si="12"/>
        <v>1</v>
      </c>
      <c r="D35" s="717"/>
      <c r="E35" s="23">
        <f t="shared" si="13"/>
        <v>0.06</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9">
        <f t="shared" si="11"/>
        <v>0</v>
      </c>
    </row>
    <row r="36" spans="1:19">
      <c r="A36" s="157"/>
      <c r="B36" s="58"/>
      <c r="C36" s="23">
        <f t="shared" si="12"/>
        <v>1</v>
      </c>
      <c r="D36" s="717"/>
      <c r="E36" s="23">
        <f t="shared" si="13"/>
        <v>0.06</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9">
        <f t="shared" si="11"/>
        <v>0</v>
      </c>
    </row>
    <row r="37" spans="1:19">
      <c r="A37" s="157"/>
      <c r="B37" s="58"/>
      <c r="C37" s="23">
        <f t="shared" si="12"/>
        <v>1</v>
      </c>
      <c r="D37" s="717"/>
      <c r="E37" s="23">
        <f t="shared" si="13"/>
        <v>0.06</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9">
        <f t="shared" si="11"/>
        <v>0</v>
      </c>
    </row>
    <row r="38" spans="1:19">
      <c r="A38" s="157"/>
      <c r="B38" s="58"/>
      <c r="C38" s="23">
        <f t="shared" si="12"/>
        <v>1</v>
      </c>
      <c r="D38" s="717"/>
      <c r="E38" s="23">
        <f t="shared" si="13"/>
        <v>0.06</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9">
        <f t="shared" si="11"/>
        <v>0</v>
      </c>
    </row>
    <row r="39" spans="1:19">
      <c r="A39" s="157"/>
      <c r="B39" s="58"/>
      <c r="C39" s="23">
        <f t="shared" si="12"/>
        <v>1</v>
      </c>
      <c r="D39" s="717"/>
      <c r="E39" s="23">
        <f t="shared" si="13"/>
        <v>0.06</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9">
        <f t="shared" si="11"/>
        <v>0</v>
      </c>
    </row>
    <row r="40" spans="1:19">
      <c r="A40" s="157"/>
      <c r="B40" s="58"/>
      <c r="C40" s="23">
        <f t="shared" si="12"/>
        <v>1</v>
      </c>
      <c r="D40" s="717"/>
      <c r="E40" s="23">
        <f t="shared" si="13"/>
        <v>0.06</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9">
        <f t="shared" si="11"/>
        <v>0</v>
      </c>
    </row>
    <row r="41" spans="1:19">
      <c r="A41" s="157"/>
      <c r="B41" s="58"/>
      <c r="C41" s="23">
        <f t="shared" si="12"/>
        <v>1</v>
      </c>
      <c r="D41" s="717"/>
      <c r="E41" s="23">
        <f t="shared" si="13"/>
        <v>0.06</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9">
        <f t="shared" si="11"/>
        <v>0</v>
      </c>
    </row>
    <row r="42" spans="1:19">
      <c r="A42" s="157"/>
      <c r="B42" s="58"/>
      <c r="C42" s="23">
        <f t="shared" si="12"/>
        <v>1</v>
      </c>
      <c r="D42" s="717"/>
      <c r="E42" s="23">
        <f t="shared" si="13"/>
        <v>0.06</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9">
        <f t="shared" si="11"/>
        <v>0</v>
      </c>
    </row>
    <row r="43" spans="1:19">
      <c r="A43" s="157"/>
      <c r="B43" s="58"/>
      <c r="C43" s="23">
        <f t="shared" si="12"/>
        <v>1</v>
      </c>
      <c r="D43" s="717"/>
      <c r="E43" s="23">
        <f t="shared" si="13"/>
        <v>0.06</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9">
        <f t="shared" si="11"/>
        <v>0</v>
      </c>
    </row>
    <row r="44" spans="1:19">
      <c r="A44" s="157"/>
      <c r="B44" s="58"/>
      <c r="C44" s="23">
        <f t="shared" si="12"/>
        <v>1</v>
      </c>
      <c r="D44" s="717"/>
      <c r="E44" s="23">
        <f t="shared" si="13"/>
        <v>0.06</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9">
        <f t="shared" si="11"/>
        <v>0</v>
      </c>
    </row>
    <row r="45" spans="1:19">
      <c r="A45" s="157"/>
      <c r="B45" s="58"/>
      <c r="C45" s="23">
        <f t="shared" si="12"/>
        <v>1</v>
      </c>
      <c r="D45" s="717"/>
      <c r="E45" s="23">
        <f t="shared" si="13"/>
        <v>0.06</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9">
        <f t="shared" si="11"/>
        <v>0</v>
      </c>
    </row>
    <row r="46" spans="1:19">
      <c r="A46" s="157"/>
      <c r="B46" s="58"/>
      <c r="C46" s="23">
        <f t="shared" si="12"/>
        <v>1</v>
      </c>
      <c r="D46" s="717"/>
      <c r="E46" s="23">
        <f t="shared" si="13"/>
        <v>0.06</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9">
        <f t="shared" si="11"/>
        <v>0</v>
      </c>
    </row>
    <row r="47" spans="1:19">
      <c r="A47" s="157"/>
      <c r="B47" s="58"/>
      <c r="C47" s="23">
        <f t="shared" si="12"/>
        <v>1</v>
      </c>
      <c r="D47" s="717"/>
      <c r="E47" s="23">
        <f t="shared" si="13"/>
        <v>0.06</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9">
        <f t="shared" si="11"/>
        <v>0</v>
      </c>
    </row>
    <row r="48" spans="1:19">
      <c r="A48" s="157"/>
      <c r="B48" s="58"/>
      <c r="C48" s="23">
        <f t="shared" si="12"/>
        <v>1</v>
      </c>
      <c r="D48" s="717"/>
      <c r="E48" s="23">
        <f t="shared" si="13"/>
        <v>0.06</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9">
        <f t="shared" si="11"/>
        <v>0</v>
      </c>
    </row>
    <row r="49" spans="1:19">
      <c r="A49" s="157"/>
      <c r="B49" s="58"/>
      <c r="C49" s="23">
        <f t="shared" si="12"/>
        <v>1</v>
      </c>
      <c r="D49" s="717"/>
      <c r="E49" s="23">
        <f t="shared" si="13"/>
        <v>0.06</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9">
        <f t="shared" si="11"/>
        <v>0</v>
      </c>
    </row>
    <row r="50" spans="1:19">
      <c r="A50" s="157"/>
      <c r="B50" s="58"/>
      <c r="C50" s="23">
        <f t="shared" si="12"/>
        <v>1</v>
      </c>
      <c r="D50" s="717"/>
      <c r="E50" s="23">
        <f t="shared" si="13"/>
        <v>0.06</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9">
        <f t="shared" si="11"/>
        <v>0</v>
      </c>
    </row>
    <row r="51" spans="1:19">
      <c r="A51" s="157"/>
      <c r="B51" s="58"/>
      <c r="C51" s="23">
        <f t="shared" si="12"/>
        <v>1</v>
      </c>
      <c r="D51" s="717"/>
      <c r="E51" s="23">
        <f t="shared" si="13"/>
        <v>0.06</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9">
        <f t="shared" si="11"/>
        <v>0</v>
      </c>
    </row>
    <row r="52" spans="1:19">
      <c r="A52" s="157"/>
      <c r="B52" s="58"/>
      <c r="C52" s="23">
        <f t="shared" si="12"/>
        <v>1</v>
      </c>
      <c r="D52" s="717"/>
      <c r="E52" s="23">
        <f t="shared" si="13"/>
        <v>0.06</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9">
        <f t="shared" si="11"/>
        <v>0</v>
      </c>
    </row>
    <row r="53" spans="1:19">
      <c r="A53" s="157"/>
      <c r="B53" s="58"/>
      <c r="C53" s="23">
        <f t="shared" si="12"/>
        <v>1</v>
      </c>
      <c r="D53" s="717"/>
      <c r="E53" s="23">
        <f t="shared" si="13"/>
        <v>0.06</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9">
        <f t="shared" si="11"/>
        <v>0</v>
      </c>
    </row>
    <row r="54" spans="1:19">
      <c r="A54" s="157"/>
      <c r="B54" s="58"/>
      <c r="C54" s="23">
        <f t="shared" si="12"/>
        <v>1</v>
      </c>
      <c r="D54" s="717"/>
      <c r="E54" s="23">
        <f t="shared" si="13"/>
        <v>0.06</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9">
        <f t="shared" si="11"/>
        <v>0</v>
      </c>
    </row>
    <row r="55" spans="1:19">
      <c r="A55" s="157"/>
      <c r="B55" s="58"/>
      <c r="C55" s="23">
        <f t="shared" si="12"/>
        <v>1</v>
      </c>
      <c r="D55" s="717"/>
      <c r="E55" s="23">
        <f t="shared" si="13"/>
        <v>0.06</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9">
        <f t="shared" ref="S55:S77" si="21">ROUND(R55*B55/10000,0)</f>
        <v>0</v>
      </c>
    </row>
    <row r="56" spans="1:19">
      <c r="A56" s="157"/>
      <c r="B56" s="58"/>
      <c r="C56" s="23">
        <f t="shared" si="12"/>
        <v>1</v>
      </c>
      <c r="D56" s="717"/>
      <c r="E56" s="23">
        <f t="shared" si="13"/>
        <v>0.06</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9">
        <f t="shared" si="21"/>
        <v>0</v>
      </c>
    </row>
    <row r="57" spans="1:19">
      <c r="A57" s="157"/>
      <c r="B57" s="58"/>
      <c r="C57" s="23">
        <f t="shared" si="12"/>
        <v>1</v>
      </c>
      <c r="D57" s="717"/>
      <c r="E57" s="23">
        <f t="shared" si="13"/>
        <v>0.06</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9">
        <f t="shared" si="21"/>
        <v>0</v>
      </c>
    </row>
    <row r="58" spans="1:19">
      <c r="A58" s="157"/>
      <c r="B58" s="58"/>
      <c r="C58" s="23">
        <f t="shared" si="12"/>
        <v>1</v>
      </c>
      <c r="D58" s="717"/>
      <c r="E58" s="23">
        <f t="shared" si="13"/>
        <v>0.06</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9">
        <f t="shared" si="21"/>
        <v>0</v>
      </c>
    </row>
    <row r="59" spans="1:19">
      <c r="A59" s="157"/>
      <c r="B59" s="58"/>
      <c r="C59" s="23">
        <f t="shared" si="12"/>
        <v>1</v>
      </c>
      <c r="D59" s="717"/>
      <c r="E59" s="23">
        <f t="shared" si="13"/>
        <v>0.06</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9">
        <f t="shared" si="21"/>
        <v>0</v>
      </c>
    </row>
    <row r="60" spans="1:19">
      <c r="A60" s="157"/>
      <c r="B60" s="58"/>
      <c r="C60" s="23">
        <f t="shared" si="12"/>
        <v>1</v>
      </c>
      <c r="D60" s="717"/>
      <c r="E60" s="23">
        <f t="shared" si="13"/>
        <v>0.06</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9">
        <f t="shared" si="21"/>
        <v>0</v>
      </c>
    </row>
    <row r="61" spans="1:19">
      <c r="A61" s="157"/>
      <c r="B61" s="58"/>
      <c r="C61" s="23">
        <f t="shared" si="12"/>
        <v>1</v>
      </c>
      <c r="D61" s="717"/>
      <c r="E61" s="23">
        <f t="shared" si="13"/>
        <v>0.06</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9">
        <f t="shared" si="21"/>
        <v>0</v>
      </c>
    </row>
    <row r="62" spans="1:19">
      <c r="A62" s="157"/>
      <c r="B62" s="58"/>
      <c r="C62" s="23">
        <f t="shared" si="12"/>
        <v>1</v>
      </c>
      <c r="D62" s="717"/>
      <c r="E62" s="23">
        <f t="shared" si="13"/>
        <v>0.06</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9">
        <f t="shared" si="21"/>
        <v>0</v>
      </c>
    </row>
    <row r="63" spans="1:19">
      <c r="A63" s="157"/>
      <c r="B63" s="58"/>
      <c r="C63" s="23">
        <f t="shared" si="12"/>
        <v>1</v>
      </c>
      <c r="D63" s="717"/>
      <c r="E63" s="23">
        <f t="shared" si="13"/>
        <v>0.06</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9">
        <f t="shared" si="21"/>
        <v>0</v>
      </c>
    </row>
    <row r="64" spans="1:19">
      <c r="A64" s="157"/>
      <c r="B64" s="58"/>
      <c r="C64" s="23">
        <f t="shared" si="12"/>
        <v>1</v>
      </c>
      <c r="D64" s="717"/>
      <c r="E64" s="23">
        <f t="shared" si="13"/>
        <v>0.06</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9">
        <f t="shared" si="21"/>
        <v>0</v>
      </c>
    </row>
    <row r="65" spans="1:19">
      <c r="A65" s="157"/>
      <c r="B65" s="58"/>
      <c r="C65" s="23">
        <f t="shared" si="12"/>
        <v>1</v>
      </c>
      <c r="D65" s="717"/>
      <c r="E65" s="23">
        <f t="shared" si="13"/>
        <v>0.06</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9">
        <f t="shared" si="21"/>
        <v>0</v>
      </c>
    </row>
    <row r="66" spans="1:19">
      <c r="A66" s="157"/>
      <c r="B66" s="58"/>
      <c r="C66" s="23">
        <f t="shared" si="12"/>
        <v>1</v>
      </c>
      <c r="D66" s="717"/>
      <c r="E66" s="23">
        <f t="shared" si="13"/>
        <v>0.06</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9">
        <f t="shared" si="21"/>
        <v>0</v>
      </c>
    </row>
    <row r="67" spans="1:19">
      <c r="A67" s="157"/>
      <c r="B67" s="58"/>
      <c r="C67" s="23">
        <f t="shared" si="12"/>
        <v>1</v>
      </c>
      <c r="D67" s="717"/>
      <c r="E67" s="23">
        <f t="shared" si="13"/>
        <v>0.06</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9">
        <f t="shared" si="21"/>
        <v>0</v>
      </c>
    </row>
    <row r="68" spans="1:19">
      <c r="A68" s="157"/>
      <c r="B68" s="58"/>
      <c r="C68" s="23">
        <f t="shared" si="12"/>
        <v>1</v>
      </c>
      <c r="D68" s="717"/>
      <c r="E68" s="23">
        <f t="shared" si="13"/>
        <v>0.06</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9">
        <f t="shared" si="21"/>
        <v>0</v>
      </c>
    </row>
    <row r="69" spans="1:19">
      <c r="A69" s="157"/>
      <c r="B69" s="58"/>
      <c r="C69" s="23">
        <f t="shared" si="12"/>
        <v>1</v>
      </c>
      <c r="D69" s="717"/>
      <c r="E69" s="23">
        <f t="shared" si="13"/>
        <v>0.06</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9">
        <f t="shared" si="21"/>
        <v>0</v>
      </c>
    </row>
    <row r="70" spans="1:19">
      <c r="A70" s="157"/>
      <c r="B70" s="58"/>
      <c r="C70" s="23">
        <f t="shared" si="12"/>
        <v>1</v>
      </c>
      <c r="D70" s="717"/>
      <c r="E70" s="23">
        <f t="shared" si="13"/>
        <v>0.06</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9">
        <f t="shared" si="21"/>
        <v>0</v>
      </c>
    </row>
    <row r="71" spans="1:19">
      <c r="A71" s="157"/>
      <c r="B71" s="58"/>
      <c r="C71" s="23">
        <f t="shared" si="12"/>
        <v>1</v>
      </c>
      <c r="D71" s="717"/>
      <c r="E71" s="23">
        <f t="shared" si="13"/>
        <v>0.06</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9">
        <f t="shared" si="21"/>
        <v>0</v>
      </c>
    </row>
    <row r="72" spans="1:19">
      <c r="A72" s="157"/>
      <c r="B72" s="58"/>
      <c r="C72" s="23">
        <f t="shared" si="12"/>
        <v>1</v>
      </c>
      <c r="D72" s="717"/>
      <c r="E72" s="23">
        <f t="shared" si="13"/>
        <v>0.06</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9">
        <f t="shared" si="21"/>
        <v>0</v>
      </c>
    </row>
    <row r="73" spans="1:19">
      <c r="A73" s="157"/>
      <c r="B73" s="58"/>
      <c r="C73" s="23">
        <f t="shared" si="12"/>
        <v>1</v>
      </c>
      <c r="D73" s="717"/>
      <c r="E73" s="23">
        <f t="shared" si="13"/>
        <v>0.06</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9">
        <f t="shared" si="21"/>
        <v>0</v>
      </c>
    </row>
    <row r="74" spans="1:19">
      <c r="A74" s="157"/>
      <c r="B74" s="58"/>
      <c r="C74" s="23">
        <f t="shared" si="12"/>
        <v>1</v>
      </c>
      <c r="D74" s="717"/>
      <c r="E74" s="23">
        <f t="shared" si="13"/>
        <v>0.06</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9">
        <f t="shared" si="21"/>
        <v>0</v>
      </c>
    </row>
    <row r="75" spans="1:19">
      <c r="A75" s="157"/>
      <c r="B75" s="58"/>
      <c r="C75" s="23">
        <f t="shared" si="12"/>
        <v>1</v>
      </c>
      <c r="D75" s="717"/>
      <c r="E75" s="23">
        <f t="shared" si="13"/>
        <v>0.06</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9">
        <f t="shared" si="21"/>
        <v>0</v>
      </c>
    </row>
    <row r="76" spans="1:19">
      <c r="A76" s="157"/>
      <c r="B76" s="58"/>
      <c r="C76" s="23">
        <f t="shared" si="12"/>
        <v>1</v>
      </c>
      <c r="D76" s="717"/>
      <c r="E76" s="23">
        <f t="shared" si="13"/>
        <v>0.06</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9">
        <f t="shared" si="21"/>
        <v>0</v>
      </c>
    </row>
    <row r="77" spans="1:19">
      <c r="A77" s="157"/>
      <c r="B77" s="58"/>
      <c r="C77" s="23">
        <f t="shared" si="12"/>
        <v>1</v>
      </c>
      <c r="D77" s="717"/>
      <c r="E77" s="23">
        <f t="shared" si="13"/>
        <v>0.06</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9">
        <f t="shared" si="21"/>
        <v>0</v>
      </c>
    </row>
    <row r="78" spans="1:19">
      <c r="A78" s="157"/>
      <c r="B78" s="58"/>
      <c r="C78" s="23">
        <f t="shared" si="12"/>
        <v>1</v>
      </c>
      <c r="D78" s="717"/>
      <c r="E78" s="23">
        <f t="shared" si="13"/>
        <v>0.06</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9">
        <f t="shared" ref="S78:S122" si="22">ROUND(R78*B78/10000,0)</f>
        <v>0</v>
      </c>
    </row>
    <row r="79" spans="1:19">
      <c r="A79" s="157"/>
      <c r="B79" s="58"/>
      <c r="C79" s="23">
        <f t="shared" si="12"/>
        <v>1</v>
      </c>
      <c r="D79" s="717"/>
      <c r="E79" s="23">
        <f t="shared" si="13"/>
        <v>0.06</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9">
        <f t="shared" si="22"/>
        <v>0</v>
      </c>
    </row>
    <row r="80" spans="1:19">
      <c r="A80" s="157"/>
      <c r="B80" s="58"/>
      <c r="C80" s="23">
        <f t="shared" si="12"/>
        <v>1</v>
      </c>
      <c r="D80" s="717"/>
      <c r="E80" s="23">
        <f t="shared" si="13"/>
        <v>0.06</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9">
        <f t="shared" si="22"/>
        <v>0</v>
      </c>
    </row>
    <row r="81" spans="1:19">
      <c r="A81" s="157"/>
      <c r="B81" s="58"/>
      <c r="C81" s="23">
        <f t="shared" si="12"/>
        <v>1</v>
      </c>
      <c r="D81" s="717"/>
      <c r="E81" s="23">
        <f t="shared" si="13"/>
        <v>0.06</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9">
        <f t="shared" si="22"/>
        <v>0</v>
      </c>
    </row>
    <row r="82" spans="1:19">
      <c r="A82" s="157"/>
      <c r="B82" s="58"/>
      <c r="C82" s="23">
        <f t="shared" si="12"/>
        <v>1</v>
      </c>
      <c r="D82" s="717"/>
      <c r="E82" s="23">
        <f t="shared" si="13"/>
        <v>0.06</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9">
        <f t="shared" si="22"/>
        <v>0</v>
      </c>
    </row>
    <row r="83" spans="1:19">
      <c r="A83" s="157"/>
      <c r="B83" s="58"/>
      <c r="C83" s="23">
        <f t="shared" si="12"/>
        <v>1</v>
      </c>
      <c r="D83" s="717"/>
      <c r="E83" s="23">
        <f t="shared" si="13"/>
        <v>0.06</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9">
        <f t="shared" si="22"/>
        <v>0</v>
      </c>
    </row>
    <row r="84" spans="1:19">
      <c r="A84" s="157"/>
      <c r="B84" s="58"/>
      <c r="C84" s="23">
        <f t="shared" si="12"/>
        <v>1</v>
      </c>
      <c r="D84" s="717"/>
      <c r="E84" s="23">
        <f t="shared" si="13"/>
        <v>0.06</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9">
        <f t="shared" si="22"/>
        <v>0</v>
      </c>
    </row>
    <row r="85" spans="1:19">
      <c r="A85" s="157"/>
      <c r="B85" s="58"/>
      <c r="C85" s="23">
        <f t="shared" si="12"/>
        <v>1</v>
      </c>
      <c r="D85" s="717"/>
      <c r="E85" s="23">
        <f t="shared" si="13"/>
        <v>0.06</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9">
        <f t="shared" si="22"/>
        <v>0</v>
      </c>
    </row>
    <row r="86" spans="1:19">
      <c r="A86" s="157"/>
      <c r="B86" s="58"/>
      <c r="C86" s="23">
        <f t="shared" si="12"/>
        <v>1</v>
      </c>
      <c r="D86" s="717"/>
      <c r="E86" s="23">
        <f t="shared" si="13"/>
        <v>0.06</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9">
        <f t="shared" si="22"/>
        <v>0</v>
      </c>
    </row>
    <row r="87" spans="1:19">
      <c r="A87" s="157"/>
      <c r="B87" s="58"/>
      <c r="C87" s="23">
        <f t="shared" si="12"/>
        <v>1</v>
      </c>
      <c r="D87" s="717"/>
      <c r="E87" s="23">
        <f t="shared" si="13"/>
        <v>0.06</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9">
        <f t="shared" si="22"/>
        <v>0</v>
      </c>
    </row>
    <row r="88" spans="1:19">
      <c r="A88" s="157"/>
      <c r="B88" s="58"/>
      <c r="C88" s="23">
        <f t="shared" si="12"/>
        <v>1</v>
      </c>
      <c r="D88" s="717"/>
      <c r="E88" s="23">
        <f t="shared" si="13"/>
        <v>0.06</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9">
        <f t="shared" si="22"/>
        <v>0</v>
      </c>
    </row>
    <row r="89" spans="1:19">
      <c r="A89" s="157"/>
      <c r="B89" s="58"/>
      <c r="C89" s="23">
        <f t="shared" si="12"/>
        <v>1</v>
      </c>
      <c r="D89" s="717"/>
      <c r="E89" s="23">
        <f t="shared" si="13"/>
        <v>0.06</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9">
        <f t="shared" si="22"/>
        <v>0</v>
      </c>
    </row>
    <row r="90" spans="1:19">
      <c r="A90" s="157"/>
      <c r="B90" s="58"/>
      <c r="C90" s="23">
        <f t="shared" ref="C90:C153" si="23">IF(B90="",1,(LOOKUP(B90,$3:$3,$4:$4)-LOOKUP($B$24,$3:$3,$4:$4)+100)/100)</f>
        <v>1</v>
      </c>
      <c r="D90" s="717"/>
      <c r="E90" s="23">
        <f t="shared" ref="E90:E153" si="24">(SUMIF($5:$5,D90,$6:$6)-SUMIF($5:$5,$D$24,$6:$6)+100)/100</f>
        <v>0.06</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9">
        <f t="shared" si="22"/>
        <v>0</v>
      </c>
    </row>
    <row r="91" spans="1:19">
      <c r="A91" s="157"/>
      <c r="B91" s="58"/>
      <c r="C91" s="23">
        <f t="shared" si="23"/>
        <v>1</v>
      </c>
      <c r="D91" s="717"/>
      <c r="E91" s="23">
        <f t="shared" si="24"/>
        <v>0.06</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9">
        <f t="shared" si="22"/>
        <v>0</v>
      </c>
    </row>
    <row r="92" spans="1:19">
      <c r="A92" s="157"/>
      <c r="B92" s="58"/>
      <c r="C92" s="23">
        <f t="shared" si="23"/>
        <v>1</v>
      </c>
      <c r="D92" s="717"/>
      <c r="E92" s="23">
        <f t="shared" si="24"/>
        <v>0.06</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9">
        <f t="shared" si="22"/>
        <v>0</v>
      </c>
    </row>
    <row r="93" spans="1:19">
      <c r="A93" s="157"/>
      <c r="B93" s="58"/>
      <c r="C93" s="23">
        <f t="shared" si="23"/>
        <v>1</v>
      </c>
      <c r="D93" s="717"/>
      <c r="E93" s="23">
        <f t="shared" si="24"/>
        <v>0.06</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9">
        <f t="shared" si="22"/>
        <v>0</v>
      </c>
    </row>
    <row r="94" spans="1:19">
      <c r="A94" s="157"/>
      <c r="B94" s="58"/>
      <c r="C94" s="23">
        <f t="shared" si="23"/>
        <v>1</v>
      </c>
      <c r="D94" s="717"/>
      <c r="E94" s="23">
        <f t="shared" si="24"/>
        <v>0.06</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9">
        <f t="shared" si="22"/>
        <v>0</v>
      </c>
    </row>
    <row r="95" spans="1:19">
      <c r="A95" s="157"/>
      <c r="B95" s="58"/>
      <c r="C95" s="23">
        <f t="shared" si="23"/>
        <v>1</v>
      </c>
      <c r="D95" s="717"/>
      <c r="E95" s="23">
        <f t="shared" si="24"/>
        <v>0.06</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9">
        <f t="shared" si="22"/>
        <v>0</v>
      </c>
    </row>
    <row r="96" spans="1:19">
      <c r="A96" s="157"/>
      <c r="B96" s="58"/>
      <c r="C96" s="23">
        <f t="shared" si="23"/>
        <v>1</v>
      </c>
      <c r="D96" s="717"/>
      <c r="E96" s="23">
        <f t="shared" si="24"/>
        <v>0.06</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9">
        <f t="shared" si="22"/>
        <v>0</v>
      </c>
    </row>
    <row r="97" spans="1:19">
      <c r="A97" s="157"/>
      <c r="B97" s="58"/>
      <c r="C97" s="23">
        <f t="shared" si="23"/>
        <v>1</v>
      </c>
      <c r="D97" s="717"/>
      <c r="E97" s="23">
        <f t="shared" si="24"/>
        <v>0.06</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9">
        <f t="shared" si="22"/>
        <v>0</v>
      </c>
    </row>
    <row r="98" spans="1:19">
      <c r="A98" s="157"/>
      <c r="B98" s="58"/>
      <c r="C98" s="23">
        <f t="shared" si="23"/>
        <v>1</v>
      </c>
      <c r="D98" s="717"/>
      <c r="E98" s="23">
        <f t="shared" si="24"/>
        <v>0.06</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9">
        <f t="shared" si="22"/>
        <v>0</v>
      </c>
    </row>
    <row r="99" spans="1:19">
      <c r="A99" s="157"/>
      <c r="B99" s="58"/>
      <c r="C99" s="23">
        <f t="shared" si="23"/>
        <v>1</v>
      </c>
      <c r="D99" s="717"/>
      <c r="E99" s="23">
        <f t="shared" si="24"/>
        <v>0.06</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9">
        <f t="shared" si="22"/>
        <v>0</v>
      </c>
    </row>
    <row r="100" spans="1:19">
      <c r="A100" s="157"/>
      <c r="B100" s="58"/>
      <c r="C100" s="23">
        <f t="shared" si="23"/>
        <v>1</v>
      </c>
      <c r="D100" s="717"/>
      <c r="E100" s="23">
        <f t="shared" si="24"/>
        <v>0.06</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9">
        <f t="shared" si="22"/>
        <v>0</v>
      </c>
    </row>
    <row r="101" spans="1:19">
      <c r="A101" s="157"/>
      <c r="B101" s="58"/>
      <c r="C101" s="23">
        <f t="shared" si="23"/>
        <v>1</v>
      </c>
      <c r="D101" s="717"/>
      <c r="E101" s="23">
        <f t="shared" si="24"/>
        <v>0.06</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9">
        <f t="shared" si="22"/>
        <v>0</v>
      </c>
    </row>
    <row r="102" spans="1:19">
      <c r="A102" s="157"/>
      <c r="B102" s="58"/>
      <c r="C102" s="23">
        <f t="shared" si="23"/>
        <v>1</v>
      </c>
      <c r="D102" s="717"/>
      <c r="E102" s="23">
        <f t="shared" si="24"/>
        <v>0.06</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9">
        <f t="shared" si="22"/>
        <v>0</v>
      </c>
    </row>
    <row r="103" spans="1:19">
      <c r="A103" s="157"/>
      <c r="B103" s="58"/>
      <c r="C103" s="23">
        <f t="shared" si="23"/>
        <v>1</v>
      </c>
      <c r="D103" s="717"/>
      <c r="E103" s="23">
        <f t="shared" si="24"/>
        <v>0.06</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9">
        <f t="shared" si="22"/>
        <v>0</v>
      </c>
    </row>
    <row r="104" spans="1:19">
      <c r="A104" s="157"/>
      <c r="B104" s="58"/>
      <c r="C104" s="23">
        <f t="shared" si="23"/>
        <v>1</v>
      </c>
      <c r="D104" s="717"/>
      <c r="E104" s="23">
        <f t="shared" si="24"/>
        <v>0.06</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9">
        <f t="shared" si="22"/>
        <v>0</v>
      </c>
    </row>
    <row r="105" spans="1:19">
      <c r="A105" s="157"/>
      <c r="B105" s="58"/>
      <c r="C105" s="23">
        <f t="shared" si="23"/>
        <v>1</v>
      </c>
      <c r="D105" s="717"/>
      <c r="E105" s="23">
        <f t="shared" si="24"/>
        <v>0.06</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9">
        <f t="shared" si="22"/>
        <v>0</v>
      </c>
    </row>
    <row r="106" spans="1:19">
      <c r="A106" s="157"/>
      <c r="B106" s="58"/>
      <c r="C106" s="23">
        <f t="shared" si="23"/>
        <v>1</v>
      </c>
      <c r="D106" s="717"/>
      <c r="E106" s="23">
        <f t="shared" si="24"/>
        <v>0.06</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9">
        <f t="shared" si="22"/>
        <v>0</v>
      </c>
    </row>
    <row r="107" spans="1:19">
      <c r="A107" s="157"/>
      <c r="B107" s="58"/>
      <c r="C107" s="23">
        <f t="shared" si="23"/>
        <v>1</v>
      </c>
      <c r="D107" s="717"/>
      <c r="E107" s="23">
        <f t="shared" si="24"/>
        <v>0.06</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9">
        <f t="shared" si="22"/>
        <v>0</v>
      </c>
    </row>
    <row r="108" spans="1:19">
      <c r="A108" s="157"/>
      <c r="B108" s="58"/>
      <c r="C108" s="23">
        <f t="shared" si="23"/>
        <v>1</v>
      </c>
      <c r="D108" s="717"/>
      <c r="E108" s="23">
        <f t="shared" si="24"/>
        <v>0.06</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9">
        <f t="shared" si="22"/>
        <v>0</v>
      </c>
    </row>
    <row r="109" spans="1:19">
      <c r="A109" s="157"/>
      <c r="B109" s="58"/>
      <c r="C109" s="23">
        <f t="shared" si="23"/>
        <v>1</v>
      </c>
      <c r="D109" s="717"/>
      <c r="E109" s="23">
        <f t="shared" si="24"/>
        <v>0.06</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9">
        <f t="shared" si="22"/>
        <v>0</v>
      </c>
    </row>
    <row r="110" spans="1:19">
      <c r="A110" s="157"/>
      <c r="B110" s="58"/>
      <c r="C110" s="23">
        <f t="shared" si="23"/>
        <v>1</v>
      </c>
      <c r="D110" s="717"/>
      <c r="E110" s="23">
        <f t="shared" si="24"/>
        <v>0.06</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9">
        <f t="shared" si="22"/>
        <v>0</v>
      </c>
    </row>
    <row r="111" spans="1:19">
      <c r="A111" s="157"/>
      <c r="B111" s="58"/>
      <c r="C111" s="23">
        <f t="shared" si="23"/>
        <v>1</v>
      </c>
      <c r="D111" s="717"/>
      <c r="E111" s="23">
        <f t="shared" si="24"/>
        <v>0.06</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9">
        <f t="shared" si="22"/>
        <v>0</v>
      </c>
    </row>
    <row r="112" spans="1:19">
      <c r="A112" s="157"/>
      <c r="B112" s="58"/>
      <c r="C112" s="23">
        <f t="shared" si="23"/>
        <v>1</v>
      </c>
      <c r="D112" s="717"/>
      <c r="E112" s="23">
        <f t="shared" si="24"/>
        <v>0.06</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9">
        <f t="shared" si="22"/>
        <v>0</v>
      </c>
    </row>
    <row r="113" spans="1:19">
      <c r="A113" s="157"/>
      <c r="B113" s="58"/>
      <c r="C113" s="23">
        <f t="shared" si="23"/>
        <v>1</v>
      </c>
      <c r="D113" s="717"/>
      <c r="E113" s="23">
        <f t="shared" si="24"/>
        <v>0.06</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9">
        <f t="shared" si="22"/>
        <v>0</v>
      </c>
    </row>
    <row r="114" spans="1:19">
      <c r="A114" s="157"/>
      <c r="B114" s="58"/>
      <c r="C114" s="23">
        <f t="shared" si="23"/>
        <v>1</v>
      </c>
      <c r="D114" s="717"/>
      <c r="E114" s="23">
        <f t="shared" si="24"/>
        <v>0.06</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9">
        <f t="shared" si="22"/>
        <v>0</v>
      </c>
    </row>
    <row r="115" spans="1:19">
      <c r="A115" s="157"/>
      <c r="B115" s="58"/>
      <c r="C115" s="23">
        <f t="shared" si="23"/>
        <v>1</v>
      </c>
      <c r="D115" s="717"/>
      <c r="E115" s="23">
        <f t="shared" si="24"/>
        <v>0.06</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9">
        <f t="shared" si="22"/>
        <v>0</v>
      </c>
    </row>
    <row r="116" spans="1:19">
      <c r="A116" s="157"/>
      <c r="B116" s="58"/>
      <c r="C116" s="23">
        <f t="shared" si="23"/>
        <v>1</v>
      </c>
      <c r="D116" s="717"/>
      <c r="E116" s="23">
        <f t="shared" si="24"/>
        <v>0.06</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9">
        <f t="shared" si="22"/>
        <v>0</v>
      </c>
    </row>
    <row r="117" spans="1:19">
      <c r="A117" s="157"/>
      <c r="B117" s="58"/>
      <c r="C117" s="23">
        <f t="shared" si="23"/>
        <v>1</v>
      </c>
      <c r="D117" s="717"/>
      <c r="E117" s="23">
        <f t="shared" si="24"/>
        <v>0.06</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9">
        <f t="shared" si="22"/>
        <v>0</v>
      </c>
    </row>
    <row r="118" spans="1:19">
      <c r="A118" s="157"/>
      <c r="B118" s="58"/>
      <c r="C118" s="23">
        <f t="shared" si="23"/>
        <v>1</v>
      </c>
      <c r="D118" s="717"/>
      <c r="E118" s="23">
        <f t="shared" si="24"/>
        <v>0.06</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9">
        <f t="shared" si="22"/>
        <v>0</v>
      </c>
    </row>
    <row r="119" spans="1:19">
      <c r="A119" s="157"/>
      <c r="B119" s="58"/>
      <c r="C119" s="23">
        <f t="shared" si="23"/>
        <v>1</v>
      </c>
      <c r="D119" s="717"/>
      <c r="E119" s="23">
        <f t="shared" si="24"/>
        <v>0.06</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9">
        <f t="shared" si="22"/>
        <v>0</v>
      </c>
    </row>
    <row r="120" spans="1:19">
      <c r="A120" s="157"/>
      <c r="B120" s="58"/>
      <c r="C120" s="23">
        <f t="shared" si="23"/>
        <v>1</v>
      </c>
      <c r="D120" s="717"/>
      <c r="E120" s="23">
        <f t="shared" si="24"/>
        <v>0.06</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9">
        <f t="shared" si="22"/>
        <v>0</v>
      </c>
    </row>
    <row r="121" spans="1:19">
      <c r="A121" s="157"/>
      <c r="B121" s="58"/>
      <c r="C121" s="23">
        <f t="shared" si="23"/>
        <v>1</v>
      </c>
      <c r="D121" s="717"/>
      <c r="E121" s="23">
        <f t="shared" si="24"/>
        <v>0.06</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9">
        <f t="shared" si="22"/>
        <v>0</v>
      </c>
    </row>
    <row r="122" spans="1:19">
      <c r="A122" s="157"/>
      <c r="B122" s="58"/>
      <c r="C122" s="23">
        <f t="shared" si="23"/>
        <v>1</v>
      </c>
      <c r="D122" s="717"/>
      <c r="E122" s="23">
        <f t="shared" si="24"/>
        <v>0.06</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9">
        <f t="shared" si="22"/>
        <v>0</v>
      </c>
    </row>
    <row r="123" spans="1:19">
      <c r="A123" s="157"/>
      <c r="B123" s="58"/>
      <c r="C123" s="23">
        <f t="shared" si="23"/>
        <v>1</v>
      </c>
      <c r="D123" s="717"/>
      <c r="E123" s="23">
        <f t="shared" si="24"/>
        <v>0.06</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9">
        <f t="shared" ref="S123:S186" si="32">ROUND(R123*B123/10000,0)</f>
        <v>0</v>
      </c>
    </row>
    <row r="124" spans="1:19">
      <c r="A124" s="157"/>
      <c r="B124" s="58"/>
      <c r="C124" s="23">
        <f t="shared" si="23"/>
        <v>1</v>
      </c>
      <c r="D124" s="717"/>
      <c r="E124" s="23">
        <f t="shared" si="24"/>
        <v>0.06</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9">
        <f t="shared" si="32"/>
        <v>0</v>
      </c>
    </row>
    <row r="125" spans="1:19">
      <c r="A125" s="157"/>
      <c r="B125" s="58"/>
      <c r="C125" s="23">
        <f t="shared" si="23"/>
        <v>1</v>
      </c>
      <c r="D125" s="717"/>
      <c r="E125" s="23">
        <f t="shared" si="24"/>
        <v>0.06</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9">
        <f t="shared" si="32"/>
        <v>0</v>
      </c>
    </row>
    <row r="126" spans="1:19">
      <c r="A126" s="157"/>
      <c r="B126" s="58"/>
      <c r="C126" s="23">
        <f t="shared" si="23"/>
        <v>1</v>
      </c>
      <c r="D126" s="717"/>
      <c r="E126" s="23">
        <f t="shared" si="24"/>
        <v>0.06</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9">
        <f t="shared" si="32"/>
        <v>0</v>
      </c>
    </row>
    <row r="127" spans="1:19">
      <c r="A127" s="157"/>
      <c r="B127" s="58"/>
      <c r="C127" s="23">
        <f t="shared" si="23"/>
        <v>1</v>
      </c>
      <c r="D127" s="717"/>
      <c r="E127" s="23">
        <f t="shared" si="24"/>
        <v>0.06</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9">
        <f t="shared" si="32"/>
        <v>0</v>
      </c>
    </row>
    <row r="128" spans="1:19">
      <c r="A128" s="157"/>
      <c r="B128" s="58"/>
      <c r="C128" s="23">
        <f t="shared" si="23"/>
        <v>1</v>
      </c>
      <c r="D128" s="717"/>
      <c r="E128" s="23">
        <f t="shared" si="24"/>
        <v>0.06</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9">
        <f t="shared" si="32"/>
        <v>0</v>
      </c>
    </row>
    <row r="129" spans="1:19">
      <c r="A129" s="157"/>
      <c r="B129" s="58"/>
      <c r="C129" s="23">
        <f t="shared" si="23"/>
        <v>1</v>
      </c>
      <c r="D129" s="717"/>
      <c r="E129" s="23">
        <f t="shared" si="24"/>
        <v>0.06</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9">
        <f t="shared" si="32"/>
        <v>0</v>
      </c>
    </row>
    <row r="130" spans="1:19">
      <c r="A130" s="157"/>
      <c r="B130" s="58"/>
      <c r="C130" s="23">
        <f t="shared" si="23"/>
        <v>1</v>
      </c>
      <c r="D130" s="717"/>
      <c r="E130" s="23">
        <f t="shared" si="24"/>
        <v>0.06</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9">
        <f t="shared" si="32"/>
        <v>0</v>
      </c>
    </row>
    <row r="131" spans="1:19">
      <c r="A131" s="157"/>
      <c r="B131" s="58"/>
      <c r="C131" s="23">
        <f t="shared" si="23"/>
        <v>1</v>
      </c>
      <c r="D131" s="717"/>
      <c r="E131" s="23">
        <f t="shared" si="24"/>
        <v>0.06</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9">
        <f t="shared" si="32"/>
        <v>0</v>
      </c>
    </row>
    <row r="132" spans="1:19">
      <c r="A132" s="157"/>
      <c r="B132" s="58"/>
      <c r="C132" s="23">
        <f t="shared" si="23"/>
        <v>1</v>
      </c>
      <c r="D132" s="717"/>
      <c r="E132" s="23">
        <f t="shared" si="24"/>
        <v>0.06</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9">
        <f t="shared" si="32"/>
        <v>0</v>
      </c>
    </row>
    <row r="133" spans="1:19">
      <c r="A133" s="157"/>
      <c r="B133" s="58"/>
      <c r="C133" s="23">
        <f t="shared" si="23"/>
        <v>1</v>
      </c>
      <c r="D133" s="717"/>
      <c r="E133" s="23">
        <f t="shared" si="24"/>
        <v>0.06</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9">
        <f t="shared" si="32"/>
        <v>0</v>
      </c>
    </row>
    <row r="134" spans="1:19">
      <c r="A134" s="157"/>
      <c r="B134" s="58"/>
      <c r="C134" s="23">
        <f t="shared" si="23"/>
        <v>1</v>
      </c>
      <c r="D134" s="717"/>
      <c r="E134" s="23">
        <f t="shared" si="24"/>
        <v>0.06</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9">
        <f t="shared" si="32"/>
        <v>0</v>
      </c>
    </row>
    <row r="135" spans="1:19">
      <c r="A135" s="157"/>
      <c r="B135" s="58"/>
      <c r="C135" s="23">
        <f t="shared" si="23"/>
        <v>1</v>
      </c>
      <c r="D135" s="717"/>
      <c r="E135" s="23">
        <f t="shared" si="24"/>
        <v>0.06</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9">
        <f t="shared" si="32"/>
        <v>0</v>
      </c>
    </row>
    <row r="136" spans="1:19">
      <c r="A136" s="157"/>
      <c r="B136" s="58"/>
      <c r="C136" s="23">
        <f t="shared" si="23"/>
        <v>1</v>
      </c>
      <c r="D136" s="717"/>
      <c r="E136" s="23">
        <f t="shared" si="24"/>
        <v>0.06</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9">
        <f t="shared" si="32"/>
        <v>0</v>
      </c>
    </row>
    <row r="137" spans="1:19">
      <c r="A137" s="157"/>
      <c r="B137" s="58"/>
      <c r="C137" s="23">
        <f t="shared" si="23"/>
        <v>1</v>
      </c>
      <c r="D137" s="717"/>
      <c r="E137" s="23">
        <f t="shared" si="24"/>
        <v>0.06</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9">
        <f t="shared" si="32"/>
        <v>0</v>
      </c>
    </row>
    <row r="138" spans="1:19">
      <c r="A138" s="157"/>
      <c r="B138" s="58"/>
      <c r="C138" s="23">
        <f t="shared" si="23"/>
        <v>1</v>
      </c>
      <c r="D138" s="717"/>
      <c r="E138" s="23">
        <f t="shared" si="24"/>
        <v>0.06</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9">
        <f t="shared" si="32"/>
        <v>0</v>
      </c>
    </row>
    <row r="139" spans="1:19">
      <c r="A139" s="157"/>
      <c r="B139" s="58"/>
      <c r="C139" s="23">
        <f t="shared" si="23"/>
        <v>1</v>
      </c>
      <c r="D139" s="717"/>
      <c r="E139" s="23">
        <f t="shared" si="24"/>
        <v>0.06</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9">
        <f t="shared" si="32"/>
        <v>0</v>
      </c>
    </row>
    <row r="140" spans="1:19">
      <c r="A140" s="157"/>
      <c r="B140" s="58"/>
      <c r="C140" s="23">
        <f t="shared" si="23"/>
        <v>1</v>
      </c>
      <c r="D140" s="717"/>
      <c r="E140" s="23">
        <f t="shared" si="24"/>
        <v>0.06</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9">
        <f t="shared" si="32"/>
        <v>0</v>
      </c>
    </row>
    <row r="141" spans="1:19">
      <c r="A141" s="157"/>
      <c r="B141" s="58"/>
      <c r="C141" s="23">
        <f t="shared" si="23"/>
        <v>1</v>
      </c>
      <c r="D141" s="717"/>
      <c r="E141" s="23">
        <f t="shared" si="24"/>
        <v>0.06</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9">
        <f t="shared" si="32"/>
        <v>0</v>
      </c>
    </row>
    <row r="142" spans="1:19">
      <c r="A142" s="157"/>
      <c r="B142" s="58"/>
      <c r="C142" s="23">
        <f t="shared" si="23"/>
        <v>1</v>
      </c>
      <c r="D142" s="717"/>
      <c r="E142" s="23">
        <f t="shared" si="24"/>
        <v>0.06</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9">
        <f t="shared" si="32"/>
        <v>0</v>
      </c>
    </row>
    <row r="143" spans="1:19">
      <c r="A143" s="157"/>
      <c r="B143" s="58"/>
      <c r="C143" s="23">
        <f t="shared" si="23"/>
        <v>1</v>
      </c>
      <c r="D143" s="717"/>
      <c r="E143" s="23">
        <f t="shared" si="24"/>
        <v>0.06</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9">
        <f t="shared" si="32"/>
        <v>0</v>
      </c>
    </row>
    <row r="144" spans="1:19">
      <c r="A144" s="157"/>
      <c r="B144" s="58"/>
      <c r="C144" s="23">
        <f t="shared" si="23"/>
        <v>1</v>
      </c>
      <c r="D144" s="717"/>
      <c r="E144" s="23">
        <f t="shared" si="24"/>
        <v>0.06</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9">
        <f t="shared" si="32"/>
        <v>0</v>
      </c>
    </row>
    <row r="145" spans="1:19">
      <c r="A145" s="157"/>
      <c r="B145" s="58"/>
      <c r="C145" s="23">
        <f t="shared" si="23"/>
        <v>1</v>
      </c>
      <c r="D145" s="717"/>
      <c r="E145" s="23">
        <f t="shared" si="24"/>
        <v>0.06</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9">
        <f t="shared" si="32"/>
        <v>0</v>
      </c>
    </row>
    <row r="146" spans="1:19">
      <c r="A146" s="157"/>
      <c r="B146" s="58"/>
      <c r="C146" s="23">
        <f t="shared" si="23"/>
        <v>1</v>
      </c>
      <c r="D146" s="717"/>
      <c r="E146" s="23">
        <f t="shared" si="24"/>
        <v>0.06</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9">
        <f t="shared" si="32"/>
        <v>0</v>
      </c>
    </row>
    <row r="147" spans="1:19">
      <c r="A147" s="157"/>
      <c r="B147" s="58"/>
      <c r="C147" s="23">
        <f t="shared" si="23"/>
        <v>1</v>
      </c>
      <c r="D147" s="717"/>
      <c r="E147" s="23">
        <f t="shared" si="24"/>
        <v>0.06</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9">
        <f t="shared" si="32"/>
        <v>0</v>
      </c>
    </row>
    <row r="148" spans="1:19">
      <c r="A148" s="157"/>
      <c r="B148" s="58"/>
      <c r="C148" s="23">
        <f t="shared" si="23"/>
        <v>1</v>
      </c>
      <c r="D148" s="717"/>
      <c r="E148" s="23">
        <f t="shared" si="24"/>
        <v>0.06</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9">
        <f t="shared" si="32"/>
        <v>0</v>
      </c>
    </row>
    <row r="149" spans="1:19">
      <c r="A149" s="157"/>
      <c r="B149" s="58"/>
      <c r="C149" s="23">
        <f t="shared" si="23"/>
        <v>1</v>
      </c>
      <c r="D149" s="717"/>
      <c r="E149" s="23">
        <f t="shared" si="24"/>
        <v>0.06</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9">
        <f t="shared" si="32"/>
        <v>0</v>
      </c>
    </row>
    <row r="150" spans="1:19">
      <c r="A150" s="157"/>
      <c r="B150" s="58"/>
      <c r="C150" s="23">
        <f t="shared" si="23"/>
        <v>1</v>
      </c>
      <c r="D150" s="717"/>
      <c r="E150" s="23">
        <f t="shared" si="24"/>
        <v>0.06</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9">
        <f t="shared" si="32"/>
        <v>0</v>
      </c>
    </row>
    <row r="151" spans="1:19">
      <c r="A151" s="157"/>
      <c r="B151" s="58"/>
      <c r="C151" s="23">
        <f t="shared" si="23"/>
        <v>1</v>
      </c>
      <c r="D151" s="717"/>
      <c r="E151" s="23">
        <f t="shared" si="24"/>
        <v>0.06</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9">
        <f t="shared" si="32"/>
        <v>0</v>
      </c>
    </row>
    <row r="152" spans="1:19">
      <c r="A152" s="157"/>
      <c r="B152" s="58"/>
      <c r="C152" s="23">
        <f t="shared" si="23"/>
        <v>1</v>
      </c>
      <c r="D152" s="717"/>
      <c r="E152" s="23">
        <f t="shared" si="24"/>
        <v>0.06</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9">
        <f t="shared" si="32"/>
        <v>0</v>
      </c>
    </row>
    <row r="153" spans="1:19">
      <c r="A153" s="157"/>
      <c r="B153" s="58"/>
      <c r="C153" s="23">
        <f t="shared" si="23"/>
        <v>1</v>
      </c>
      <c r="D153" s="717"/>
      <c r="E153" s="23">
        <f t="shared" si="24"/>
        <v>0.06</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9">
        <f t="shared" si="32"/>
        <v>0</v>
      </c>
    </row>
    <row r="154" spans="1:19">
      <c r="A154" s="157"/>
      <c r="B154" s="58"/>
      <c r="C154" s="23">
        <f t="shared" ref="C154:C217" si="33">IF(B154="",1,(LOOKUP(B154,$3:$3,$4:$4)-LOOKUP($B$24,$3:$3,$4:$4)+100)/100)</f>
        <v>1</v>
      </c>
      <c r="D154" s="717"/>
      <c r="E154" s="23">
        <f t="shared" ref="E154:E217" si="34">(SUMIF($5:$5,D154,$6:$6)-SUMIF($5:$5,$D$24,$6:$6)+100)/100</f>
        <v>0.06</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9">
        <f t="shared" si="32"/>
        <v>0</v>
      </c>
    </row>
    <row r="155" spans="1:19">
      <c r="A155" s="157"/>
      <c r="B155" s="58"/>
      <c r="C155" s="23">
        <f t="shared" si="33"/>
        <v>1</v>
      </c>
      <c r="D155" s="717"/>
      <c r="E155" s="23">
        <f t="shared" si="34"/>
        <v>0.06</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9">
        <f t="shared" si="32"/>
        <v>0</v>
      </c>
    </row>
    <row r="156" spans="1:19">
      <c r="A156" s="157"/>
      <c r="B156" s="58"/>
      <c r="C156" s="23">
        <f t="shared" si="33"/>
        <v>1</v>
      </c>
      <c r="D156" s="717"/>
      <c r="E156" s="23">
        <f t="shared" si="34"/>
        <v>0.06</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9">
        <f t="shared" si="32"/>
        <v>0</v>
      </c>
    </row>
    <row r="157" spans="1:19">
      <c r="A157" s="157"/>
      <c r="B157" s="58"/>
      <c r="C157" s="23">
        <f t="shared" si="33"/>
        <v>1</v>
      </c>
      <c r="D157" s="717"/>
      <c r="E157" s="23">
        <f t="shared" si="34"/>
        <v>0.06</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9">
        <f t="shared" si="32"/>
        <v>0</v>
      </c>
    </row>
    <row r="158" spans="1:19">
      <c r="A158" s="157"/>
      <c r="B158" s="58"/>
      <c r="C158" s="23">
        <f t="shared" si="33"/>
        <v>1</v>
      </c>
      <c r="D158" s="717"/>
      <c r="E158" s="23">
        <f t="shared" si="34"/>
        <v>0.06</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9">
        <f t="shared" si="32"/>
        <v>0</v>
      </c>
    </row>
    <row r="159" spans="1:19">
      <c r="A159" s="157"/>
      <c r="B159" s="58"/>
      <c r="C159" s="23">
        <f t="shared" si="33"/>
        <v>1</v>
      </c>
      <c r="D159" s="717"/>
      <c r="E159" s="23">
        <f t="shared" si="34"/>
        <v>0.06</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9">
        <f t="shared" si="32"/>
        <v>0</v>
      </c>
    </row>
    <row r="160" spans="1:19">
      <c r="A160" s="157"/>
      <c r="B160" s="58"/>
      <c r="C160" s="23">
        <f t="shared" si="33"/>
        <v>1</v>
      </c>
      <c r="D160" s="717"/>
      <c r="E160" s="23">
        <f t="shared" si="34"/>
        <v>0.06</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9">
        <f t="shared" si="32"/>
        <v>0</v>
      </c>
    </row>
    <row r="161" spans="1:19">
      <c r="A161" s="157"/>
      <c r="B161" s="58"/>
      <c r="C161" s="23">
        <f t="shared" si="33"/>
        <v>1</v>
      </c>
      <c r="D161" s="717"/>
      <c r="E161" s="23">
        <f t="shared" si="34"/>
        <v>0.06</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9">
        <f t="shared" si="32"/>
        <v>0</v>
      </c>
    </row>
    <row r="162" spans="1:19">
      <c r="A162" s="157"/>
      <c r="B162" s="58"/>
      <c r="C162" s="23">
        <f t="shared" si="33"/>
        <v>1</v>
      </c>
      <c r="D162" s="717"/>
      <c r="E162" s="23">
        <f t="shared" si="34"/>
        <v>0.06</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9">
        <f t="shared" si="32"/>
        <v>0</v>
      </c>
    </row>
    <row r="163" spans="1:19">
      <c r="A163" s="157"/>
      <c r="B163" s="58"/>
      <c r="C163" s="23">
        <f t="shared" si="33"/>
        <v>1</v>
      </c>
      <c r="D163" s="717"/>
      <c r="E163" s="23">
        <f t="shared" si="34"/>
        <v>0.06</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9">
        <f t="shared" si="32"/>
        <v>0</v>
      </c>
    </row>
    <row r="164" spans="1:19">
      <c r="A164" s="157"/>
      <c r="B164" s="58"/>
      <c r="C164" s="23">
        <f t="shared" si="33"/>
        <v>1</v>
      </c>
      <c r="D164" s="717"/>
      <c r="E164" s="23">
        <f t="shared" si="34"/>
        <v>0.06</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9">
        <f t="shared" si="32"/>
        <v>0</v>
      </c>
    </row>
    <row r="165" spans="1:19">
      <c r="A165" s="157"/>
      <c r="B165" s="58"/>
      <c r="C165" s="23">
        <f t="shared" si="33"/>
        <v>1</v>
      </c>
      <c r="D165" s="717"/>
      <c r="E165" s="23">
        <f t="shared" si="34"/>
        <v>0.06</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9">
        <f t="shared" si="32"/>
        <v>0</v>
      </c>
    </row>
    <row r="166" spans="1:19">
      <c r="A166" s="157"/>
      <c r="B166" s="58"/>
      <c r="C166" s="23">
        <f t="shared" si="33"/>
        <v>1</v>
      </c>
      <c r="D166" s="717"/>
      <c r="E166" s="23">
        <f t="shared" si="34"/>
        <v>0.06</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9">
        <f t="shared" si="32"/>
        <v>0</v>
      </c>
    </row>
    <row r="167" spans="1:19">
      <c r="A167" s="157"/>
      <c r="B167" s="58"/>
      <c r="C167" s="23">
        <f t="shared" si="33"/>
        <v>1</v>
      </c>
      <c r="D167" s="717"/>
      <c r="E167" s="23">
        <f t="shared" si="34"/>
        <v>0.06</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9">
        <f t="shared" si="32"/>
        <v>0</v>
      </c>
    </row>
    <row r="168" spans="1:19">
      <c r="A168" s="157"/>
      <c r="B168" s="58"/>
      <c r="C168" s="23">
        <f t="shared" si="33"/>
        <v>1</v>
      </c>
      <c r="D168" s="717"/>
      <c r="E168" s="23">
        <f t="shared" si="34"/>
        <v>0.06</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9">
        <f t="shared" si="32"/>
        <v>0</v>
      </c>
    </row>
    <row r="169" spans="1:19">
      <c r="A169" s="157"/>
      <c r="B169" s="58"/>
      <c r="C169" s="23">
        <f t="shared" si="33"/>
        <v>1</v>
      </c>
      <c r="D169" s="717"/>
      <c r="E169" s="23">
        <f t="shared" si="34"/>
        <v>0.06</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9">
        <f t="shared" si="32"/>
        <v>0</v>
      </c>
    </row>
    <row r="170" spans="1:19">
      <c r="A170" s="157"/>
      <c r="B170" s="58"/>
      <c r="C170" s="23">
        <f t="shared" si="33"/>
        <v>1</v>
      </c>
      <c r="D170" s="717"/>
      <c r="E170" s="23">
        <f t="shared" si="34"/>
        <v>0.06</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9">
        <f t="shared" si="32"/>
        <v>0</v>
      </c>
    </row>
    <row r="171" spans="1:19">
      <c r="A171" s="157"/>
      <c r="B171" s="58"/>
      <c r="C171" s="23">
        <f t="shared" si="33"/>
        <v>1</v>
      </c>
      <c r="D171" s="717"/>
      <c r="E171" s="23">
        <f t="shared" si="34"/>
        <v>0.06</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9">
        <f t="shared" si="32"/>
        <v>0</v>
      </c>
    </row>
    <row r="172" spans="1:19">
      <c r="A172" s="157"/>
      <c r="B172" s="58"/>
      <c r="C172" s="23">
        <f t="shared" si="33"/>
        <v>1</v>
      </c>
      <c r="D172" s="717"/>
      <c r="E172" s="23">
        <f t="shared" si="34"/>
        <v>0.06</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9">
        <f t="shared" si="32"/>
        <v>0</v>
      </c>
    </row>
    <row r="173" spans="1:19">
      <c r="A173" s="157"/>
      <c r="B173" s="58"/>
      <c r="C173" s="23">
        <f t="shared" si="33"/>
        <v>1</v>
      </c>
      <c r="D173" s="717"/>
      <c r="E173" s="23">
        <f t="shared" si="34"/>
        <v>0.06</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9">
        <f t="shared" si="32"/>
        <v>0</v>
      </c>
    </row>
    <row r="174" spans="1:19">
      <c r="A174" s="157"/>
      <c r="B174" s="58"/>
      <c r="C174" s="23">
        <f t="shared" si="33"/>
        <v>1</v>
      </c>
      <c r="D174" s="717"/>
      <c r="E174" s="23">
        <f t="shared" si="34"/>
        <v>0.06</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9">
        <f t="shared" si="32"/>
        <v>0</v>
      </c>
    </row>
    <row r="175" spans="1:19">
      <c r="A175" s="157"/>
      <c r="B175" s="58"/>
      <c r="C175" s="23">
        <f t="shared" si="33"/>
        <v>1</v>
      </c>
      <c r="D175" s="717"/>
      <c r="E175" s="23">
        <f t="shared" si="34"/>
        <v>0.06</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9">
        <f t="shared" si="32"/>
        <v>0</v>
      </c>
    </row>
    <row r="176" spans="1:19">
      <c r="A176" s="157"/>
      <c r="B176" s="58"/>
      <c r="C176" s="23">
        <f t="shared" si="33"/>
        <v>1</v>
      </c>
      <c r="D176" s="717"/>
      <c r="E176" s="23">
        <f t="shared" si="34"/>
        <v>0.06</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9">
        <f t="shared" si="32"/>
        <v>0</v>
      </c>
    </row>
    <row r="177" spans="1:19">
      <c r="A177" s="157"/>
      <c r="B177" s="58"/>
      <c r="C177" s="23">
        <f t="shared" si="33"/>
        <v>1</v>
      </c>
      <c r="D177" s="717"/>
      <c r="E177" s="23">
        <f t="shared" si="34"/>
        <v>0.06</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9">
        <f t="shared" si="32"/>
        <v>0</v>
      </c>
    </row>
    <row r="178" spans="1:19">
      <c r="A178" s="157"/>
      <c r="B178" s="58"/>
      <c r="C178" s="23">
        <f t="shared" si="33"/>
        <v>1</v>
      </c>
      <c r="D178" s="717"/>
      <c r="E178" s="23">
        <f t="shared" si="34"/>
        <v>0.06</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9">
        <f t="shared" si="32"/>
        <v>0</v>
      </c>
    </row>
    <row r="179" spans="1:19">
      <c r="A179" s="157"/>
      <c r="B179" s="58"/>
      <c r="C179" s="23">
        <f t="shared" si="33"/>
        <v>1</v>
      </c>
      <c r="D179" s="717"/>
      <c r="E179" s="23">
        <f t="shared" si="34"/>
        <v>0.06</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9">
        <f t="shared" si="32"/>
        <v>0</v>
      </c>
    </row>
    <row r="180" spans="1:19">
      <c r="A180" s="157"/>
      <c r="B180" s="58"/>
      <c r="C180" s="23">
        <f t="shared" si="33"/>
        <v>1</v>
      </c>
      <c r="D180" s="717"/>
      <c r="E180" s="23">
        <f t="shared" si="34"/>
        <v>0.06</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9">
        <f t="shared" si="32"/>
        <v>0</v>
      </c>
    </row>
    <row r="181" spans="1:19">
      <c r="A181" s="157"/>
      <c r="B181" s="58"/>
      <c r="C181" s="23">
        <f t="shared" si="33"/>
        <v>1</v>
      </c>
      <c r="D181" s="717"/>
      <c r="E181" s="23">
        <f t="shared" si="34"/>
        <v>0.06</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9">
        <f t="shared" si="32"/>
        <v>0</v>
      </c>
    </row>
    <row r="182" spans="1:19">
      <c r="A182" s="157"/>
      <c r="B182" s="58"/>
      <c r="C182" s="23">
        <f t="shared" si="33"/>
        <v>1</v>
      </c>
      <c r="D182" s="717"/>
      <c r="E182" s="23">
        <f t="shared" si="34"/>
        <v>0.06</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9">
        <f t="shared" si="32"/>
        <v>0</v>
      </c>
    </row>
    <row r="183" spans="1:19">
      <c r="A183" s="157"/>
      <c r="B183" s="58"/>
      <c r="C183" s="23">
        <f t="shared" si="33"/>
        <v>1</v>
      </c>
      <c r="D183" s="717"/>
      <c r="E183" s="23">
        <f t="shared" si="34"/>
        <v>0.06</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9">
        <f t="shared" si="32"/>
        <v>0</v>
      </c>
    </row>
    <row r="184" spans="1:19">
      <c r="A184" s="157"/>
      <c r="B184" s="58"/>
      <c r="C184" s="23">
        <f t="shared" si="33"/>
        <v>1</v>
      </c>
      <c r="D184" s="717"/>
      <c r="E184" s="23">
        <f t="shared" si="34"/>
        <v>0.06</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9">
        <f t="shared" si="32"/>
        <v>0</v>
      </c>
    </row>
    <row r="185" spans="1:19">
      <c r="A185" s="157"/>
      <c r="B185" s="58"/>
      <c r="C185" s="23">
        <f t="shared" si="33"/>
        <v>1</v>
      </c>
      <c r="D185" s="717"/>
      <c r="E185" s="23">
        <f t="shared" si="34"/>
        <v>0.06</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9">
        <f t="shared" si="32"/>
        <v>0</v>
      </c>
    </row>
    <row r="186" spans="1:19">
      <c r="A186" s="157"/>
      <c r="B186" s="58"/>
      <c r="C186" s="23">
        <f t="shared" si="33"/>
        <v>1</v>
      </c>
      <c r="D186" s="717"/>
      <c r="E186" s="23">
        <f t="shared" si="34"/>
        <v>0.06</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9">
        <f t="shared" si="32"/>
        <v>0</v>
      </c>
    </row>
    <row r="187" spans="1:19">
      <c r="A187" s="157"/>
      <c r="B187" s="58"/>
      <c r="C187" s="23">
        <f t="shared" si="33"/>
        <v>1</v>
      </c>
      <c r="D187" s="717"/>
      <c r="E187" s="23">
        <f t="shared" si="34"/>
        <v>0.06</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9">
        <f t="shared" ref="S187:S222" si="42">ROUND(R187*B187/10000,0)</f>
        <v>0</v>
      </c>
    </row>
    <row r="188" spans="1:19">
      <c r="A188" s="157"/>
      <c r="B188" s="58"/>
      <c r="C188" s="23">
        <f t="shared" si="33"/>
        <v>1</v>
      </c>
      <c r="D188" s="717"/>
      <c r="E188" s="23">
        <f t="shared" si="34"/>
        <v>0.06</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9">
        <f t="shared" si="42"/>
        <v>0</v>
      </c>
    </row>
    <row r="189" spans="1:19">
      <c r="A189" s="157"/>
      <c r="B189" s="58"/>
      <c r="C189" s="23">
        <f t="shared" si="33"/>
        <v>1</v>
      </c>
      <c r="D189" s="717"/>
      <c r="E189" s="23">
        <f t="shared" si="34"/>
        <v>0.06</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9">
        <f t="shared" si="42"/>
        <v>0</v>
      </c>
    </row>
    <row r="190" spans="1:19">
      <c r="A190" s="157"/>
      <c r="B190" s="58"/>
      <c r="C190" s="23">
        <f t="shared" si="33"/>
        <v>1</v>
      </c>
      <c r="D190" s="717"/>
      <c r="E190" s="23">
        <f t="shared" si="34"/>
        <v>0.06</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9">
        <f t="shared" si="42"/>
        <v>0</v>
      </c>
    </row>
    <row r="191" spans="1:19">
      <c r="A191" s="157"/>
      <c r="B191" s="58"/>
      <c r="C191" s="23">
        <f t="shared" si="33"/>
        <v>1</v>
      </c>
      <c r="D191" s="717"/>
      <c r="E191" s="23">
        <f t="shared" si="34"/>
        <v>0.06</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9">
        <f t="shared" si="42"/>
        <v>0</v>
      </c>
    </row>
    <row r="192" spans="1:19">
      <c r="A192" s="157"/>
      <c r="B192" s="58"/>
      <c r="C192" s="23">
        <f t="shared" si="33"/>
        <v>1</v>
      </c>
      <c r="D192" s="717"/>
      <c r="E192" s="23">
        <f t="shared" si="34"/>
        <v>0.06</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9">
        <f t="shared" si="42"/>
        <v>0</v>
      </c>
    </row>
    <row r="193" spans="1:19">
      <c r="A193" s="157"/>
      <c r="B193" s="58"/>
      <c r="C193" s="23">
        <f t="shared" si="33"/>
        <v>1</v>
      </c>
      <c r="D193" s="717"/>
      <c r="E193" s="23">
        <f t="shared" si="34"/>
        <v>0.06</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9">
        <f t="shared" si="42"/>
        <v>0</v>
      </c>
    </row>
    <row r="194" spans="1:19">
      <c r="A194" s="157"/>
      <c r="B194" s="58"/>
      <c r="C194" s="23">
        <f t="shared" si="33"/>
        <v>1</v>
      </c>
      <c r="D194" s="717"/>
      <c r="E194" s="23">
        <f t="shared" si="34"/>
        <v>0.06</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9">
        <f t="shared" si="42"/>
        <v>0</v>
      </c>
    </row>
    <row r="195" spans="1:19">
      <c r="A195" s="157"/>
      <c r="B195" s="58"/>
      <c r="C195" s="23">
        <f t="shared" si="33"/>
        <v>1</v>
      </c>
      <c r="D195" s="717"/>
      <c r="E195" s="23">
        <f t="shared" si="34"/>
        <v>0.06</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9">
        <f t="shared" si="42"/>
        <v>0</v>
      </c>
    </row>
    <row r="196" spans="1:19">
      <c r="A196" s="157"/>
      <c r="B196" s="58"/>
      <c r="C196" s="23">
        <f t="shared" si="33"/>
        <v>1</v>
      </c>
      <c r="D196" s="717"/>
      <c r="E196" s="23">
        <f t="shared" si="34"/>
        <v>0.06</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9">
        <f t="shared" si="42"/>
        <v>0</v>
      </c>
    </row>
    <row r="197" spans="1:19">
      <c r="A197" s="157"/>
      <c r="B197" s="58"/>
      <c r="C197" s="23">
        <f t="shared" si="33"/>
        <v>1</v>
      </c>
      <c r="D197" s="717"/>
      <c r="E197" s="23">
        <f t="shared" si="34"/>
        <v>0.06</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9">
        <f t="shared" si="42"/>
        <v>0</v>
      </c>
    </row>
    <row r="198" spans="1:19">
      <c r="A198" s="157"/>
      <c r="B198" s="58"/>
      <c r="C198" s="23">
        <f t="shared" si="33"/>
        <v>1</v>
      </c>
      <c r="D198" s="717"/>
      <c r="E198" s="23">
        <f t="shared" si="34"/>
        <v>0.06</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9">
        <f t="shared" si="42"/>
        <v>0</v>
      </c>
    </row>
    <row r="199" spans="1:19">
      <c r="A199" s="157"/>
      <c r="B199" s="58"/>
      <c r="C199" s="23">
        <f t="shared" si="33"/>
        <v>1</v>
      </c>
      <c r="D199" s="717"/>
      <c r="E199" s="23">
        <f t="shared" si="34"/>
        <v>0.06</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9">
        <f t="shared" si="42"/>
        <v>0</v>
      </c>
    </row>
    <row r="200" spans="1:19">
      <c r="A200" s="157"/>
      <c r="B200" s="58"/>
      <c r="C200" s="23">
        <f t="shared" si="33"/>
        <v>1</v>
      </c>
      <c r="D200" s="717"/>
      <c r="E200" s="23">
        <f t="shared" si="34"/>
        <v>0.06</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9">
        <f t="shared" si="42"/>
        <v>0</v>
      </c>
    </row>
    <row r="201" spans="1:19">
      <c r="A201" s="157"/>
      <c r="B201" s="58"/>
      <c r="C201" s="23">
        <f t="shared" si="33"/>
        <v>1</v>
      </c>
      <c r="D201" s="717"/>
      <c r="E201" s="23">
        <f t="shared" si="34"/>
        <v>0.06</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9">
        <f t="shared" si="42"/>
        <v>0</v>
      </c>
    </row>
    <row r="202" spans="1:19">
      <c r="A202" s="157"/>
      <c r="B202" s="58"/>
      <c r="C202" s="23">
        <f t="shared" si="33"/>
        <v>1</v>
      </c>
      <c r="D202" s="717"/>
      <c r="E202" s="23">
        <f t="shared" si="34"/>
        <v>0.06</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9">
        <f t="shared" si="42"/>
        <v>0</v>
      </c>
    </row>
    <row r="203" spans="1:19">
      <c r="A203" s="157"/>
      <c r="B203" s="58"/>
      <c r="C203" s="23">
        <f t="shared" si="33"/>
        <v>1</v>
      </c>
      <c r="D203" s="717"/>
      <c r="E203" s="23">
        <f t="shared" si="34"/>
        <v>0.06</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9">
        <f t="shared" si="42"/>
        <v>0</v>
      </c>
    </row>
    <row r="204" spans="1:19">
      <c r="A204" s="157"/>
      <c r="B204" s="58"/>
      <c r="C204" s="23">
        <f t="shared" si="33"/>
        <v>1</v>
      </c>
      <c r="D204" s="717"/>
      <c r="E204" s="23">
        <f t="shared" si="34"/>
        <v>0.06</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9">
        <f t="shared" si="42"/>
        <v>0</v>
      </c>
    </row>
    <row r="205" spans="1:19">
      <c r="A205" s="157"/>
      <c r="B205" s="58"/>
      <c r="C205" s="23">
        <f t="shared" si="33"/>
        <v>1</v>
      </c>
      <c r="D205" s="717"/>
      <c r="E205" s="23">
        <f t="shared" si="34"/>
        <v>0.06</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9">
        <f t="shared" si="42"/>
        <v>0</v>
      </c>
    </row>
    <row r="206" spans="1:19">
      <c r="A206" s="157"/>
      <c r="B206" s="58"/>
      <c r="C206" s="23">
        <f t="shared" si="33"/>
        <v>1</v>
      </c>
      <c r="D206" s="717"/>
      <c r="E206" s="23">
        <f t="shared" si="34"/>
        <v>0.06</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9">
        <f t="shared" si="42"/>
        <v>0</v>
      </c>
    </row>
    <row r="207" spans="1:19">
      <c r="A207" s="157"/>
      <c r="B207" s="58"/>
      <c r="C207" s="23">
        <f t="shared" si="33"/>
        <v>1</v>
      </c>
      <c r="D207" s="717"/>
      <c r="E207" s="23">
        <f t="shared" si="34"/>
        <v>0.06</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9">
        <f t="shared" si="42"/>
        <v>0</v>
      </c>
    </row>
    <row r="208" spans="1:19">
      <c r="A208" s="157"/>
      <c r="B208" s="58"/>
      <c r="C208" s="23">
        <f t="shared" si="33"/>
        <v>1</v>
      </c>
      <c r="D208" s="717"/>
      <c r="E208" s="23">
        <f t="shared" si="34"/>
        <v>0.06</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9">
        <f t="shared" si="42"/>
        <v>0</v>
      </c>
    </row>
    <row r="209" spans="1:19">
      <c r="A209" s="157"/>
      <c r="B209" s="58"/>
      <c r="C209" s="23">
        <f t="shared" si="33"/>
        <v>1</v>
      </c>
      <c r="D209" s="717"/>
      <c r="E209" s="23">
        <f t="shared" si="34"/>
        <v>0.06</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9">
        <f t="shared" si="42"/>
        <v>0</v>
      </c>
    </row>
    <row r="210" spans="1:19">
      <c r="A210" s="157"/>
      <c r="B210" s="58"/>
      <c r="C210" s="23">
        <f t="shared" si="33"/>
        <v>1</v>
      </c>
      <c r="D210" s="717"/>
      <c r="E210" s="23">
        <f t="shared" si="34"/>
        <v>0.06</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9">
        <f t="shared" si="42"/>
        <v>0</v>
      </c>
    </row>
    <row r="211" spans="1:19">
      <c r="A211" s="157"/>
      <c r="B211" s="58"/>
      <c r="C211" s="23">
        <f t="shared" si="33"/>
        <v>1</v>
      </c>
      <c r="D211" s="717"/>
      <c r="E211" s="23">
        <f t="shared" si="34"/>
        <v>0.06</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9">
        <f t="shared" si="42"/>
        <v>0</v>
      </c>
    </row>
    <row r="212" spans="1:19">
      <c r="A212" s="157"/>
      <c r="B212" s="58"/>
      <c r="C212" s="23">
        <f t="shared" si="33"/>
        <v>1</v>
      </c>
      <c r="D212" s="717"/>
      <c r="E212" s="23">
        <f t="shared" si="34"/>
        <v>0.06</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9">
        <f t="shared" si="42"/>
        <v>0</v>
      </c>
    </row>
    <row r="213" spans="1:19">
      <c r="A213" s="157"/>
      <c r="B213" s="58"/>
      <c r="C213" s="23">
        <f t="shared" si="33"/>
        <v>1</v>
      </c>
      <c r="D213" s="717"/>
      <c r="E213" s="23">
        <f t="shared" si="34"/>
        <v>0.06</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9">
        <f t="shared" si="42"/>
        <v>0</v>
      </c>
    </row>
    <row r="214" spans="1:19">
      <c r="A214" s="157"/>
      <c r="B214" s="58"/>
      <c r="C214" s="23">
        <f t="shared" si="33"/>
        <v>1</v>
      </c>
      <c r="D214" s="717"/>
      <c r="E214" s="23">
        <f t="shared" si="34"/>
        <v>0.06</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9">
        <f t="shared" si="42"/>
        <v>0</v>
      </c>
    </row>
    <row r="215" spans="1:19">
      <c r="A215" s="157"/>
      <c r="B215" s="58"/>
      <c r="C215" s="23">
        <f t="shared" si="33"/>
        <v>1</v>
      </c>
      <c r="D215" s="717"/>
      <c r="E215" s="23">
        <f t="shared" si="34"/>
        <v>0.06</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9">
        <f t="shared" si="42"/>
        <v>0</v>
      </c>
    </row>
    <row r="216" spans="1:19">
      <c r="A216" s="157"/>
      <c r="B216" s="58"/>
      <c r="C216" s="23">
        <f t="shared" si="33"/>
        <v>1</v>
      </c>
      <c r="D216" s="717"/>
      <c r="E216" s="23">
        <f t="shared" si="34"/>
        <v>0.06</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9">
        <f t="shared" si="42"/>
        <v>0</v>
      </c>
    </row>
    <row r="217" spans="1:19">
      <c r="A217" s="157"/>
      <c r="B217" s="58"/>
      <c r="C217" s="23">
        <f t="shared" si="33"/>
        <v>1</v>
      </c>
      <c r="D217" s="717"/>
      <c r="E217" s="23">
        <f t="shared" si="34"/>
        <v>0.06</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9">
        <f t="shared" si="42"/>
        <v>0</v>
      </c>
    </row>
    <row r="218" spans="1:19">
      <c r="A218" s="157"/>
      <c r="B218" s="58"/>
      <c r="C218" s="23">
        <f t="shared" ref="C218:C281" si="43">IF(B218="",1,(LOOKUP(B218,$3:$3,$4:$4)-LOOKUP($B$24,$3:$3,$4:$4)+100)/100)</f>
        <v>1</v>
      </c>
      <c r="D218" s="717"/>
      <c r="E218" s="23">
        <f t="shared" ref="E218:E281" si="44">(SUMIF($5:$5,D218,$6:$6)-SUMIF($5:$5,$D$24,$6:$6)+100)/100</f>
        <v>0.06</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9">
        <f t="shared" si="42"/>
        <v>0</v>
      </c>
    </row>
    <row r="219" spans="1:19">
      <c r="A219" s="157"/>
      <c r="B219" s="58"/>
      <c r="C219" s="23">
        <f t="shared" si="43"/>
        <v>1</v>
      </c>
      <c r="D219" s="717"/>
      <c r="E219" s="23">
        <f t="shared" si="44"/>
        <v>0.06</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9">
        <f t="shared" si="42"/>
        <v>0</v>
      </c>
    </row>
    <row r="220" spans="1:19">
      <c r="A220" s="157"/>
      <c r="B220" s="58"/>
      <c r="C220" s="23">
        <f t="shared" si="43"/>
        <v>1</v>
      </c>
      <c r="D220" s="717"/>
      <c r="E220" s="23">
        <f t="shared" si="44"/>
        <v>0.06</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9">
        <f t="shared" si="42"/>
        <v>0</v>
      </c>
    </row>
    <row r="221" spans="1:19">
      <c r="A221" s="157"/>
      <c r="B221" s="58"/>
      <c r="C221" s="23">
        <f t="shared" si="43"/>
        <v>1</v>
      </c>
      <c r="D221" s="717"/>
      <c r="E221" s="23">
        <f t="shared" si="44"/>
        <v>0.06</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9">
        <f t="shared" si="42"/>
        <v>0</v>
      </c>
    </row>
    <row r="222" spans="1:19">
      <c r="A222" s="157"/>
      <c r="B222" s="58"/>
      <c r="C222" s="23">
        <f t="shared" si="43"/>
        <v>1</v>
      </c>
      <c r="D222" s="717"/>
      <c r="E222" s="23">
        <f t="shared" si="44"/>
        <v>0.06</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9">
        <f t="shared" si="42"/>
        <v>0</v>
      </c>
    </row>
    <row r="223" spans="1:19">
      <c r="A223" s="157"/>
      <c r="B223" s="58"/>
      <c r="C223" s="23">
        <f t="shared" si="43"/>
        <v>1</v>
      </c>
      <c r="D223" s="717"/>
      <c r="E223" s="23">
        <f t="shared" si="44"/>
        <v>0.06</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9">
        <f t="shared" ref="S223:S286" si="52">ROUND(R223*B223/10000,0)</f>
        <v>0</v>
      </c>
    </row>
    <row r="224" spans="1:19">
      <c r="A224" s="157"/>
      <c r="B224" s="58"/>
      <c r="C224" s="23">
        <f t="shared" si="43"/>
        <v>1</v>
      </c>
      <c r="D224" s="717"/>
      <c r="E224" s="23">
        <f t="shared" si="44"/>
        <v>0.06</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9">
        <f t="shared" si="52"/>
        <v>0</v>
      </c>
    </row>
    <row r="225" spans="1:19">
      <c r="A225" s="157"/>
      <c r="B225" s="58"/>
      <c r="C225" s="23">
        <f t="shared" si="43"/>
        <v>1</v>
      </c>
      <c r="D225" s="717"/>
      <c r="E225" s="23">
        <f t="shared" si="44"/>
        <v>0.06</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9">
        <f t="shared" si="52"/>
        <v>0</v>
      </c>
    </row>
    <row r="226" spans="1:19">
      <c r="A226" s="157"/>
      <c r="B226" s="58"/>
      <c r="C226" s="23">
        <f t="shared" si="43"/>
        <v>1</v>
      </c>
      <c r="D226" s="717"/>
      <c r="E226" s="23">
        <f t="shared" si="44"/>
        <v>0.06</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9">
        <f t="shared" si="52"/>
        <v>0</v>
      </c>
    </row>
    <row r="227" spans="1:19">
      <c r="A227" s="157"/>
      <c r="B227" s="58"/>
      <c r="C227" s="23">
        <f t="shared" si="43"/>
        <v>1</v>
      </c>
      <c r="D227" s="717"/>
      <c r="E227" s="23">
        <f t="shared" si="44"/>
        <v>0.06</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9">
        <f t="shared" si="52"/>
        <v>0</v>
      </c>
    </row>
    <row r="228" spans="1:19">
      <c r="A228" s="157"/>
      <c r="B228" s="58"/>
      <c r="C228" s="23">
        <f t="shared" si="43"/>
        <v>1</v>
      </c>
      <c r="D228" s="717"/>
      <c r="E228" s="23">
        <f t="shared" si="44"/>
        <v>0.06</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9">
        <f t="shared" si="52"/>
        <v>0</v>
      </c>
    </row>
    <row r="229" spans="1:19">
      <c r="A229" s="157"/>
      <c r="B229" s="58"/>
      <c r="C229" s="23">
        <f t="shared" si="43"/>
        <v>1</v>
      </c>
      <c r="D229" s="717"/>
      <c r="E229" s="23">
        <f t="shared" si="44"/>
        <v>0.06</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9">
        <f t="shared" si="52"/>
        <v>0</v>
      </c>
    </row>
    <row r="230" spans="1:19">
      <c r="A230" s="157"/>
      <c r="B230" s="58"/>
      <c r="C230" s="23">
        <f t="shared" si="43"/>
        <v>1</v>
      </c>
      <c r="D230" s="717"/>
      <c r="E230" s="23">
        <f t="shared" si="44"/>
        <v>0.06</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9">
        <f t="shared" si="52"/>
        <v>0</v>
      </c>
    </row>
    <row r="231" spans="1:19">
      <c r="A231" s="157"/>
      <c r="B231" s="58"/>
      <c r="C231" s="23">
        <f t="shared" si="43"/>
        <v>1</v>
      </c>
      <c r="D231" s="717"/>
      <c r="E231" s="23">
        <f t="shared" si="44"/>
        <v>0.06</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9">
        <f t="shared" si="52"/>
        <v>0</v>
      </c>
    </row>
    <row r="232" spans="1:19">
      <c r="A232" s="157"/>
      <c r="B232" s="58"/>
      <c r="C232" s="23">
        <f t="shared" si="43"/>
        <v>1</v>
      </c>
      <c r="D232" s="717"/>
      <c r="E232" s="23">
        <f t="shared" si="44"/>
        <v>0.06</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9">
        <f t="shared" si="52"/>
        <v>0</v>
      </c>
    </row>
    <row r="233" spans="1:19">
      <c r="A233" s="157"/>
      <c r="B233" s="58"/>
      <c r="C233" s="23">
        <f t="shared" si="43"/>
        <v>1</v>
      </c>
      <c r="D233" s="717"/>
      <c r="E233" s="23">
        <f t="shared" si="44"/>
        <v>0.06</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9">
        <f t="shared" si="52"/>
        <v>0</v>
      </c>
    </row>
    <row r="234" spans="1:19">
      <c r="A234" s="157"/>
      <c r="B234" s="58"/>
      <c r="C234" s="23">
        <f t="shared" si="43"/>
        <v>1</v>
      </c>
      <c r="D234" s="717"/>
      <c r="E234" s="23">
        <f t="shared" si="44"/>
        <v>0.06</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9">
        <f t="shared" si="52"/>
        <v>0</v>
      </c>
    </row>
    <row r="235" spans="1:19">
      <c r="A235" s="157"/>
      <c r="B235" s="58"/>
      <c r="C235" s="23">
        <f t="shared" si="43"/>
        <v>1</v>
      </c>
      <c r="D235" s="717"/>
      <c r="E235" s="23">
        <f t="shared" si="44"/>
        <v>0.06</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9">
        <f t="shared" si="52"/>
        <v>0</v>
      </c>
    </row>
    <row r="236" spans="1:19">
      <c r="A236" s="157"/>
      <c r="B236" s="58"/>
      <c r="C236" s="23">
        <f t="shared" si="43"/>
        <v>1</v>
      </c>
      <c r="D236" s="717"/>
      <c r="E236" s="23">
        <f t="shared" si="44"/>
        <v>0.06</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9">
        <f t="shared" si="52"/>
        <v>0</v>
      </c>
    </row>
    <row r="237" spans="1:19">
      <c r="A237" s="157"/>
      <c r="B237" s="58"/>
      <c r="C237" s="23">
        <f t="shared" si="43"/>
        <v>1</v>
      </c>
      <c r="D237" s="717"/>
      <c r="E237" s="23">
        <f t="shared" si="44"/>
        <v>0.06</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9">
        <f t="shared" si="52"/>
        <v>0</v>
      </c>
    </row>
    <row r="238" spans="1:19">
      <c r="A238" s="157"/>
      <c r="B238" s="58"/>
      <c r="C238" s="23">
        <f t="shared" si="43"/>
        <v>1</v>
      </c>
      <c r="D238" s="717"/>
      <c r="E238" s="23">
        <f t="shared" si="44"/>
        <v>0.06</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9">
        <f t="shared" si="52"/>
        <v>0</v>
      </c>
    </row>
    <row r="239" spans="1:19">
      <c r="A239" s="157"/>
      <c r="B239" s="58"/>
      <c r="C239" s="23">
        <f t="shared" si="43"/>
        <v>1</v>
      </c>
      <c r="D239" s="717"/>
      <c r="E239" s="23">
        <f t="shared" si="44"/>
        <v>0.06</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9">
        <f t="shared" si="52"/>
        <v>0</v>
      </c>
    </row>
    <row r="240" spans="1:19">
      <c r="A240" s="157"/>
      <c r="B240" s="58"/>
      <c r="C240" s="23">
        <f t="shared" si="43"/>
        <v>1</v>
      </c>
      <c r="D240" s="717"/>
      <c r="E240" s="23">
        <f t="shared" si="44"/>
        <v>0.06</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9">
        <f t="shared" si="52"/>
        <v>0</v>
      </c>
    </row>
    <row r="241" spans="1:19">
      <c r="A241" s="157"/>
      <c r="B241" s="58"/>
      <c r="C241" s="23">
        <f t="shared" si="43"/>
        <v>1</v>
      </c>
      <c r="D241" s="717"/>
      <c r="E241" s="23">
        <f t="shared" si="44"/>
        <v>0.06</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9">
        <f t="shared" si="52"/>
        <v>0</v>
      </c>
    </row>
    <row r="242" spans="1:19">
      <c r="A242" s="157"/>
      <c r="B242" s="58"/>
      <c r="C242" s="23">
        <f t="shared" si="43"/>
        <v>1</v>
      </c>
      <c r="D242" s="717"/>
      <c r="E242" s="23">
        <f t="shared" si="44"/>
        <v>0.06</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9">
        <f t="shared" si="52"/>
        <v>0</v>
      </c>
    </row>
    <row r="243" spans="1:19">
      <c r="A243" s="157"/>
      <c r="B243" s="58"/>
      <c r="C243" s="23">
        <f t="shared" si="43"/>
        <v>1</v>
      </c>
      <c r="D243" s="717"/>
      <c r="E243" s="23">
        <f t="shared" si="44"/>
        <v>0.06</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9">
        <f t="shared" si="52"/>
        <v>0</v>
      </c>
    </row>
    <row r="244" spans="1:19">
      <c r="A244" s="157"/>
      <c r="B244" s="58"/>
      <c r="C244" s="23">
        <f t="shared" si="43"/>
        <v>1</v>
      </c>
      <c r="D244" s="717"/>
      <c r="E244" s="23">
        <f t="shared" si="44"/>
        <v>0.06</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9">
        <f t="shared" si="52"/>
        <v>0</v>
      </c>
    </row>
    <row r="245" spans="1:19">
      <c r="A245" s="157"/>
      <c r="B245" s="58"/>
      <c r="C245" s="23">
        <f t="shared" si="43"/>
        <v>1</v>
      </c>
      <c r="D245" s="717"/>
      <c r="E245" s="23">
        <f t="shared" si="44"/>
        <v>0.06</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9">
        <f t="shared" si="52"/>
        <v>0</v>
      </c>
    </row>
    <row r="246" spans="1:19">
      <c r="A246" s="157"/>
      <c r="B246" s="58"/>
      <c r="C246" s="23">
        <f t="shared" si="43"/>
        <v>1</v>
      </c>
      <c r="D246" s="717"/>
      <c r="E246" s="23">
        <f t="shared" si="44"/>
        <v>0.06</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9">
        <f t="shared" si="52"/>
        <v>0</v>
      </c>
    </row>
    <row r="247" spans="1:19">
      <c r="A247" s="157"/>
      <c r="B247" s="58"/>
      <c r="C247" s="23">
        <f t="shared" si="43"/>
        <v>1</v>
      </c>
      <c r="D247" s="717"/>
      <c r="E247" s="23">
        <f t="shared" si="44"/>
        <v>0.06</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9">
        <f t="shared" si="52"/>
        <v>0</v>
      </c>
    </row>
    <row r="248" spans="1:19">
      <c r="A248" s="157"/>
      <c r="B248" s="58"/>
      <c r="C248" s="23">
        <f t="shared" si="43"/>
        <v>1</v>
      </c>
      <c r="D248" s="717"/>
      <c r="E248" s="23">
        <f t="shared" si="44"/>
        <v>0.06</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9">
        <f t="shared" si="52"/>
        <v>0</v>
      </c>
    </row>
    <row r="249" spans="1:19">
      <c r="A249" s="157"/>
      <c r="B249" s="58"/>
      <c r="C249" s="23">
        <f t="shared" si="43"/>
        <v>1</v>
      </c>
      <c r="D249" s="717"/>
      <c r="E249" s="23">
        <f t="shared" si="44"/>
        <v>0.06</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9">
        <f t="shared" si="52"/>
        <v>0</v>
      </c>
    </row>
    <row r="250" spans="1:19">
      <c r="A250" s="157"/>
      <c r="B250" s="58"/>
      <c r="C250" s="23">
        <f t="shared" si="43"/>
        <v>1</v>
      </c>
      <c r="D250" s="717"/>
      <c r="E250" s="23">
        <f t="shared" si="44"/>
        <v>0.06</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9">
        <f t="shared" si="52"/>
        <v>0</v>
      </c>
    </row>
    <row r="251" spans="1:19">
      <c r="A251" s="157"/>
      <c r="B251" s="58"/>
      <c r="C251" s="23">
        <f t="shared" si="43"/>
        <v>1</v>
      </c>
      <c r="D251" s="717"/>
      <c r="E251" s="23">
        <f t="shared" si="44"/>
        <v>0.06</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9">
        <f t="shared" si="52"/>
        <v>0</v>
      </c>
    </row>
    <row r="252" spans="1:19">
      <c r="A252" s="157"/>
      <c r="B252" s="58"/>
      <c r="C252" s="23">
        <f t="shared" si="43"/>
        <v>1</v>
      </c>
      <c r="D252" s="717"/>
      <c r="E252" s="23">
        <f t="shared" si="44"/>
        <v>0.06</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9">
        <f t="shared" si="52"/>
        <v>0</v>
      </c>
    </row>
    <row r="253" spans="1:19">
      <c r="A253" s="157"/>
      <c r="B253" s="58"/>
      <c r="C253" s="23">
        <f t="shared" si="43"/>
        <v>1</v>
      </c>
      <c r="D253" s="717"/>
      <c r="E253" s="23">
        <f t="shared" si="44"/>
        <v>0.06</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9">
        <f t="shared" si="52"/>
        <v>0</v>
      </c>
    </row>
    <row r="254" spans="1:19">
      <c r="A254" s="157"/>
      <c r="B254" s="58"/>
      <c r="C254" s="23">
        <f t="shared" si="43"/>
        <v>1</v>
      </c>
      <c r="D254" s="717"/>
      <c r="E254" s="23">
        <f t="shared" si="44"/>
        <v>0.06</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9">
        <f t="shared" si="52"/>
        <v>0</v>
      </c>
    </row>
    <row r="255" spans="1:19">
      <c r="A255" s="157"/>
      <c r="B255" s="58"/>
      <c r="C255" s="23">
        <f t="shared" si="43"/>
        <v>1</v>
      </c>
      <c r="D255" s="717"/>
      <c r="E255" s="23">
        <f t="shared" si="44"/>
        <v>0.06</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9">
        <f t="shared" si="52"/>
        <v>0</v>
      </c>
    </row>
    <row r="256" spans="1:19">
      <c r="A256" s="157"/>
      <c r="B256" s="58"/>
      <c r="C256" s="23">
        <f t="shared" si="43"/>
        <v>1</v>
      </c>
      <c r="D256" s="717"/>
      <c r="E256" s="23">
        <f t="shared" si="44"/>
        <v>0.06</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9">
        <f t="shared" si="52"/>
        <v>0</v>
      </c>
    </row>
    <row r="257" spans="1:19">
      <c r="A257" s="157"/>
      <c r="B257" s="58"/>
      <c r="C257" s="23">
        <f t="shared" si="43"/>
        <v>1</v>
      </c>
      <c r="D257" s="717"/>
      <c r="E257" s="23">
        <f t="shared" si="44"/>
        <v>0.06</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9">
        <f t="shared" si="52"/>
        <v>0</v>
      </c>
    </row>
    <row r="258" spans="1:19">
      <c r="A258" s="157"/>
      <c r="B258" s="58"/>
      <c r="C258" s="23">
        <f t="shared" si="43"/>
        <v>1</v>
      </c>
      <c r="D258" s="717"/>
      <c r="E258" s="23">
        <f t="shared" si="44"/>
        <v>0.06</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9">
        <f t="shared" si="52"/>
        <v>0</v>
      </c>
    </row>
    <row r="259" spans="1:19">
      <c r="A259" s="157"/>
      <c r="B259" s="58"/>
      <c r="C259" s="23">
        <f t="shared" si="43"/>
        <v>1</v>
      </c>
      <c r="D259" s="717"/>
      <c r="E259" s="23">
        <f t="shared" si="44"/>
        <v>0.06</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9">
        <f t="shared" si="52"/>
        <v>0</v>
      </c>
    </row>
    <row r="260" spans="1:19">
      <c r="A260" s="157"/>
      <c r="B260" s="58"/>
      <c r="C260" s="23">
        <f t="shared" si="43"/>
        <v>1</v>
      </c>
      <c r="D260" s="717"/>
      <c r="E260" s="23">
        <f t="shared" si="44"/>
        <v>0.06</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9">
        <f t="shared" si="52"/>
        <v>0</v>
      </c>
    </row>
    <row r="261" spans="1:19">
      <c r="A261" s="157"/>
      <c r="B261" s="58"/>
      <c r="C261" s="23">
        <f t="shared" si="43"/>
        <v>1</v>
      </c>
      <c r="D261" s="717"/>
      <c r="E261" s="23">
        <f t="shared" si="44"/>
        <v>0.06</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9">
        <f t="shared" si="52"/>
        <v>0</v>
      </c>
    </row>
    <row r="262" spans="1:19">
      <c r="A262" s="157"/>
      <c r="B262" s="58"/>
      <c r="C262" s="23">
        <f t="shared" si="43"/>
        <v>1</v>
      </c>
      <c r="D262" s="717"/>
      <c r="E262" s="23">
        <f t="shared" si="44"/>
        <v>0.06</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9">
        <f t="shared" si="52"/>
        <v>0</v>
      </c>
    </row>
    <row r="263" spans="1:19">
      <c r="A263" s="157"/>
      <c r="B263" s="58"/>
      <c r="C263" s="23">
        <f t="shared" si="43"/>
        <v>1</v>
      </c>
      <c r="D263" s="717"/>
      <c r="E263" s="23">
        <f t="shared" si="44"/>
        <v>0.06</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9">
        <f t="shared" si="52"/>
        <v>0</v>
      </c>
    </row>
    <row r="264" spans="1:19">
      <c r="A264" s="157"/>
      <c r="B264" s="58"/>
      <c r="C264" s="23">
        <f t="shared" si="43"/>
        <v>1</v>
      </c>
      <c r="D264" s="717"/>
      <c r="E264" s="23">
        <f t="shared" si="44"/>
        <v>0.06</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9">
        <f t="shared" si="52"/>
        <v>0</v>
      </c>
    </row>
    <row r="265" spans="1:19">
      <c r="A265" s="157"/>
      <c r="B265" s="58"/>
      <c r="C265" s="23">
        <f t="shared" si="43"/>
        <v>1</v>
      </c>
      <c r="D265" s="717"/>
      <c r="E265" s="23">
        <f t="shared" si="44"/>
        <v>0.06</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9">
        <f t="shared" si="52"/>
        <v>0</v>
      </c>
    </row>
    <row r="266" spans="1:19">
      <c r="A266" s="157"/>
      <c r="B266" s="58"/>
      <c r="C266" s="23">
        <f t="shared" si="43"/>
        <v>1</v>
      </c>
      <c r="D266" s="717"/>
      <c r="E266" s="23">
        <f t="shared" si="44"/>
        <v>0.06</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9">
        <f t="shared" si="52"/>
        <v>0</v>
      </c>
    </row>
    <row r="267" spans="1:19">
      <c r="A267" s="157"/>
      <c r="B267" s="58"/>
      <c r="C267" s="23">
        <f t="shared" si="43"/>
        <v>1</v>
      </c>
      <c r="D267" s="717"/>
      <c r="E267" s="23">
        <f t="shared" si="44"/>
        <v>0.06</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9">
        <f t="shared" si="52"/>
        <v>0</v>
      </c>
    </row>
    <row r="268" spans="1:19">
      <c r="A268" s="157"/>
      <c r="B268" s="58"/>
      <c r="C268" s="23">
        <f t="shared" si="43"/>
        <v>1</v>
      </c>
      <c r="D268" s="717"/>
      <c r="E268" s="23">
        <f t="shared" si="44"/>
        <v>0.06</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9">
        <f t="shared" si="52"/>
        <v>0</v>
      </c>
    </row>
    <row r="269" spans="1:19">
      <c r="A269" s="157"/>
      <c r="B269" s="58"/>
      <c r="C269" s="23">
        <f t="shared" si="43"/>
        <v>1</v>
      </c>
      <c r="D269" s="717"/>
      <c r="E269" s="23">
        <f t="shared" si="44"/>
        <v>0.06</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9">
        <f t="shared" si="52"/>
        <v>0</v>
      </c>
    </row>
    <row r="270" spans="1:19">
      <c r="A270" s="157"/>
      <c r="B270" s="58"/>
      <c r="C270" s="23">
        <f t="shared" si="43"/>
        <v>1</v>
      </c>
      <c r="D270" s="717"/>
      <c r="E270" s="23">
        <f t="shared" si="44"/>
        <v>0.06</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9">
        <f t="shared" si="52"/>
        <v>0</v>
      </c>
    </row>
    <row r="271" spans="1:19">
      <c r="A271" s="157"/>
      <c r="B271" s="58"/>
      <c r="C271" s="23">
        <f t="shared" si="43"/>
        <v>1</v>
      </c>
      <c r="D271" s="717"/>
      <c r="E271" s="23">
        <f t="shared" si="44"/>
        <v>0.06</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9">
        <f t="shared" si="52"/>
        <v>0</v>
      </c>
    </row>
    <row r="272" spans="1:19">
      <c r="A272" s="157"/>
      <c r="B272" s="58"/>
      <c r="C272" s="23">
        <f t="shared" si="43"/>
        <v>1</v>
      </c>
      <c r="D272" s="717"/>
      <c r="E272" s="23">
        <f t="shared" si="44"/>
        <v>0.06</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9">
        <f t="shared" si="52"/>
        <v>0</v>
      </c>
    </row>
    <row r="273" spans="1:19">
      <c r="A273" s="157"/>
      <c r="B273" s="58"/>
      <c r="C273" s="23">
        <f t="shared" si="43"/>
        <v>1</v>
      </c>
      <c r="D273" s="717"/>
      <c r="E273" s="23">
        <f t="shared" si="44"/>
        <v>0.06</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9">
        <f t="shared" si="52"/>
        <v>0</v>
      </c>
    </row>
    <row r="274" spans="1:19">
      <c r="A274" s="157"/>
      <c r="B274" s="58"/>
      <c r="C274" s="23">
        <f t="shared" si="43"/>
        <v>1</v>
      </c>
      <c r="D274" s="717"/>
      <c r="E274" s="23">
        <f t="shared" si="44"/>
        <v>0.06</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9">
        <f t="shared" si="52"/>
        <v>0</v>
      </c>
    </row>
    <row r="275" spans="1:19">
      <c r="A275" s="157"/>
      <c r="B275" s="58"/>
      <c r="C275" s="23">
        <f t="shared" si="43"/>
        <v>1</v>
      </c>
      <c r="D275" s="717"/>
      <c r="E275" s="23">
        <f t="shared" si="44"/>
        <v>0.06</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9">
        <f t="shared" si="52"/>
        <v>0</v>
      </c>
    </row>
    <row r="276" spans="1:19">
      <c r="A276" s="157"/>
      <c r="B276" s="58"/>
      <c r="C276" s="23">
        <f t="shared" si="43"/>
        <v>1</v>
      </c>
      <c r="D276" s="717"/>
      <c r="E276" s="23">
        <f t="shared" si="44"/>
        <v>0.06</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9">
        <f t="shared" si="52"/>
        <v>0</v>
      </c>
    </row>
    <row r="277" spans="1:19">
      <c r="A277" s="157"/>
      <c r="B277" s="58"/>
      <c r="C277" s="23">
        <f t="shared" si="43"/>
        <v>1</v>
      </c>
      <c r="D277" s="717"/>
      <c r="E277" s="23">
        <f t="shared" si="44"/>
        <v>0.06</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9">
        <f t="shared" si="52"/>
        <v>0</v>
      </c>
    </row>
    <row r="278" spans="1:19">
      <c r="A278" s="157"/>
      <c r="B278" s="58"/>
      <c r="C278" s="23">
        <f t="shared" si="43"/>
        <v>1</v>
      </c>
      <c r="D278" s="717"/>
      <c r="E278" s="23">
        <f t="shared" si="44"/>
        <v>0.06</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9">
        <f t="shared" si="52"/>
        <v>0</v>
      </c>
    </row>
    <row r="279" spans="1:19">
      <c r="A279" s="157"/>
      <c r="B279" s="58"/>
      <c r="C279" s="23">
        <f t="shared" si="43"/>
        <v>1</v>
      </c>
      <c r="D279" s="717"/>
      <c r="E279" s="23">
        <f t="shared" si="44"/>
        <v>0.06</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9">
        <f t="shared" si="52"/>
        <v>0</v>
      </c>
    </row>
    <row r="280" spans="1:19">
      <c r="A280" s="157"/>
      <c r="B280" s="58"/>
      <c r="C280" s="23">
        <f t="shared" si="43"/>
        <v>1</v>
      </c>
      <c r="D280" s="717"/>
      <c r="E280" s="23">
        <f t="shared" si="44"/>
        <v>0.06</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9">
        <f t="shared" si="52"/>
        <v>0</v>
      </c>
    </row>
    <row r="281" spans="1:19">
      <c r="A281" s="157"/>
      <c r="B281" s="58"/>
      <c r="C281" s="23">
        <f t="shared" si="43"/>
        <v>1</v>
      </c>
      <c r="D281" s="717"/>
      <c r="E281" s="23">
        <f t="shared" si="44"/>
        <v>0.06</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9">
        <f t="shared" si="52"/>
        <v>0</v>
      </c>
    </row>
    <row r="282" spans="1:19">
      <c r="A282" s="157"/>
      <c r="B282" s="58"/>
      <c r="C282" s="23">
        <f t="shared" ref="C282:C345" si="53">IF(B282="",1,(LOOKUP(B282,$3:$3,$4:$4)-LOOKUP($B$24,$3:$3,$4:$4)+100)/100)</f>
        <v>1</v>
      </c>
      <c r="D282" s="717"/>
      <c r="E282" s="23">
        <f t="shared" ref="E282:E345" si="54">(SUMIF($5:$5,D282,$6:$6)-SUMIF($5:$5,$D$24,$6:$6)+100)/100</f>
        <v>0.06</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9">
        <f t="shared" si="52"/>
        <v>0</v>
      </c>
    </row>
    <row r="283" spans="1:19">
      <c r="A283" s="157"/>
      <c r="B283" s="58"/>
      <c r="C283" s="23">
        <f t="shared" si="53"/>
        <v>1</v>
      </c>
      <c r="D283" s="717"/>
      <c r="E283" s="23">
        <f t="shared" si="54"/>
        <v>0.06</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9">
        <f t="shared" si="52"/>
        <v>0</v>
      </c>
    </row>
    <row r="284" spans="1:19">
      <c r="A284" s="157"/>
      <c r="B284" s="58"/>
      <c r="C284" s="23">
        <f t="shared" si="53"/>
        <v>1</v>
      </c>
      <c r="D284" s="717"/>
      <c r="E284" s="23">
        <f t="shared" si="54"/>
        <v>0.06</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9">
        <f t="shared" si="52"/>
        <v>0</v>
      </c>
    </row>
    <row r="285" spans="1:19">
      <c r="A285" s="157"/>
      <c r="B285" s="58"/>
      <c r="C285" s="23">
        <f t="shared" si="53"/>
        <v>1</v>
      </c>
      <c r="D285" s="717"/>
      <c r="E285" s="23">
        <f t="shared" si="54"/>
        <v>0.06</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9">
        <f t="shared" si="52"/>
        <v>0</v>
      </c>
    </row>
    <row r="286" spans="1:19">
      <c r="A286" s="157"/>
      <c r="B286" s="58"/>
      <c r="C286" s="23">
        <f t="shared" si="53"/>
        <v>1</v>
      </c>
      <c r="D286" s="717"/>
      <c r="E286" s="23">
        <f t="shared" si="54"/>
        <v>0.06</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9">
        <f t="shared" si="52"/>
        <v>0</v>
      </c>
    </row>
    <row r="287" spans="1:19">
      <c r="A287" s="157"/>
      <c r="B287" s="58"/>
      <c r="C287" s="23">
        <f t="shared" si="53"/>
        <v>1</v>
      </c>
      <c r="D287" s="717"/>
      <c r="E287" s="23">
        <f t="shared" si="54"/>
        <v>0.06</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9">
        <f t="shared" ref="S287:S320" si="62">ROUND(R287*B287/10000,0)</f>
        <v>0</v>
      </c>
    </row>
    <row r="288" spans="1:19">
      <c r="A288" s="157"/>
      <c r="B288" s="58"/>
      <c r="C288" s="23">
        <f t="shared" si="53"/>
        <v>1</v>
      </c>
      <c r="D288" s="717"/>
      <c r="E288" s="23">
        <f t="shared" si="54"/>
        <v>0.06</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9">
        <f t="shared" si="62"/>
        <v>0</v>
      </c>
    </row>
    <row r="289" spans="1:19">
      <c r="A289" s="157"/>
      <c r="B289" s="58"/>
      <c r="C289" s="23">
        <f t="shared" si="53"/>
        <v>1</v>
      </c>
      <c r="D289" s="717"/>
      <c r="E289" s="23">
        <f t="shared" si="54"/>
        <v>0.06</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9">
        <f t="shared" si="62"/>
        <v>0</v>
      </c>
    </row>
    <row r="290" spans="1:19">
      <c r="A290" s="157"/>
      <c r="B290" s="58"/>
      <c r="C290" s="23">
        <f t="shared" si="53"/>
        <v>1</v>
      </c>
      <c r="D290" s="717"/>
      <c r="E290" s="23">
        <f t="shared" si="54"/>
        <v>0.06</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9">
        <f t="shared" si="62"/>
        <v>0</v>
      </c>
    </row>
    <row r="291" spans="1:19">
      <c r="A291" s="157"/>
      <c r="B291" s="58"/>
      <c r="C291" s="23">
        <f t="shared" si="53"/>
        <v>1</v>
      </c>
      <c r="D291" s="717"/>
      <c r="E291" s="23">
        <f t="shared" si="54"/>
        <v>0.06</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9">
        <f t="shared" si="62"/>
        <v>0</v>
      </c>
    </row>
    <row r="292" spans="1:19">
      <c r="A292" s="157"/>
      <c r="B292" s="58"/>
      <c r="C292" s="23">
        <f t="shared" si="53"/>
        <v>1</v>
      </c>
      <c r="D292" s="717"/>
      <c r="E292" s="23">
        <f t="shared" si="54"/>
        <v>0.06</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9">
        <f t="shared" si="62"/>
        <v>0</v>
      </c>
    </row>
    <row r="293" spans="1:19">
      <c r="A293" s="157"/>
      <c r="B293" s="58"/>
      <c r="C293" s="23">
        <f t="shared" si="53"/>
        <v>1</v>
      </c>
      <c r="D293" s="717"/>
      <c r="E293" s="23">
        <f t="shared" si="54"/>
        <v>0.06</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9">
        <f t="shared" si="62"/>
        <v>0</v>
      </c>
    </row>
    <row r="294" spans="1:19">
      <c r="A294" s="157"/>
      <c r="B294" s="58"/>
      <c r="C294" s="23">
        <f t="shared" si="53"/>
        <v>1</v>
      </c>
      <c r="D294" s="717"/>
      <c r="E294" s="23">
        <f t="shared" si="54"/>
        <v>0.06</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9">
        <f t="shared" si="62"/>
        <v>0</v>
      </c>
    </row>
    <row r="295" spans="1:19">
      <c r="A295" s="157"/>
      <c r="B295" s="58"/>
      <c r="C295" s="23">
        <f t="shared" si="53"/>
        <v>1</v>
      </c>
      <c r="D295" s="717"/>
      <c r="E295" s="23">
        <f t="shared" si="54"/>
        <v>0.06</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9">
        <f t="shared" si="62"/>
        <v>0</v>
      </c>
    </row>
    <row r="296" spans="1:19">
      <c r="A296" s="157"/>
      <c r="B296" s="58"/>
      <c r="C296" s="23">
        <f t="shared" si="53"/>
        <v>1</v>
      </c>
      <c r="D296" s="717"/>
      <c r="E296" s="23">
        <f t="shared" si="54"/>
        <v>0.06</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9">
        <f t="shared" si="62"/>
        <v>0</v>
      </c>
    </row>
    <row r="297" spans="1:19">
      <c r="A297" s="157"/>
      <c r="B297" s="58"/>
      <c r="C297" s="23">
        <f t="shared" si="53"/>
        <v>1</v>
      </c>
      <c r="D297" s="717"/>
      <c r="E297" s="23">
        <f t="shared" si="54"/>
        <v>0.06</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9">
        <f t="shared" si="62"/>
        <v>0</v>
      </c>
    </row>
    <row r="298" spans="1:19">
      <c r="A298" s="157"/>
      <c r="B298" s="58"/>
      <c r="C298" s="23">
        <f t="shared" si="53"/>
        <v>1</v>
      </c>
      <c r="D298" s="717"/>
      <c r="E298" s="23">
        <f t="shared" si="54"/>
        <v>0.06</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9">
        <f t="shared" si="62"/>
        <v>0</v>
      </c>
    </row>
    <row r="299" spans="1:19">
      <c r="A299" s="157"/>
      <c r="B299" s="58"/>
      <c r="C299" s="23">
        <f t="shared" si="53"/>
        <v>1</v>
      </c>
      <c r="D299" s="717"/>
      <c r="E299" s="23">
        <f t="shared" si="54"/>
        <v>0.06</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9">
        <f t="shared" si="62"/>
        <v>0</v>
      </c>
    </row>
    <row r="300" spans="1:19">
      <c r="A300" s="157"/>
      <c r="B300" s="58"/>
      <c r="C300" s="23">
        <f t="shared" si="53"/>
        <v>1</v>
      </c>
      <c r="D300" s="717"/>
      <c r="E300" s="23">
        <f t="shared" si="54"/>
        <v>0.06</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9">
        <f t="shared" si="62"/>
        <v>0</v>
      </c>
    </row>
    <row r="301" spans="1:19">
      <c r="A301" s="157"/>
      <c r="B301" s="58"/>
      <c r="C301" s="23">
        <f t="shared" si="53"/>
        <v>1</v>
      </c>
      <c r="D301" s="717"/>
      <c r="E301" s="23">
        <f t="shared" si="54"/>
        <v>0.06</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9">
        <f t="shared" si="62"/>
        <v>0</v>
      </c>
    </row>
    <row r="302" spans="1:19">
      <c r="A302" s="157"/>
      <c r="B302" s="58"/>
      <c r="C302" s="23">
        <f t="shared" si="53"/>
        <v>1</v>
      </c>
      <c r="D302" s="717"/>
      <c r="E302" s="23">
        <f t="shared" si="54"/>
        <v>0.06</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9">
        <f t="shared" si="62"/>
        <v>0</v>
      </c>
    </row>
    <row r="303" spans="1:19">
      <c r="A303" s="157"/>
      <c r="B303" s="58"/>
      <c r="C303" s="23">
        <f t="shared" si="53"/>
        <v>1</v>
      </c>
      <c r="D303" s="717"/>
      <c r="E303" s="23">
        <f t="shared" si="54"/>
        <v>0.06</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9">
        <f t="shared" si="62"/>
        <v>0</v>
      </c>
    </row>
    <row r="304" spans="1:19">
      <c r="A304" s="157"/>
      <c r="B304" s="58"/>
      <c r="C304" s="23">
        <f t="shared" si="53"/>
        <v>1</v>
      </c>
      <c r="D304" s="717"/>
      <c r="E304" s="23">
        <f t="shared" si="54"/>
        <v>0.06</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9">
        <f t="shared" si="62"/>
        <v>0</v>
      </c>
    </row>
    <row r="305" spans="1:19">
      <c r="A305" s="157"/>
      <c r="B305" s="58"/>
      <c r="C305" s="23">
        <f t="shared" si="53"/>
        <v>1</v>
      </c>
      <c r="D305" s="717"/>
      <c r="E305" s="23">
        <f t="shared" si="54"/>
        <v>0.06</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9">
        <f t="shared" si="62"/>
        <v>0</v>
      </c>
    </row>
    <row r="306" spans="1:19">
      <c r="A306" s="157"/>
      <c r="B306" s="58"/>
      <c r="C306" s="23">
        <f t="shared" si="53"/>
        <v>1</v>
      </c>
      <c r="D306" s="717"/>
      <c r="E306" s="23">
        <f t="shared" si="54"/>
        <v>0.06</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9">
        <f t="shared" si="62"/>
        <v>0</v>
      </c>
    </row>
    <row r="307" spans="1:19">
      <c r="A307" s="157"/>
      <c r="B307" s="58"/>
      <c r="C307" s="23">
        <f t="shared" si="53"/>
        <v>1</v>
      </c>
      <c r="D307" s="717"/>
      <c r="E307" s="23">
        <f t="shared" si="54"/>
        <v>0.06</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9">
        <f t="shared" si="62"/>
        <v>0</v>
      </c>
    </row>
    <row r="308" spans="1:19">
      <c r="A308" s="157"/>
      <c r="B308" s="58"/>
      <c r="C308" s="23">
        <f t="shared" si="53"/>
        <v>1</v>
      </c>
      <c r="D308" s="717"/>
      <c r="E308" s="23">
        <f t="shared" si="54"/>
        <v>0.06</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9">
        <f t="shared" si="62"/>
        <v>0</v>
      </c>
    </row>
    <row r="309" spans="1:19">
      <c r="A309" s="157"/>
      <c r="B309" s="58"/>
      <c r="C309" s="23">
        <f t="shared" si="53"/>
        <v>1</v>
      </c>
      <c r="D309" s="717"/>
      <c r="E309" s="23">
        <f t="shared" si="54"/>
        <v>0.06</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9">
        <f t="shared" si="62"/>
        <v>0</v>
      </c>
    </row>
    <row r="310" spans="1:19">
      <c r="A310" s="157"/>
      <c r="B310" s="58"/>
      <c r="C310" s="23">
        <f t="shared" si="53"/>
        <v>1</v>
      </c>
      <c r="D310" s="717"/>
      <c r="E310" s="23">
        <f t="shared" si="54"/>
        <v>0.06</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9">
        <f t="shared" si="62"/>
        <v>0</v>
      </c>
    </row>
    <row r="311" spans="1:19">
      <c r="A311" s="157"/>
      <c r="B311" s="58"/>
      <c r="C311" s="23">
        <f t="shared" si="53"/>
        <v>1</v>
      </c>
      <c r="D311" s="717"/>
      <c r="E311" s="23">
        <f t="shared" si="54"/>
        <v>0.06</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9">
        <f t="shared" si="62"/>
        <v>0</v>
      </c>
    </row>
    <row r="312" spans="1:19">
      <c r="A312" s="157"/>
      <c r="B312" s="58"/>
      <c r="C312" s="23">
        <f t="shared" si="53"/>
        <v>1</v>
      </c>
      <c r="D312" s="717"/>
      <c r="E312" s="23">
        <f t="shared" si="54"/>
        <v>0.06</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9">
        <f t="shared" si="62"/>
        <v>0</v>
      </c>
    </row>
    <row r="313" spans="1:19">
      <c r="A313" s="157"/>
      <c r="B313" s="58"/>
      <c r="C313" s="23">
        <f t="shared" si="53"/>
        <v>1</v>
      </c>
      <c r="D313" s="717"/>
      <c r="E313" s="23">
        <f t="shared" si="54"/>
        <v>0.06</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9">
        <f t="shared" si="62"/>
        <v>0</v>
      </c>
    </row>
    <row r="314" spans="1:19">
      <c r="A314" s="157"/>
      <c r="B314" s="58"/>
      <c r="C314" s="23">
        <f t="shared" si="53"/>
        <v>1</v>
      </c>
      <c r="D314" s="717"/>
      <c r="E314" s="23">
        <f t="shared" si="54"/>
        <v>0.06</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9">
        <f t="shared" si="62"/>
        <v>0</v>
      </c>
    </row>
    <row r="315" spans="1:19">
      <c r="A315" s="157"/>
      <c r="B315" s="58"/>
      <c r="C315" s="23">
        <f t="shared" si="53"/>
        <v>1</v>
      </c>
      <c r="D315" s="717"/>
      <c r="E315" s="23">
        <f t="shared" si="54"/>
        <v>0.06</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9">
        <f t="shared" si="62"/>
        <v>0</v>
      </c>
    </row>
    <row r="316" spans="1:19">
      <c r="A316" s="157"/>
      <c r="B316" s="58"/>
      <c r="C316" s="23">
        <f t="shared" si="53"/>
        <v>1</v>
      </c>
      <c r="D316" s="717"/>
      <c r="E316" s="23">
        <f t="shared" si="54"/>
        <v>0.06</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9">
        <f t="shared" si="62"/>
        <v>0</v>
      </c>
    </row>
    <row r="317" spans="1:19">
      <c r="A317" s="157"/>
      <c r="B317" s="58"/>
      <c r="C317" s="23">
        <f t="shared" si="53"/>
        <v>1</v>
      </c>
      <c r="D317" s="717"/>
      <c r="E317" s="23">
        <f t="shared" si="54"/>
        <v>0.06</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9">
        <f t="shared" si="62"/>
        <v>0</v>
      </c>
    </row>
    <row r="318" spans="1:19">
      <c r="A318" s="157"/>
      <c r="B318" s="58"/>
      <c r="C318" s="23">
        <f t="shared" si="53"/>
        <v>1</v>
      </c>
      <c r="D318" s="717"/>
      <c r="E318" s="23">
        <f t="shared" si="54"/>
        <v>0.06</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9">
        <f t="shared" si="62"/>
        <v>0</v>
      </c>
    </row>
    <row r="319" spans="1:19">
      <c r="A319" s="157"/>
      <c r="B319" s="58"/>
      <c r="C319" s="23">
        <f t="shared" si="53"/>
        <v>1</v>
      </c>
      <c r="D319" s="717"/>
      <c r="E319" s="23">
        <f t="shared" si="54"/>
        <v>0.06</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9">
        <f t="shared" si="62"/>
        <v>0</v>
      </c>
    </row>
    <row r="320" spans="1:19">
      <c r="A320" s="157"/>
      <c r="B320" s="58"/>
      <c r="C320" s="23">
        <f t="shared" si="53"/>
        <v>1</v>
      </c>
      <c r="D320" s="717"/>
      <c r="E320" s="23">
        <f t="shared" si="54"/>
        <v>0.06</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9">
        <f t="shared" si="62"/>
        <v>0</v>
      </c>
    </row>
    <row r="321" spans="1:19">
      <c r="A321" s="157"/>
      <c r="B321" s="58"/>
      <c r="C321" s="23">
        <f t="shared" si="53"/>
        <v>1</v>
      </c>
      <c r="D321" s="717"/>
      <c r="E321" s="23">
        <f t="shared" si="54"/>
        <v>0.06</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9">
        <f t="shared" ref="S321:S384" si="63">ROUND(R321*B321/10000,0)</f>
        <v>0</v>
      </c>
    </row>
    <row r="322" spans="1:19">
      <c r="A322" s="157"/>
      <c r="B322" s="58"/>
      <c r="C322" s="23">
        <f t="shared" si="53"/>
        <v>1</v>
      </c>
      <c r="D322" s="717"/>
      <c r="E322" s="23">
        <f t="shared" si="54"/>
        <v>0.06</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9">
        <f t="shared" si="63"/>
        <v>0</v>
      </c>
    </row>
    <row r="323" spans="1:19">
      <c r="A323" s="157"/>
      <c r="B323" s="58"/>
      <c r="C323" s="23">
        <f t="shared" si="53"/>
        <v>1</v>
      </c>
      <c r="D323" s="717"/>
      <c r="E323" s="23">
        <f t="shared" si="54"/>
        <v>0.06</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9">
        <f t="shared" si="63"/>
        <v>0</v>
      </c>
    </row>
    <row r="324" spans="1:19">
      <c r="A324" s="157"/>
      <c r="B324" s="58"/>
      <c r="C324" s="23">
        <f t="shared" si="53"/>
        <v>1</v>
      </c>
      <c r="D324" s="717"/>
      <c r="E324" s="23">
        <f t="shared" si="54"/>
        <v>0.06</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9">
        <f t="shared" si="63"/>
        <v>0</v>
      </c>
    </row>
    <row r="325" spans="1:19">
      <c r="A325" s="157"/>
      <c r="B325" s="58"/>
      <c r="C325" s="23">
        <f t="shared" si="53"/>
        <v>1</v>
      </c>
      <c r="D325" s="717"/>
      <c r="E325" s="23">
        <f t="shared" si="54"/>
        <v>0.06</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9">
        <f t="shared" si="63"/>
        <v>0</v>
      </c>
    </row>
    <row r="326" spans="1:19">
      <c r="A326" s="157"/>
      <c r="B326" s="58"/>
      <c r="C326" s="23">
        <f t="shared" si="53"/>
        <v>1</v>
      </c>
      <c r="D326" s="717"/>
      <c r="E326" s="23">
        <f t="shared" si="54"/>
        <v>0.06</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9">
        <f t="shared" si="63"/>
        <v>0</v>
      </c>
    </row>
    <row r="327" spans="1:19">
      <c r="A327" s="157"/>
      <c r="B327" s="58"/>
      <c r="C327" s="23">
        <f t="shared" si="53"/>
        <v>1</v>
      </c>
      <c r="D327" s="717"/>
      <c r="E327" s="23">
        <f t="shared" si="54"/>
        <v>0.06</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9">
        <f t="shared" si="63"/>
        <v>0</v>
      </c>
    </row>
    <row r="328" spans="1:19">
      <c r="A328" s="157"/>
      <c r="B328" s="58"/>
      <c r="C328" s="23">
        <f t="shared" si="53"/>
        <v>1</v>
      </c>
      <c r="D328" s="717"/>
      <c r="E328" s="23">
        <f t="shared" si="54"/>
        <v>0.06</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9">
        <f t="shared" si="63"/>
        <v>0</v>
      </c>
    </row>
    <row r="329" spans="1:19">
      <c r="A329" s="157"/>
      <c r="B329" s="58"/>
      <c r="C329" s="23">
        <f t="shared" si="53"/>
        <v>1</v>
      </c>
      <c r="D329" s="717"/>
      <c r="E329" s="23">
        <f t="shared" si="54"/>
        <v>0.06</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9">
        <f t="shared" si="63"/>
        <v>0</v>
      </c>
    </row>
    <row r="330" spans="1:19">
      <c r="A330" s="157"/>
      <c r="B330" s="58"/>
      <c r="C330" s="23">
        <f t="shared" si="53"/>
        <v>1</v>
      </c>
      <c r="D330" s="717"/>
      <c r="E330" s="23">
        <f t="shared" si="54"/>
        <v>0.06</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9">
        <f t="shared" si="63"/>
        <v>0</v>
      </c>
    </row>
    <row r="331" spans="1:19">
      <c r="A331" s="157"/>
      <c r="B331" s="58"/>
      <c r="C331" s="23">
        <f t="shared" si="53"/>
        <v>1</v>
      </c>
      <c r="D331" s="717"/>
      <c r="E331" s="23">
        <f t="shared" si="54"/>
        <v>0.06</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9">
        <f t="shared" si="63"/>
        <v>0</v>
      </c>
    </row>
    <row r="332" spans="1:19">
      <c r="A332" s="157"/>
      <c r="B332" s="58"/>
      <c r="C332" s="23">
        <f t="shared" si="53"/>
        <v>1</v>
      </c>
      <c r="D332" s="717"/>
      <c r="E332" s="23">
        <f t="shared" si="54"/>
        <v>0.06</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9">
        <f t="shared" si="63"/>
        <v>0</v>
      </c>
    </row>
    <row r="333" spans="1:19">
      <c r="A333" s="157"/>
      <c r="B333" s="58"/>
      <c r="C333" s="23">
        <f t="shared" si="53"/>
        <v>1</v>
      </c>
      <c r="D333" s="717"/>
      <c r="E333" s="23">
        <f t="shared" si="54"/>
        <v>0.06</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9">
        <f t="shared" si="63"/>
        <v>0</v>
      </c>
    </row>
    <row r="334" spans="1:19">
      <c r="A334" s="157"/>
      <c r="B334" s="58"/>
      <c r="C334" s="23">
        <f t="shared" si="53"/>
        <v>1</v>
      </c>
      <c r="D334" s="717"/>
      <c r="E334" s="23">
        <f t="shared" si="54"/>
        <v>0.06</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9">
        <f t="shared" si="63"/>
        <v>0</v>
      </c>
    </row>
    <row r="335" spans="1:19">
      <c r="A335" s="157"/>
      <c r="B335" s="58"/>
      <c r="C335" s="23">
        <f t="shared" si="53"/>
        <v>1</v>
      </c>
      <c r="D335" s="717"/>
      <c r="E335" s="23">
        <f t="shared" si="54"/>
        <v>0.06</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9">
        <f t="shared" si="63"/>
        <v>0</v>
      </c>
    </row>
    <row r="336" spans="1:19">
      <c r="A336" s="157"/>
      <c r="B336" s="58"/>
      <c r="C336" s="23">
        <f t="shared" si="53"/>
        <v>1</v>
      </c>
      <c r="D336" s="717"/>
      <c r="E336" s="23">
        <f t="shared" si="54"/>
        <v>0.06</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9">
        <f t="shared" si="63"/>
        <v>0</v>
      </c>
    </row>
    <row r="337" spans="1:19">
      <c r="A337" s="157"/>
      <c r="B337" s="58"/>
      <c r="C337" s="23">
        <f t="shared" si="53"/>
        <v>1</v>
      </c>
      <c r="D337" s="717"/>
      <c r="E337" s="23">
        <f t="shared" si="54"/>
        <v>0.06</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9">
        <f t="shared" si="63"/>
        <v>0</v>
      </c>
    </row>
    <row r="338" spans="1:19">
      <c r="A338" s="157"/>
      <c r="B338" s="58"/>
      <c r="C338" s="23">
        <f t="shared" si="53"/>
        <v>1</v>
      </c>
      <c r="D338" s="717"/>
      <c r="E338" s="23">
        <f t="shared" si="54"/>
        <v>0.06</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9">
        <f t="shared" si="63"/>
        <v>0</v>
      </c>
    </row>
    <row r="339" spans="1:19">
      <c r="A339" s="157"/>
      <c r="B339" s="58"/>
      <c r="C339" s="23">
        <f t="shared" si="53"/>
        <v>1</v>
      </c>
      <c r="D339" s="717"/>
      <c r="E339" s="23">
        <f t="shared" si="54"/>
        <v>0.06</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9">
        <f t="shared" si="63"/>
        <v>0</v>
      </c>
    </row>
    <row r="340" spans="1:19">
      <c r="A340" s="157"/>
      <c r="B340" s="58"/>
      <c r="C340" s="23">
        <f t="shared" si="53"/>
        <v>1</v>
      </c>
      <c r="D340" s="717"/>
      <c r="E340" s="23">
        <f t="shared" si="54"/>
        <v>0.06</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9">
        <f t="shared" si="63"/>
        <v>0</v>
      </c>
    </row>
    <row r="341" spans="1:19">
      <c r="A341" s="157"/>
      <c r="B341" s="58"/>
      <c r="C341" s="23">
        <f t="shared" si="53"/>
        <v>1</v>
      </c>
      <c r="D341" s="717"/>
      <c r="E341" s="23">
        <f t="shared" si="54"/>
        <v>0.06</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9">
        <f t="shared" si="63"/>
        <v>0</v>
      </c>
    </row>
    <row r="342" spans="1:19">
      <c r="A342" s="157"/>
      <c r="B342" s="58"/>
      <c r="C342" s="23">
        <f t="shared" si="53"/>
        <v>1</v>
      </c>
      <c r="D342" s="717"/>
      <c r="E342" s="23">
        <f t="shared" si="54"/>
        <v>0.06</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9">
        <f t="shared" si="63"/>
        <v>0</v>
      </c>
    </row>
    <row r="343" spans="1:19">
      <c r="A343" s="157"/>
      <c r="B343" s="58"/>
      <c r="C343" s="23">
        <f t="shared" si="53"/>
        <v>1</v>
      </c>
      <c r="D343" s="717"/>
      <c r="E343" s="23">
        <f t="shared" si="54"/>
        <v>0.06</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9">
        <f t="shared" si="63"/>
        <v>0</v>
      </c>
    </row>
    <row r="344" spans="1:19">
      <c r="A344" s="157"/>
      <c r="B344" s="58"/>
      <c r="C344" s="23">
        <f t="shared" si="53"/>
        <v>1</v>
      </c>
      <c r="D344" s="717"/>
      <c r="E344" s="23">
        <f t="shared" si="54"/>
        <v>0.06</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9">
        <f t="shared" si="63"/>
        <v>0</v>
      </c>
    </row>
    <row r="345" spans="1:19">
      <c r="A345" s="157"/>
      <c r="B345" s="58"/>
      <c r="C345" s="23">
        <f t="shared" si="53"/>
        <v>1</v>
      </c>
      <c r="D345" s="717"/>
      <c r="E345" s="23">
        <f t="shared" si="54"/>
        <v>0.06</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9">
        <f t="shared" si="63"/>
        <v>0</v>
      </c>
    </row>
    <row r="346" spans="1:19">
      <c r="A346" s="157"/>
      <c r="B346" s="58"/>
      <c r="C346" s="23">
        <f t="shared" ref="C346:C409" si="64">IF(B346="",1,(LOOKUP(B346,$3:$3,$4:$4)-LOOKUP($B$24,$3:$3,$4:$4)+100)/100)</f>
        <v>1</v>
      </c>
      <c r="D346" s="717"/>
      <c r="E346" s="23">
        <f t="shared" ref="E346:E409" si="65">(SUMIF($5:$5,D346,$6:$6)-SUMIF($5:$5,$D$24,$6:$6)+100)/100</f>
        <v>0.06</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9">
        <f t="shared" si="63"/>
        <v>0</v>
      </c>
    </row>
    <row r="347" spans="1:19">
      <c r="A347" s="157"/>
      <c r="B347" s="58"/>
      <c r="C347" s="23">
        <f t="shared" si="64"/>
        <v>1</v>
      </c>
      <c r="D347" s="717"/>
      <c r="E347" s="23">
        <f t="shared" si="65"/>
        <v>0.06</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9">
        <f t="shared" si="63"/>
        <v>0</v>
      </c>
    </row>
    <row r="348" spans="1:19">
      <c r="A348" s="157"/>
      <c r="B348" s="58"/>
      <c r="C348" s="23">
        <f t="shared" si="64"/>
        <v>1</v>
      </c>
      <c r="D348" s="717"/>
      <c r="E348" s="23">
        <f t="shared" si="65"/>
        <v>0.06</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9">
        <f t="shared" si="63"/>
        <v>0</v>
      </c>
    </row>
    <row r="349" spans="1:19">
      <c r="A349" s="157"/>
      <c r="B349" s="58"/>
      <c r="C349" s="23">
        <f t="shared" si="64"/>
        <v>1</v>
      </c>
      <c r="D349" s="717"/>
      <c r="E349" s="23">
        <f t="shared" si="65"/>
        <v>0.06</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9">
        <f t="shared" si="63"/>
        <v>0</v>
      </c>
    </row>
    <row r="350" spans="1:19">
      <c r="A350" s="157"/>
      <c r="B350" s="58"/>
      <c r="C350" s="23">
        <f t="shared" si="64"/>
        <v>1</v>
      </c>
      <c r="D350" s="717"/>
      <c r="E350" s="23">
        <f t="shared" si="65"/>
        <v>0.06</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9">
        <f t="shared" si="63"/>
        <v>0</v>
      </c>
    </row>
    <row r="351" spans="1:19">
      <c r="A351" s="157"/>
      <c r="B351" s="58"/>
      <c r="C351" s="23">
        <f t="shared" si="64"/>
        <v>1</v>
      </c>
      <c r="D351" s="717"/>
      <c r="E351" s="23">
        <f t="shared" si="65"/>
        <v>0.06</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9">
        <f t="shared" si="63"/>
        <v>0</v>
      </c>
    </row>
    <row r="352" spans="1:19">
      <c r="A352" s="157"/>
      <c r="B352" s="58"/>
      <c r="C352" s="23">
        <f t="shared" si="64"/>
        <v>1</v>
      </c>
      <c r="D352" s="717"/>
      <c r="E352" s="23">
        <f t="shared" si="65"/>
        <v>0.06</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9">
        <f t="shared" si="63"/>
        <v>0</v>
      </c>
    </row>
    <row r="353" spans="1:19">
      <c r="A353" s="157"/>
      <c r="B353" s="58"/>
      <c r="C353" s="23">
        <f t="shared" si="64"/>
        <v>1</v>
      </c>
      <c r="D353" s="717"/>
      <c r="E353" s="23">
        <f t="shared" si="65"/>
        <v>0.06</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9">
        <f t="shared" si="63"/>
        <v>0</v>
      </c>
    </row>
    <row r="354" spans="1:19">
      <c r="A354" s="157"/>
      <c r="B354" s="58"/>
      <c r="C354" s="23">
        <f t="shared" si="64"/>
        <v>1</v>
      </c>
      <c r="D354" s="717"/>
      <c r="E354" s="23">
        <f t="shared" si="65"/>
        <v>0.06</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9">
        <f t="shared" si="63"/>
        <v>0</v>
      </c>
    </row>
    <row r="355" spans="1:19">
      <c r="A355" s="157"/>
      <c r="B355" s="58"/>
      <c r="C355" s="23">
        <f t="shared" si="64"/>
        <v>1</v>
      </c>
      <c r="D355" s="717"/>
      <c r="E355" s="23">
        <f t="shared" si="65"/>
        <v>0.06</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9">
        <f t="shared" si="63"/>
        <v>0</v>
      </c>
    </row>
    <row r="356" spans="1:19">
      <c r="A356" s="157"/>
      <c r="B356" s="58"/>
      <c r="C356" s="23">
        <f t="shared" si="64"/>
        <v>1</v>
      </c>
      <c r="D356" s="717"/>
      <c r="E356" s="23">
        <f t="shared" si="65"/>
        <v>0.06</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9">
        <f t="shared" si="63"/>
        <v>0</v>
      </c>
    </row>
    <row r="357" spans="1:19">
      <c r="A357" s="157"/>
      <c r="B357" s="58"/>
      <c r="C357" s="23">
        <f t="shared" si="64"/>
        <v>1</v>
      </c>
      <c r="D357" s="717"/>
      <c r="E357" s="23">
        <f t="shared" si="65"/>
        <v>0.06</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9">
        <f t="shared" si="63"/>
        <v>0</v>
      </c>
    </row>
    <row r="358" spans="1:19">
      <c r="A358" s="157"/>
      <c r="B358" s="58"/>
      <c r="C358" s="23">
        <f t="shared" si="64"/>
        <v>1</v>
      </c>
      <c r="D358" s="717"/>
      <c r="E358" s="23">
        <f t="shared" si="65"/>
        <v>0.06</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9">
        <f t="shared" si="63"/>
        <v>0</v>
      </c>
    </row>
    <row r="359" spans="1:19">
      <c r="A359" s="157"/>
      <c r="B359" s="58"/>
      <c r="C359" s="23">
        <f t="shared" si="64"/>
        <v>1</v>
      </c>
      <c r="D359" s="717"/>
      <c r="E359" s="23">
        <f t="shared" si="65"/>
        <v>0.06</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9">
        <f t="shared" si="63"/>
        <v>0</v>
      </c>
    </row>
    <row r="360" spans="1:19">
      <c r="A360" s="157"/>
      <c r="B360" s="58"/>
      <c r="C360" s="23">
        <f t="shared" si="64"/>
        <v>1</v>
      </c>
      <c r="D360" s="717"/>
      <c r="E360" s="23">
        <f t="shared" si="65"/>
        <v>0.06</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9">
        <f t="shared" si="63"/>
        <v>0</v>
      </c>
    </row>
    <row r="361" spans="1:19">
      <c r="A361" s="157"/>
      <c r="B361" s="58"/>
      <c r="C361" s="23">
        <f t="shared" si="64"/>
        <v>1</v>
      </c>
      <c r="D361" s="717"/>
      <c r="E361" s="23">
        <f t="shared" si="65"/>
        <v>0.06</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9">
        <f t="shared" si="63"/>
        <v>0</v>
      </c>
    </row>
    <row r="362" spans="1:19">
      <c r="A362" s="157"/>
      <c r="B362" s="58"/>
      <c r="C362" s="23">
        <f t="shared" si="64"/>
        <v>1</v>
      </c>
      <c r="D362" s="717"/>
      <c r="E362" s="23">
        <f t="shared" si="65"/>
        <v>0.06</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9">
        <f t="shared" si="63"/>
        <v>0</v>
      </c>
    </row>
    <row r="363" spans="1:19">
      <c r="A363" s="157"/>
      <c r="B363" s="58"/>
      <c r="C363" s="23">
        <f t="shared" si="64"/>
        <v>1</v>
      </c>
      <c r="D363" s="717"/>
      <c r="E363" s="23">
        <f t="shared" si="65"/>
        <v>0.06</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9">
        <f t="shared" si="63"/>
        <v>0</v>
      </c>
    </row>
    <row r="364" spans="1:19">
      <c r="A364" s="157"/>
      <c r="B364" s="58"/>
      <c r="C364" s="23">
        <f t="shared" si="64"/>
        <v>1</v>
      </c>
      <c r="D364" s="717"/>
      <c r="E364" s="23">
        <f t="shared" si="65"/>
        <v>0.06</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9">
        <f t="shared" si="63"/>
        <v>0</v>
      </c>
    </row>
    <row r="365" spans="1:19">
      <c r="A365" s="157"/>
      <c r="B365" s="58"/>
      <c r="C365" s="23">
        <f t="shared" si="64"/>
        <v>1</v>
      </c>
      <c r="D365" s="717"/>
      <c r="E365" s="23">
        <f t="shared" si="65"/>
        <v>0.06</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9">
        <f t="shared" si="63"/>
        <v>0</v>
      </c>
    </row>
    <row r="366" spans="1:19">
      <c r="A366" s="157"/>
      <c r="B366" s="58"/>
      <c r="C366" s="23">
        <f t="shared" si="64"/>
        <v>1</v>
      </c>
      <c r="D366" s="717"/>
      <c r="E366" s="23">
        <f t="shared" si="65"/>
        <v>0.06</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9">
        <f t="shared" si="63"/>
        <v>0</v>
      </c>
    </row>
    <row r="367" spans="1:19">
      <c r="A367" s="157"/>
      <c r="B367" s="58"/>
      <c r="C367" s="23">
        <f t="shared" si="64"/>
        <v>1</v>
      </c>
      <c r="D367" s="717"/>
      <c r="E367" s="23">
        <f t="shared" si="65"/>
        <v>0.06</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9">
        <f t="shared" si="63"/>
        <v>0</v>
      </c>
    </row>
    <row r="368" spans="1:19">
      <c r="A368" s="157"/>
      <c r="B368" s="58"/>
      <c r="C368" s="23">
        <f t="shared" si="64"/>
        <v>1</v>
      </c>
      <c r="D368" s="717"/>
      <c r="E368" s="23">
        <f t="shared" si="65"/>
        <v>0.06</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9">
        <f t="shared" si="63"/>
        <v>0</v>
      </c>
    </row>
    <row r="369" spans="1:19">
      <c r="A369" s="157"/>
      <c r="B369" s="58"/>
      <c r="C369" s="23">
        <f t="shared" si="64"/>
        <v>1</v>
      </c>
      <c r="D369" s="717"/>
      <c r="E369" s="23">
        <f t="shared" si="65"/>
        <v>0.06</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9">
        <f t="shared" si="63"/>
        <v>0</v>
      </c>
    </row>
    <row r="370" spans="1:19">
      <c r="A370" s="157"/>
      <c r="B370" s="58"/>
      <c r="C370" s="23">
        <f t="shared" si="64"/>
        <v>1</v>
      </c>
      <c r="D370" s="717"/>
      <c r="E370" s="23">
        <f t="shared" si="65"/>
        <v>0.06</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9">
        <f t="shared" si="63"/>
        <v>0</v>
      </c>
    </row>
    <row r="371" spans="1:19">
      <c r="A371" s="157"/>
      <c r="B371" s="58"/>
      <c r="C371" s="23">
        <f t="shared" si="64"/>
        <v>1</v>
      </c>
      <c r="D371" s="717"/>
      <c r="E371" s="23">
        <f t="shared" si="65"/>
        <v>0.06</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9">
        <f t="shared" si="63"/>
        <v>0</v>
      </c>
    </row>
    <row r="372" spans="1:19">
      <c r="A372" s="157"/>
      <c r="B372" s="58"/>
      <c r="C372" s="23">
        <f t="shared" si="64"/>
        <v>1</v>
      </c>
      <c r="D372" s="717"/>
      <c r="E372" s="23">
        <f t="shared" si="65"/>
        <v>0.06</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9">
        <f t="shared" si="63"/>
        <v>0</v>
      </c>
    </row>
    <row r="373" spans="1:19">
      <c r="A373" s="157"/>
      <c r="B373" s="58"/>
      <c r="C373" s="23">
        <f t="shared" si="64"/>
        <v>1</v>
      </c>
      <c r="D373" s="717"/>
      <c r="E373" s="23">
        <f t="shared" si="65"/>
        <v>0.06</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9">
        <f t="shared" si="63"/>
        <v>0</v>
      </c>
    </row>
    <row r="374" spans="1:19">
      <c r="A374" s="157"/>
      <c r="B374" s="58"/>
      <c r="C374" s="23">
        <f t="shared" si="64"/>
        <v>1</v>
      </c>
      <c r="D374" s="717"/>
      <c r="E374" s="23">
        <f t="shared" si="65"/>
        <v>0.06</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9">
        <f t="shared" si="63"/>
        <v>0</v>
      </c>
    </row>
    <row r="375" spans="1:19">
      <c r="A375" s="157"/>
      <c r="B375" s="58"/>
      <c r="C375" s="23">
        <f t="shared" si="64"/>
        <v>1</v>
      </c>
      <c r="D375" s="717"/>
      <c r="E375" s="23">
        <f t="shared" si="65"/>
        <v>0.06</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9">
        <f t="shared" si="63"/>
        <v>0</v>
      </c>
    </row>
    <row r="376" spans="1:19">
      <c r="A376" s="157"/>
      <c r="B376" s="58"/>
      <c r="C376" s="23">
        <f t="shared" si="64"/>
        <v>1</v>
      </c>
      <c r="D376" s="717"/>
      <c r="E376" s="23">
        <f t="shared" si="65"/>
        <v>0.06</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9">
        <f t="shared" si="63"/>
        <v>0</v>
      </c>
    </row>
    <row r="377" spans="1:19">
      <c r="A377" s="157"/>
      <c r="B377" s="58"/>
      <c r="C377" s="23">
        <f t="shared" si="64"/>
        <v>1</v>
      </c>
      <c r="D377" s="717"/>
      <c r="E377" s="23">
        <f t="shared" si="65"/>
        <v>0.06</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9">
        <f t="shared" si="63"/>
        <v>0</v>
      </c>
    </row>
    <row r="378" spans="1:19">
      <c r="A378" s="157"/>
      <c r="B378" s="58"/>
      <c r="C378" s="23">
        <f t="shared" si="64"/>
        <v>1</v>
      </c>
      <c r="D378" s="717"/>
      <c r="E378" s="23">
        <f t="shared" si="65"/>
        <v>0.06</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9">
        <f t="shared" si="63"/>
        <v>0</v>
      </c>
    </row>
    <row r="379" spans="1:19">
      <c r="A379" s="157"/>
      <c r="B379" s="58"/>
      <c r="C379" s="23">
        <f t="shared" si="64"/>
        <v>1</v>
      </c>
      <c r="D379" s="717"/>
      <c r="E379" s="23">
        <f t="shared" si="65"/>
        <v>0.06</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9">
        <f t="shared" si="63"/>
        <v>0</v>
      </c>
    </row>
    <row r="380" spans="1:19">
      <c r="A380" s="157"/>
      <c r="B380" s="58"/>
      <c r="C380" s="23">
        <f t="shared" si="64"/>
        <v>1</v>
      </c>
      <c r="D380" s="717"/>
      <c r="E380" s="23">
        <f t="shared" si="65"/>
        <v>0.06</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9">
        <f t="shared" si="63"/>
        <v>0</v>
      </c>
    </row>
    <row r="381" spans="1:19">
      <c r="A381" s="157"/>
      <c r="B381" s="58"/>
      <c r="C381" s="23">
        <f t="shared" si="64"/>
        <v>1</v>
      </c>
      <c r="D381" s="717"/>
      <c r="E381" s="23">
        <f t="shared" si="65"/>
        <v>0.06</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9">
        <f t="shared" si="63"/>
        <v>0</v>
      </c>
    </row>
    <row r="382" spans="1:19">
      <c r="A382" s="157"/>
      <c r="B382" s="58"/>
      <c r="C382" s="23">
        <f t="shared" si="64"/>
        <v>1</v>
      </c>
      <c r="D382" s="717"/>
      <c r="E382" s="23">
        <f t="shared" si="65"/>
        <v>0.06</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9">
        <f t="shared" si="63"/>
        <v>0</v>
      </c>
    </row>
    <row r="383" spans="1:19">
      <c r="A383" s="157"/>
      <c r="B383" s="58"/>
      <c r="C383" s="23">
        <f t="shared" si="64"/>
        <v>1</v>
      </c>
      <c r="D383" s="717"/>
      <c r="E383" s="23">
        <f t="shared" si="65"/>
        <v>0.06</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9">
        <f t="shared" si="63"/>
        <v>0</v>
      </c>
    </row>
    <row r="384" spans="1:19">
      <c r="A384" s="157"/>
      <c r="B384" s="58"/>
      <c r="C384" s="23">
        <f t="shared" si="64"/>
        <v>1</v>
      </c>
      <c r="D384" s="717"/>
      <c r="E384" s="23">
        <f t="shared" si="65"/>
        <v>0.06</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9">
        <f t="shared" si="63"/>
        <v>0</v>
      </c>
    </row>
    <row r="385" spans="1:19">
      <c r="A385" s="157"/>
      <c r="B385" s="58"/>
      <c r="C385" s="23">
        <f t="shared" si="64"/>
        <v>1</v>
      </c>
      <c r="D385" s="717"/>
      <c r="E385" s="23">
        <f t="shared" si="65"/>
        <v>0.06</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9">
        <f t="shared" ref="S385:S422" si="73">ROUND(R385*B385/10000,0)</f>
        <v>0</v>
      </c>
    </row>
    <row r="386" spans="1:19">
      <c r="A386" s="157"/>
      <c r="B386" s="58"/>
      <c r="C386" s="23">
        <f t="shared" si="64"/>
        <v>1</v>
      </c>
      <c r="D386" s="717"/>
      <c r="E386" s="23">
        <f t="shared" si="65"/>
        <v>0.06</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9">
        <f t="shared" si="73"/>
        <v>0</v>
      </c>
    </row>
    <row r="387" spans="1:19">
      <c r="A387" s="157"/>
      <c r="B387" s="58"/>
      <c r="C387" s="23">
        <f t="shared" si="64"/>
        <v>1</v>
      </c>
      <c r="D387" s="717"/>
      <c r="E387" s="23">
        <f t="shared" si="65"/>
        <v>0.06</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9">
        <f t="shared" si="73"/>
        <v>0</v>
      </c>
    </row>
    <row r="388" spans="1:19">
      <c r="A388" s="157"/>
      <c r="B388" s="58"/>
      <c r="C388" s="23">
        <f t="shared" si="64"/>
        <v>1</v>
      </c>
      <c r="D388" s="717"/>
      <c r="E388" s="23">
        <f t="shared" si="65"/>
        <v>0.06</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9">
        <f t="shared" si="73"/>
        <v>0</v>
      </c>
    </row>
    <row r="389" spans="1:19">
      <c r="A389" s="157"/>
      <c r="B389" s="58"/>
      <c r="C389" s="23">
        <f t="shared" si="64"/>
        <v>1</v>
      </c>
      <c r="D389" s="717"/>
      <c r="E389" s="23">
        <f t="shared" si="65"/>
        <v>0.06</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9">
        <f t="shared" si="73"/>
        <v>0</v>
      </c>
    </row>
    <row r="390" spans="1:19">
      <c r="A390" s="157"/>
      <c r="B390" s="58"/>
      <c r="C390" s="23">
        <f t="shared" si="64"/>
        <v>1</v>
      </c>
      <c r="D390" s="717"/>
      <c r="E390" s="23">
        <f t="shared" si="65"/>
        <v>0.06</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9">
        <f t="shared" si="73"/>
        <v>0</v>
      </c>
    </row>
    <row r="391" spans="1:19">
      <c r="A391" s="157"/>
      <c r="B391" s="58"/>
      <c r="C391" s="23">
        <f t="shared" si="64"/>
        <v>1</v>
      </c>
      <c r="D391" s="717"/>
      <c r="E391" s="23">
        <f t="shared" si="65"/>
        <v>0.06</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9">
        <f t="shared" si="73"/>
        <v>0</v>
      </c>
    </row>
    <row r="392" spans="1:19">
      <c r="A392" s="157"/>
      <c r="B392" s="58"/>
      <c r="C392" s="23">
        <f t="shared" si="64"/>
        <v>1</v>
      </c>
      <c r="D392" s="717"/>
      <c r="E392" s="23">
        <f t="shared" si="65"/>
        <v>0.06</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9">
        <f t="shared" si="73"/>
        <v>0</v>
      </c>
    </row>
    <row r="393" spans="1:19">
      <c r="A393" s="157"/>
      <c r="B393" s="58"/>
      <c r="C393" s="23">
        <f t="shared" si="64"/>
        <v>1</v>
      </c>
      <c r="D393" s="717"/>
      <c r="E393" s="23">
        <f t="shared" si="65"/>
        <v>0.06</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9">
        <f t="shared" si="73"/>
        <v>0</v>
      </c>
    </row>
    <row r="394" spans="1:19">
      <c r="A394" s="157"/>
      <c r="B394" s="58"/>
      <c r="C394" s="23">
        <f t="shared" si="64"/>
        <v>1</v>
      </c>
      <c r="D394" s="717"/>
      <c r="E394" s="23">
        <f t="shared" si="65"/>
        <v>0.06</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9">
        <f t="shared" si="73"/>
        <v>0</v>
      </c>
    </row>
    <row r="395" spans="1:19">
      <c r="A395" s="157"/>
      <c r="B395" s="58"/>
      <c r="C395" s="23">
        <f t="shared" si="64"/>
        <v>1</v>
      </c>
      <c r="D395" s="717"/>
      <c r="E395" s="23">
        <f t="shared" si="65"/>
        <v>0.06</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9">
        <f t="shared" si="73"/>
        <v>0</v>
      </c>
    </row>
    <row r="396" spans="1:19">
      <c r="A396" s="157"/>
      <c r="B396" s="58"/>
      <c r="C396" s="23">
        <f t="shared" si="64"/>
        <v>1</v>
      </c>
      <c r="D396" s="717"/>
      <c r="E396" s="23">
        <f t="shared" si="65"/>
        <v>0.06</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9">
        <f t="shared" si="73"/>
        <v>0</v>
      </c>
    </row>
    <row r="397" spans="1:19">
      <c r="A397" s="157"/>
      <c r="B397" s="58"/>
      <c r="C397" s="23">
        <f t="shared" si="64"/>
        <v>1</v>
      </c>
      <c r="D397" s="717"/>
      <c r="E397" s="23">
        <f t="shared" si="65"/>
        <v>0.06</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9">
        <f t="shared" si="73"/>
        <v>0</v>
      </c>
    </row>
    <row r="398" spans="1:19">
      <c r="A398" s="157"/>
      <c r="B398" s="58"/>
      <c r="C398" s="23">
        <f t="shared" si="64"/>
        <v>1</v>
      </c>
      <c r="D398" s="717"/>
      <c r="E398" s="23">
        <f t="shared" si="65"/>
        <v>0.06</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9">
        <f t="shared" si="73"/>
        <v>0</v>
      </c>
    </row>
    <row r="399" spans="1:19">
      <c r="A399" s="157"/>
      <c r="B399" s="58"/>
      <c r="C399" s="23">
        <f t="shared" si="64"/>
        <v>1</v>
      </c>
      <c r="D399" s="717"/>
      <c r="E399" s="23">
        <f t="shared" si="65"/>
        <v>0.06</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9">
        <f t="shared" si="73"/>
        <v>0</v>
      </c>
    </row>
    <row r="400" spans="1:19">
      <c r="A400" s="157"/>
      <c r="B400" s="58"/>
      <c r="C400" s="23">
        <f t="shared" si="64"/>
        <v>1</v>
      </c>
      <c r="D400" s="717"/>
      <c r="E400" s="23">
        <f t="shared" si="65"/>
        <v>0.06</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9">
        <f t="shared" si="73"/>
        <v>0</v>
      </c>
    </row>
    <row r="401" spans="1:19">
      <c r="A401" s="157"/>
      <c r="B401" s="58"/>
      <c r="C401" s="23">
        <f t="shared" si="64"/>
        <v>1</v>
      </c>
      <c r="D401" s="717"/>
      <c r="E401" s="23">
        <f t="shared" si="65"/>
        <v>0.06</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9">
        <f t="shared" si="73"/>
        <v>0</v>
      </c>
    </row>
    <row r="402" spans="1:19">
      <c r="A402" s="157"/>
      <c r="B402" s="58"/>
      <c r="C402" s="23">
        <f t="shared" si="64"/>
        <v>1</v>
      </c>
      <c r="D402" s="717"/>
      <c r="E402" s="23">
        <f t="shared" si="65"/>
        <v>0.06</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9">
        <f t="shared" si="73"/>
        <v>0</v>
      </c>
    </row>
    <row r="403" spans="1:19">
      <c r="A403" s="157"/>
      <c r="B403" s="58"/>
      <c r="C403" s="23">
        <f t="shared" si="64"/>
        <v>1</v>
      </c>
      <c r="D403" s="717"/>
      <c r="E403" s="23">
        <f t="shared" si="65"/>
        <v>0.06</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9">
        <f t="shared" si="73"/>
        <v>0</v>
      </c>
    </row>
    <row r="404" spans="1:19">
      <c r="A404" s="157"/>
      <c r="B404" s="58"/>
      <c r="C404" s="23">
        <f t="shared" si="64"/>
        <v>1</v>
      </c>
      <c r="D404" s="717"/>
      <c r="E404" s="23">
        <f t="shared" si="65"/>
        <v>0.06</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9">
        <f t="shared" si="73"/>
        <v>0</v>
      </c>
    </row>
    <row r="405" spans="1:19">
      <c r="A405" s="157"/>
      <c r="B405" s="58"/>
      <c r="C405" s="23">
        <f t="shared" si="64"/>
        <v>1</v>
      </c>
      <c r="D405" s="717"/>
      <c r="E405" s="23">
        <f t="shared" si="65"/>
        <v>0.06</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9">
        <f t="shared" si="73"/>
        <v>0</v>
      </c>
    </row>
    <row r="406" spans="1:19">
      <c r="A406" s="157"/>
      <c r="B406" s="58"/>
      <c r="C406" s="23">
        <f t="shared" si="64"/>
        <v>1</v>
      </c>
      <c r="D406" s="717"/>
      <c r="E406" s="23">
        <f t="shared" si="65"/>
        <v>0.06</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9">
        <f t="shared" si="73"/>
        <v>0</v>
      </c>
    </row>
    <row r="407" spans="1:19">
      <c r="A407" s="157"/>
      <c r="B407" s="58"/>
      <c r="C407" s="23">
        <f t="shared" si="64"/>
        <v>1</v>
      </c>
      <c r="D407" s="717"/>
      <c r="E407" s="23">
        <f t="shared" si="65"/>
        <v>0.06</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9">
        <f t="shared" si="73"/>
        <v>0</v>
      </c>
    </row>
    <row r="408" spans="1:19">
      <c r="A408" s="157"/>
      <c r="B408" s="58"/>
      <c r="C408" s="23">
        <f t="shared" si="64"/>
        <v>1</v>
      </c>
      <c r="D408" s="717"/>
      <c r="E408" s="23">
        <f t="shared" si="65"/>
        <v>0.06</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9">
        <f t="shared" si="73"/>
        <v>0</v>
      </c>
    </row>
    <row r="409" spans="1:19">
      <c r="A409" s="157"/>
      <c r="B409" s="58"/>
      <c r="C409" s="23">
        <f t="shared" si="64"/>
        <v>1</v>
      </c>
      <c r="D409" s="717"/>
      <c r="E409" s="23">
        <f t="shared" si="65"/>
        <v>0.06</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9">
        <f t="shared" si="73"/>
        <v>0</v>
      </c>
    </row>
    <row r="410" spans="1:19">
      <c r="A410" s="157"/>
      <c r="B410" s="58"/>
      <c r="C410" s="23">
        <f t="shared" ref="C410:C473" si="74">IF(B410="",1,(LOOKUP(B410,$3:$3,$4:$4)-LOOKUP($B$24,$3:$3,$4:$4)+100)/100)</f>
        <v>1</v>
      </c>
      <c r="D410" s="717"/>
      <c r="E410" s="23">
        <f t="shared" ref="E410:E473" si="75">(SUMIF($5:$5,D410,$6:$6)-SUMIF($5:$5,$D$24,$6:$6)+100)/100</f>
        <v>0.06</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9">
        <f t="shared" si="73"/>
        <v>0</v>
      </c>
    </row>
    <row r="411" spans="1:19">
      <c r="A411" s="157"/>
      <c r="B411" s="58"/>
      <c r="C411" s="23">
        <f t="shared" si="74"/>
        <v>1</v>
      </c>
      <c r="D411" s="717"/>
      <c r="E411" s="23">
        <f t="shared" si="75"/>
        <v>0.06</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9">
        <f t="shared" si="73"/>
        <v>0</v>
      </c>
    </row>
    <row r="412" spans="1:19">
      <c r="A412" s="157"/>
      <c r="B412" s="58"/>
      <c r="C412" s="23">
        <f t="shared" si="74"/>
        <v>1</v>
      </c>
      <c r="D412" s="717"/>
      <c r="E412" s="23">
        <f t="shared" si="75"/>
        <v>0.06</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9">
        <f t="shared" si="73"/>
        <v>0</v>
      </c>
    </row>
    <row r="413" spans="1:19">
      <c r="A413" s="157"/>
      <c r="B413" s="58"/>
      <c r="C413" s="23">
        <f t="shared" si="74"/>
        <v>1</v>
      </c>
      <c r="D413" s="717"/>
      <c r="E413" s="23">
        <f t="shared" si="75"/>
        <v>0.06</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9">
        <f t="shared" si="73"/>
        <v>0</v>
      </c>
    </row>
    <row r="414" spans="1:19">
      <c r="A414" s="157"/>
      <c r="B414" s="58"/>
      <c r="C414" s="23">
        <f t="shared" si="74"/>
        <v>1</v>
      </c>
      <c r="D414" s="717"/>
      <c r="E414" s="23">
        <f t="shared" si="75"/>
        <v>0.06</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9">
        <f t="shared" si="73"/>
        <v>0</v>
      </c>
    </row>
    <row r="415" spans="1:19">
      <c r="A415" s="157"/>
      <c r="B415" s="58"/>
      <c r="C415" s="23">
        <f t="shared" si="74"/>
        <v>1</v>
      </c>
      <c r="D415" s="717"/>
      <c r="E415" s="23">
        <f t="shared" si="75"/>
        <v>0.06</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9">
        <f t="shared" si="73"/>
        <v>0</v>
      </c>
    </row>
    <row r="416" spans="1:19">
      <c r="A416" s="157"/>
      <c r="B416" s="58"/>
      <c r="C416" s="23">
        <f t="shared" si="74"/>
        <v>1</v>
      </c>
      <c r="D416" s="717"/>
      <c r="E416" s="23">
        <f t="shared" si="75"/>
        <v>0.06</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9">
        <f t="shared" si="73"/>
        <v>0</v>
      </c>
    </row>
    <row r="417" spans="1:19">
      <c r="A417" s="157"/>
      <c r="B417" s="58"/>
      <c r="C417" s="23">
        <f t="shared" si="74"/>
        <v>1</v>
      </c>
      <c r="D417" s="717"/>
      <c r="E417" s="23">
        <f t="shared" si="75"/>
        <v>0.06</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9">
        <f t="shared" si="73"/>
        <v>0</v>
      </c>
    </row>
    <row r="418" spans="1:19">
      <c r="A418" s="157"/>
      <c r="B418" s="58"/>
      <c r="C418" s="23">
        <f t="shared" si="74"/>
        <v>1</v>
      </c>
      <c r="D418" s="717"/>
      <c r="E418" s="23">
        <f t="shared" si="75"/>
        <v>0.06</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9">
        <f t="shared" si="73"/>
        <v>0</v>
      </c>
    </row>
    <row r="419" spans="1:19">
      <c r="A419" s="157"/>
      <c r="B419" s="58"/>
      <c r="C419" s="23">
        <f t="shared" si="74"/>
        <v>1</v>
      </c>
      <c r="D419" s="717"/>
      <c r="E419" s="23">
        <f t="shared" si="75"/>
        <v>0.06</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9">
        <f t="shared" si="73"/>
        <v>0</v>
      </c>
    </row>
    <row r="420" spans="1:19">
      <c r="A420" s="157"/>
      <c r="B420" s="58"/>
      <c r="C420" s="23">
        <f t="shared" si="74"/>
        <v>1</v>
      </c>
      <c r="D420" s="717"/>
      <c r="E420" s="23">
        <f t="shared" si="75"/>
        <v>0.06</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9">
        <f t="shared" si="73"/>
        <v>0</v>
      </c>
    </row>
    <row r="421" spans="1:19">
      <c r="A421" s="157"/>
      <c r="B421" s="58"/>
      <c r="C421" s="23">
        <f t="shared" si="74"/>
        <v>1</v>
      </c>
      <c r="D421" s="717"/>
      <c r="E421" s="23">
        <f t="shared" si="75"/>
        <v>0.06</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9">
        <f t="shared" si="73"/>
        <v>0</v>
      </c>
    </row>
    <row r="422" spans="1:19">
      <c r="A422" s="157"/>
      <c r="B422" s="58"/>
      <c r="C422" s="23">
        <f t="shared" si="74"/>
        <v>1</v>
      </c>
      <c r="D422" s="717"/>
      <c r="E422" s="23">
        <f t="shared" si="75"/>
        <v>0.06</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9">
        <f t="shared" si="73"/>
        <v>0</v>
      </c>
    </row>
    <row r="423" spans="1:19">
      <c r="A423" s="157"/>
      <c r="B423" s="58"/>
      <c r="C423" s="23">
        <f t="shared" si="74"/>
        <v>1</v>
      </c>
      <c r="D423" s="717"/>
      <c r="E423" s="23">
        <f t="shared" si="75"/>
        <v>0.06</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9">
        <f t="shared" ref="S423:S467" si="83">ROUND(R423*B423/10000,0)</f>
        <v>0</v>
      </c>
    </row>
    <row r="424" spans="1:19">
      <c r="A424" s="157"/>
      <c r="B424" s="58"/>
      <c r="C424" s="23">
        <f t="shared" si="74"/>
        <v>1</v>
      </c>
      <c r="D424" s="717"/>
      <c r="E424" s="23">
        <f t="shared" si="75"/>
        <v>0.06</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9">
        <f t="shared" si="83"/>
        <v>0</v>
      </c>
    </row>
    <row r="425" spans="1:19">
      <c r="A425" s="157"/>
      <c r="B425" s="58"/>
      <c r="C425" s="23">
        <f t="shared" si="74"/>
        <v>1</v>
      </c>
      <c r="D425" s="717"/>
      <c r="E425" s="23">
        <f t="shared" si="75"/>
        <v>0.06</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9">
        <f t="shared" si="83"/>
        <v>0</v>
      </c>
    </row>
    <row r="426" spans="1:19">
      <c r="A426" s="157"/>
      <c r="B426" s="58"/>
      <c r="C426" s="23">
        <f t="shared" si="74"/>
        <v>1</v>
      </c>
      <c r="D426" s="717"/>
      <c r="E426" s="23">
        <f t="shared" si="75"/>
        <v>0.06</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9">
        <f t="shared" si="83"/>
        <v>0</v>
      </c>
    </row>
    <row r="427" spans="1:19">
      <c r="A427" s="157"/>
      <c r="B427" s="58"/>
      <c r="C427" s="23">
        <f t="shared" si="74"/>
        <v>1</v>
      </c>
      <c r="D427" s="717"/>
      <c r="E427" s="23">
        <f t="shared" si="75"/>
        <v>0.06</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9">
        <f t="shared" si="83"/>
        <v>0</v>
      </c>
    </row>
    <row r="428" spans="1:19">
      <c r="A428" s="157"/>
      <c r="B428" s="58"/>
      <c r="C428" s="23">
        <f t="shared" si="74"/>
        <v>1</v>
      </c>
      <c r="D428" s="717"/>
      <c r="E428" s="23">
        <f t="shared" si="75"/>
        <v>0.06</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9">
        <f t="shared" si="83"/>
        <v>0</v>
      </c>
    </row>
    <row r="429" spans="1:19">
      <c r="A429" s="157"/>
      <c r="B429" s="58"/>
      <c r="C429" s="23">
        <f t="shared" si="74"/>
        <v>1</v>
      </c>
      <c r="D429" s="717"/>
      <c r="E429" s="23">
        <f t="shared" si="75"/>
        <v>0.06</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9">
        <f t="shared" si="83"/>
        <v>0</v>
      </c>
    </row>
    <row r="430" spans="1:19">
      <c r="A430" s="157"/>
      <c r="B430" s="58"/>
      <c r="C430" s="23">
        <f t="shared" si="74"/>
        <v>1</v>
      </c>
      <c r="D430" s="717"/>
      <c r="E430" s="23">
        <f t="shared" si="75"/>
        <v>0.06</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9">
        <f t="shared" si="83"/>
        <v>0</v>
      </c>
    </row>
    <row r="431" spans="1:19">
      <c r="A431" s="157"/>
      <c r="B431" s="58"/>
      <c r="C431" s="23">
        <f t="shared" si="74"/>
        <v>1</v>
      </c>
      <c r="D431" s="717"/>
      <c r="E431" s="23">
        <f t="shared" si="75"/>
        <v>0.06</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9">
        <f t="shared" si="83"/>
        <v>0</v>
      </c>
    </row>
    <row r="432" spans="1:19">
      <c r="A432" s="157"/>
      <c r="B432" s="58"/>
      <c r="C432" s="23">
        <f t="shared" si="74"/>
        <v>1</v>
      </c>
      <c r="D432" s="717"/>
      <c r="E432" s="23">
        <f t="shared" si="75"/>
        <v>0.06</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9">
        <f t="shared" si="83"/>
        <v>0</v>
      </c>
    </row>
    <row r="433" spans="1:19">
      <c r="A433" s="157"/>
      <c r="B433" s="58"/>
      <c r="C433" s="23">
        <f t="shared" si="74"/>
        <v>1</v>
      </c>
      <c r="D433" s="717"/>
      <c r="E433" s="23">
        <f t="shared" si="75"/>
        <v>0.06</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9">
        <f t="shared" si="83"/>
        <v>0</v>
      </c>
    </row>
    <row r="434" spans="1:19">
      <c r="A434" s="157"/>
      <c r="B434" s="58"/>
      <c r="C434" s="23">
        <f t="shared" si="74"/>
        <v>1</v>
      </c>
      <c r="D434" s="717"/>
      <c r="E434" s="23">
        <f t="shared" si="75"/>
        <v>0.06</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9">
        <f t="shared" si="83"/>
        <v>0</v>
      </c>
    </row>
    <row r="435" spans="1:19">
      <c r="A435" s="157"/>
      <c r="B435" s="58"/>
      <c r="C435" s="23">
        <f t="shared" si="74"/>
        <v>1</v>
      </c>
      <c r="D435" s="717"/>
      <c r="E435" s="23">
        <f t="shared" si="75"/>
        <v>0.06</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9">
        <f t="shared" si="83"/>
        <v>0</v>
      </c>
    </row>
    <row r="436" spans="1:19">
      <c r="A436" s="157"/>
      <c r="B436" s="58"/>
      <c r="C436" s="23">
        <f t="shared" si="74"/>
        <v>1</v>
      </c>
      <c r="D436" s="717"/>
      <c r="E436" s="23">
        <f t="shared" si="75"/>
        <v>0.06</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9">
        <f t="shared" si="83"/>
        <v>0</v>
      </c>
    </row>
    <row r="437" spans="1:19">
      <c r="A437" s="157"/>
      <c r="B437" s="58"/>
      <c r="C437" s="23">
        <f t="shared" si="74"/>
        <v>1</v>
      </c>
      <c r="D437" s="717"/>
      <c r="E437" s="23">
        <f t="shared" si="75"/>
        <v>0.06</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9">
        <f t="shared" si="83"/>
        <v>0</v>
      </c>
    </row>
    <row r="438" spans="1:19">
      <c r="A438" s="157"/>
      <c r="B438" s="58"/>
      <c r="C438" s="23">
        <f t="shared" si="74"/>
        <v>1</v>
      </c>
      <c r="D438" s="717"/>
      <c r="E438" s="23">
        <f t="shared" si="75"/>
        <v>0.06</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9">
        <f t="shared" si="83"/>
        <v>0</v>
      </c>
    </row>
    <row r="439" spans="1:19">
      <c r="A439" s="157"/>
      <c r="B439" s="58"/>
      <c r="C439" s="23">
        <f t="shared" si="74"/>
        <v>1</v>
      </c>
      <c r="D439" s="717"/>
      <c r="E439" s="23">
        <f t="shared" si="75"/>
        <v>0.06</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9">
        <f t="shared" si="83"/>
        <v>0</v>
      </c>
    </row>
    <row r="440" spans="1:19">
      <c r="A440" s="157"/>
      <c r="B440" s="58"/>
      <c r="C440" s="23">
        <f t="shared" si="74"/>
        <v>1</v>
      </c>
      <c r="D440" s="717"/>
      <c r="E440" s="23">
        <f t="shared" si="75"/>
        <v>0.06</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9">
        <f t="shared" si="83"/>
        <v>0</v>
      </c>
    </row>
    <row r="441" spans="1:19">
      <c r="A441" s="157"/>
      <c r="B441" s="58"/>
      <c r="C441" s="23">
        <f t="shared" si="74"/>
        <v>1</v>
      </c>
      <c r="D441" s="717"/>
      <c r="E441" s="23">
        <f t="shared" si="75"/>
        <v>0.06</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9">
        <f t="shared" si="83"/>
        <v>0</v>
      </c>
    </row>
    <row r="442" spans="1:19">
      <c r="A442" s="157"/>
      <c r="B442" s="58"/>
      <c r="C442" s="23">
        <f t="shared" si="74"/>
        <v>1</v>
      </c>
      <c r="D442" s="717"/>
      <c r="E442" s="23">
        <f t="shared" si="75"/>
        <v>0.06</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9">
        <f t="shared" si="83"/>
        <v>0</v>
      </c>
    </row>
    <row r="443" spans="1:19">
      <c r="A443" s="157"/>
      <c r="B443" s="58"/>
      <c r="C443" s="23">
        <f t="shared" si="74"/>
        <v>1</v>
      </c>
      <c r="D443" s="717"/>
      <c r="E443" s="23">
        <f t="shared" si="75"/>
        <v>0.06</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9">
        <f t="shared" si="83"/>
        <v>0</v>
      </c>
    </row>
    <row r="444" spans="1:19">
      <c r="A444" s="157"/>
      <c r="B444" s="58"/>
      <c r="C444" s="23">
        <f t="shared" si="74"/>
        <v>1</v>
      </c>
      <c r="D444" s="717"/>
      <c r="E444" s="23">
        <f t="shared" si="75"/>
        <v>0.06</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9">
        <f t="shared" si="83"/>
        <v>0</v>
      </c>
    </row>
    <row r="445" spans="1:19">
      <c r="A445" s="157"/>
      <c r="B445" s="58"/>
      <c r="C445" s="23">
        <f t="shared" si="74"/>
        <v>1</v>
      </c>
      <c r="D445" s="717"/>
      <c r="E445" s="23">
        <f t="shared" si="75"/>
        <v>0.06</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9">
        <f t="shared" si="83"/>
        <v>0</v>
      </c>
    </row>
    <row r="446" spans="1:19">
      <c r="A446" s="157"/>
      <c r="B446" s="58"/>
      <c r="C446" s="23">
        <f t="shared" si="74"/>
        <v>1</v>
      </c>
      <c r="D446" s="717"/>
      <c r="E446" s="23">
        <f t="shared" si="75"/>
        <v>0.06</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9">
        <f t="shared" si="83"/>
        <v>0</v>
      </c>
    </row>
    <row r="447" spans="1:19">
      <c r="A447" s="157"/>
      <c r="B447" s="58"/>
      <c r="C447" s="23">
        <f t="shared" si="74"/>
        <v>1</v>
      </c>
      <c r="D447" s="717"/>
      <c r="E447" s="23">
        <f t="shared" si="75"/>
        <v>0.06</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9">
        <f t="shared" si="83"/>
        <v>0</v>
      </c>
    </row>
    <row r="448" spans="1:19">
      <c r="A448" s="157"/>
      <c r="B448" s="58"/>
      <c r="C448" s="23">
        <f t="shared" si="74"/>
        <v>1</v>
      </c>
      <c r="D448" s="717"/>
      <c r="E448" s="23">
        <f t="shared" si="75"/>
        <v>0.06</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9">
        <f t="shared" si="83"/>
        <v>0</v>
      </c>
    </row>
    <row r="449" spans="1:19">
      <c r="A449" s="157"/>
      <c r="B449" s="58"/>
      <c r="C449" s="23">
        <f t="shared" si="74"/>
        <v>1</v>
      </c>
      <c r="D449" s="717"/>
      <c r="E449" s="23">
        <f t="shared" si="75"/>
        <v>0.06</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9">
        <f t="shared" si="83"/>
        <v>0</v>
      </c>
    </row>
    <row r="450" spans="1:19">
      <c r="A450" s="157"/>
      <c r="B450" s="58"/>
      <c r="C450" s="23">
        <f t="shared" si="74"/>
        <v>1</v>
      </c>
      <c r="D450" s="717"/>
      <c r="E450" s="23">
        <f t="shared" si="75"/>
        <v>0.06</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9">
        <f t="shared" si="83"/>
        <v>0</v>
      </c>
    </row>
    <row r="451" spans="1:19">
      <c r="A451" s="157"/>
      <c r="B451" s="58"/>
      <c r="C451" s="23">
        <f t="shared" si="74"/>
        <v>1</v>
      </c>
      <c r="D451" s="717"/>
      <c r="E451" s="23">
        <f t="shared" si="75"/>
        <v>0.06</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9">
        <f t="shared" si="83"/>
        <v>0</v>
      </c>
    </row>
    <row r="452" spans="1:19">
      <c r="A452" s="157"/>
      <c r="B452" s="58"/>
      <c r="C452" s="23">
        <f t="shared" si="74"/>
        <v>1</v>
      </c>
      <c r="D452" s="717"/>
      <c r="E452" s="23">
        <f t="shared" si="75"/>
        <v>0.06</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9">
        <f t="shared" si="83"/>
        <v>0</v>
      </c>
    </row>
    <row r="453" spans="1:19">
      <c r="A453" s="157"/>
      <c r="B453" s="58"/>
      <c r="C453" s="23">
        <f t="shared" si="74"/>
        <v>1</v>
      </c>
      <c r="D453" s="717"/>
      <c r="E453" s="23">
        <f t="shared" si="75"/>
        <v>0.06</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9">
        <f t="shared" si="83"/>
        <v>0</v>
      </c>
    </row>
    <row r="454" spans="1:19">
      <c r="A454" s="157"/>
      <c r="B454" s="58"/>
      <c r="C454" s="23">
        <f t="shared" si="74"/>
        <v>1</v>
      </c>
      <c r="D454" s="717"/>
      <c r="E454" s="23">
        <f t="shared" si="75"/>
        <v>0.06</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9">
        <f t="shared" si="83"/>
        <v>0</v>
      </c>
    </row>
    <row r="455" spans="1:19">
      <c r="A455" s="157"/>
      <c r="B455" s="58"/>
      <c r="C455" s="23">
        <f t="shared" si="74"/>
        <v>1</v>
      </c>
      <c r="D455" s="717"/>
      <c r="E455" s="23">
        <f t="shared" si="75"/>
        <v>0.06</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9">
        <f t="shared" si="83"/>
        <v>0</v>
      </c>
    </row>
    <row r="456" spans="1:19">
      <c r="A456" s="157"/>
      <c r="B456" s="58"/>
      <c r="C456" s="23">
        <f t="shared" si="74"/>
        <v>1</v>
      </c>
      <c r="D456" s="717"/>
      <c r="E456" s="23">
        <f t="shared" si="75"/>
        <v>0.06</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9">
        <f t="shared" si="83"/>
        <v>0</v>
      </c>
    </row>
    <row r="457" spans="1:19">
      <c r="A457" s="157"/>
      <c r="B457" s="58"/>
      <c r="C457" s="23">
        <f t="shared" si="74"/>
        <v>1</v>
      </c>
      <c r="D457" s="717"/>
      <c r="E457" s="23">
        <f t="shared" si="75"/>
        <v>0.06</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9">
        <f t="shared" si="83"/>
        <v>0</v>
      </c>
    </row>
    <row r="458" spans="1:19">
      <c r="A458" s="157"/>
      <c r="B458" s="58"/>
      <c r="C458" s="23">
        <f t="shared" si="74"/>
        <v>1</v>
      </c>
      <c r="D458" s="717"/>
      <c r="E458" s="23">
        <f t="shared" si="75"/>
        <v>0.06</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9">
        <f t="shared" si="83"/>
        <v>0</v>
      </c>
    </row>
    <row r="459" spans="1:19">
      <c r="A459" s="157"/>
      <c r="B459" s="58"/>
      <c r="C459" s="23">
        <f t="shared" si="74"/>
        <v>1</v>
      </c>
      <c r="D459" s="717"/>
      <c r="E459" s="23">
        <f t="shared" si="75"/>
        <v>0.06</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9">
        <f t="shared" si="83"/>
        <v>0</v>
      </c>
    </row>
    <row r="460" spans="1:19">
      <c r="A460" s="157"/>
      <c r="B460" s="58"/>
      <c r="C460" s="23">
        <f t="shared" si="74"/>
        <v>1</v>
      </c>
      <c r="D460" s="717"/>
      <c r="E460" s="23">
        <f t="shared" si="75"/>
        <v>0.06</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9">
        <f t="shared" si="83"/>
        <v>0</v>
      </c>
    </row>
    <row r="461" spans="1:19">
      <c r="A461" s="157"/>
      <c r="B461" s="58"/>
      <c r="C461" s="23">
        <f t="shared" si="74"/>
        <v>1</v>
      </c>
      <c r="D461" s="717"/>
      <c r="E461" s="23">
        <f t="shared" si="75"/>
        <v>0.06</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9">
        <f t="shared" si="83"/>
        <v>0</v>
      </c>
    </row>
    <row r="462" spans="1:19">
      <c r="A462" s="157"/>
      <c r="B462" s="58"/>
      <c r="C462" s="23">
        <f t="shared" si="74"/>
        <v>1</v>
      </c>
      <c r="D462" s="717"/>
      <c r="E462" s="23">
        <f t="shared" si="75"/>
        <v>0.06</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9">
        <f t="shared" si="83"/>
        <v>0</v>
      </c>
    </row>
    <row r="463" spans="1:19">
      <c r="A463" s="157"/>
      <c r="B463" s="58"/>
      <c r="C463" s="23">
        <f t="shared" si="74"/>
        <v>1</v>
      </c>
      <c r="D463" s="717"/>
      <c r="E463" s="23">
        <f t="shared" si="75"/>
        <v>0.06</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9">
        <f t="shared" si="83"/>
        <v>0</v>
      </c>
    </row>
    <row r="464" spans="1:19">
      <c r="A464" s="157"/>
      <c r="B464" s="58"/>
      <c r="C464" s="23">
        <f t="shared" si="74"/>
        <v>1</v>
      </c>
      <c r="D464" s="717"/>
      <c r="E464" s="23">
        <f t="shared" si="75"/>
        <v>0.06</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9">
        <f t="shared" si="83"/>
        <v>0</v>
      </c>
    </row>
    <row r="465" spans="1:19">
      <c r="A465" s="157"/>
      <c r="B465" s="58"/>
      <c r="C465" s="23">
        <f t="shared" si="74"/>
        <v>1</v>
      </c>
      <c r="D465" s="717"/>
      <c r="E465" s="23">
        <f t="shared" si="75"/>
        <v>0.06</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9">
        <f t="shared" si="83"/>
        <v>0</v>
      </c>
    </row>
    <row r="466" spans="1:19">
      <c r="A466" s="157"/>
      <c r="B466" s="58"/>
      <c r="C466" s="23">
        <f t="shared" si="74"/>
        <v>1</v>
      </c>
      <c r="D466" s="717"/>
      <c r="E466" s="23">
        <f t="shared" si="75"/>
        <v>0.06</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9">
        <f t="shared" si="83"/>
        <v>0</v>
      </c>
    </row>
    <row r="467" spans="1:19">
      <c r="A467" s="157"/>
      <c r="B467" s="58"/>
      <c r="C467" s="23">
        <f t="shared" si="74"/>
        <v>1</v>
      </c>
      <c r="D467" s="717"/>
      <c r="E467" s="23">
        <f t="shared" si="75"/>
        <v>0.06</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9">
        <f t="shared" si="83"/>
        <v>0</v>
      </c>
    </row>
    <row r="468" spans="1:19">
      <c r="A468" s="157"/>
      <c r="B468" s="58"/>
      <c r="C468" s="23">
        <f t="shared" si="74"/>
        <v>1</v>
      </c>
      <c r="D468" s="717"/>
      <c r="E468" s="23">
        <f t="shared" si="75"/>
        <v>0.06</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9">
        <f t="shared" ref="S468:S497" si="84">ROUND(R468*B468/10000,0)</f>
        <v>0</v>
      </c>
    </row>
    <row r="469" spans="1:19">
      <c r="A469" s="157"/>
      <c r="B469" s="58"/>
      <c r="C469" s="23">
        <f t="shared" si="74"/>
        <v>1</v>
      </c>
      <c r="D469" s="717"/>
      <c r="E469" s="23">
        <f t="shared" si="75"/>
        <v>0.06</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9">
        <f t="shared" si="84"/>
        <v>0</v>
      </c>
    </row>
    <row r="470" spans="1:19">
      <c r="A470" s="157"/>
      <c r="B470" s="58"/>
      <c r="C470" s="23">
        <f t="shared" si="74"/>
        <v>1</v>
      </c>
      <c r="D470" s="717"/>
      <c r="E470" s="23">
        <f t="shared" si="75"/>
        <v>0.06</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9">
        <f t="shared" si="84"/>
        <v>0</v>
      </c>
    </row>
    <row r="471" spans="1:19">
      <c r="A471" s="157"/>
      <c r="B471" s="58"/>
      <c r="C471" s="23">
        <f t="shared" si="74"/>
        <v>1</v>
      </c>
      <c r="D471" s="717"/>
      <c r="E471" s="23">
        <f t="shared" si="75"/>
        <v>0.06</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9">
        <f t="shared" si="84"/>
        <v>0</v>
      </c>
    </row>
    <row r="472" spans="1:19">
      <c r="A472" s="157"/>
      <c r="B472" s="58"/>
      <c r="C472" s="23">
        <f t="shared" si="74"/>
        <v>1</v>
      </c>
      <c r="D472" s="717"/>
      <c r="E472" s="23">
        <f t="shared" si="75"/>
        <v>0.06</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9">
        <f t="shared" si="84"/>
        <v>0</v>
      </c>
    </row>
    <row r="473" spans="1:19">
      <c r="A473" s="157"/>
      <c r="B473" s="58"/>
      <c r="C473" s="23">
        <f t="shared" si="74"/>
        <v>1</v>
      </c>
      <c r="D473" s="717"/>
      <c r="E473" s="23">
        <f t="shared" si="75"/>
        <v>0.06</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9">
        <f t="shared" si="84"/>
        <v>0</v>
      </c>
    </row>
    <row r="474" spans="1:19">
      <c r="A474" s="157"/>
      <c r="B474" s="58"/>
      <c r="C474" s="23">
        <f t="shared" ref="C474:C524" si="85">IF(B474="",1,(LOOKUP(B474,$3:$3,$4:$4)-LOOKUP($B$24,$3:$3,$4:$4)+100)/100)</f>
        <v>1</v>
      </c>
      <c r="D474" s="717"/>
      <c r="E474" s="23">
        <f t="shared" ref="E474:E524" si="86">(SUMIF($5:$5,D474,$6:$6)-SUMIF($5:$5,$D$24,$6:$6)+100)/100</f>
        <v>0.06</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9">
        <f t="shared" si="84"/>
        <v>0</v>
      </c>
    </row>
    <row r="475" spans="1:19">
      <c r="A475" s="157"/>
      <c r="B475" s="58"/>
      <c r="C475" s="23">
        <f t="shared" si="85"/>
        <v>1</v>
      </c>
      <c r="D475" s="717"/>
      <c r="E475" s="23">
        <f t="shared" si="86"/>
        <v>0.06</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9">
        <f t="shared" si="84"/>
        <v>0</v>
      </c>
    </row>
    <row r="476" spans="1:19">
      <c r="A476" s="157"/>
      <c r="B476" s="58"/>
      <c r="C476" s="23">
        <f t="shared" si="85"/>
        <v>1</v>
      </c>
      <c r="D476" s="717"/>
      <c r="E476" s="23">
        <f t="shared" si="86"/>
        <v>0.06</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9">
        <f t="shared" si="84"/>
        <v>0</v>
      </c>
    </row>
    <row r="477" spans="1:19">
      <c r="A477" s="157"/>
      <c r="B477" s="58"/>
      <c r="C477" s="23">
        <f t="shared" si="85"/>
        <v>1</v>
      </c>
      <c r="D477" s="717"/>
      <c r="E477" s="23">
        <f t="shared" si="86"/>
        <v>0.06</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9">
        <f t="shared" si="84"/>
        <v>0</v>
      </c>
    </row>
    <row r="478" spans="1:19">
      <c r="A478" s="157"/>
      <c r="B478" s="58"/>
      <c r="C478" s="23">
        <f t="shared" si="85"/>
        <v>1</v>
      </c>
      <c r="D478" s="717"/>
      <c r="E478" s="23">
        <f t="shared" si="86"/>
        <v>0.06</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9">
        <f t="shared" si="84"/>
        <v>0</v>
      </c>
    </row>
    <row r="479" spans="1:19">
      <c r="A479" s="157"/>
      <c r="B479" s="58"/>
      <c r="C479" s="23">
        <f t="shared" si="85"/>
        <v>1</v>
      </c>
      <c r="D479" s="717"/>
      <c r="E479" s="23">
        <f t="shared" si="86"/>
        <v>0.06</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9">
        <f t="shared" si="84"/>
        <v>0</v>
      </c>
    </row>
    <row r="480" spans="1:19">
      <c r="A480" s="157"/>
      <c r="B480" s="58"/>
      <c r="C480" s="23">
        <f t="shared" si="85"/>
        <v>1</v>
      </c>
      <c r="D480" s="717"/>
      <c r="E480" s="23">
        <f t="shared" si="86"/>
        <v>0.06</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9">
        <f t="shared" si="84"/>
        <v>0</v>
      </c>
    </row>
    <row r="481" spans="1:19">
      <c r="A481" s="157"/>
      <c r="B481" s="58"/>
      <c r="C481" s="23">
        <f t="shared" si="85"/>
        <v>1</v>
      </c>
      <c r="D481" s="717"/>
      <c r="E481" s="23">
        <f t="shared" si="86"/>
        <v>0.06</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9">
        <f t="shared" si="84"/>
        <v>0</v>
      </c>
    </row>
    <row r="482" spans="1:19">
      <c r="A482" s="157"/>
      <c r="B482" s="58"/>
      <c r="C482" s="23">
        <f t="shared" si="85"/>
        <v>1</v>
      </c>
      <c r="D482" s="717"/>
      <c r="E482" s="23">
        <f t="shared" si="86"/>
        <v>0.06</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9">
        <f t="shared" si="84"/>
        <v>0</v>
      </c>
    </row>
    <row r="483" spans="1:19">
      <c r="A483" s="157"/>
      <c r="B483" s="58"/>
      <c r="C483" s="23">
        <f t="shared" si="85"/>
        <v>1</v>
      </c>
      <c r="D483" s="717"/>
      <c r="E483" s="23">
        <f t="shared" si="86"/>
        <v>0.06</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9">
        <f t="shared" si="84"/>
        <v>0</v>
      </c>
    </row>
    <row r="484" spans="1:19">
      <c r="A484" s="157"/>
      <c r="B484" s="58"/>
      <c r="C484" s="23">
        <f t="shared" si="85"/>
        <v>1</v>
      </c>
      <c r="D484" s="717"/>
      <c r="E484" s="23">
        <f t="shared" si="86"/>
        <v>0.06</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9">
        <f t="shared" si="84"/>
        <v>0</v>
      </c>
    </row>
    <row r="485" spans="1:19">
      <c r="A485" s="157"/>
      <c r="B485" s="58"/>
      <c r="C485" s="23">
        <f t="shared" si="85"/>
        <v>1</v>
      </c>
      <c r="D485" s="717"/>
      <c r="E485" s="23">
        <f t="shared" si="86"/>
        <v>0.06</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9">
        <f t="shared" si="84"/>
        <v>0</v>
      </c>
    </row>
    <row r="486" spans="1:19">
      <c r="A486" s="157"/>
      <c r="B486" s="58"/>
      <c r="C486" s="23">
        <f t="shared" si="85"/>
        <v>1</v>
      </c>
      <c r="D486" s="717"/>
      <c r="E486" s="23">
        <f t="shared" si="86"/>
        <v>0.06</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9">
        <f t="shared" si="84"/>
        <v>0</v>
      </c>
    </row>
    <row r="487" spans="1:19">
      <c r="A487" s="157"/>
      <c r="B487" s="58"/>
      <c r="C487" s="23">
        <f t="shared" si="85"/>
        <v>1</v>
      </c>
      <c r="D487" s="717"/>
      <c r="E487" s="23">
        <f t="shared" si="86"/>
        <v>0.06</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9">
        <f t="shared" si="84"/>
        <v>0</v>
      </c>
    </row>
    <row r="488" spans="1:19">
      <c r="A488" s="157"/>
      <c r="B488" s="58"/>
      <c r="C488" s="23">
        <f t="shared" si="85"/>
        <v>1</v>
      </c>
      <c r="D488" s="717"/>
      <c r="E488" s="23">
        <f t="shared" si="86"/>
        <v>0.06</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9">
        <f t="shared" si="84"/>
        <v>0</v>
      </c>
    </row>
    <row r="489" spans="1:19">
      <c r="A489" s="157"/>
      <c r="B489" s="58"/>
      <c r="C489" s="23">
        <f t="shared" si="85"/>
        <v>1</v>
      </c>
      <c r="D489" s="717"/>
      <c r="E489" s="23">
        <f t="shared" si="86"/>
        <v>0.06</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9">
        <f t="shared" si="84"/>
        <v>0</v>
      </c>
    </row>
    <row r="490" spans="1:19">
      <c r="A490" s="157"/>
      <c r="B490" s="58"/>
      <c r="C490" s="23">
        <f t="shared" si="85"/>
        <v>1</v>
      </c>
      <c r="D490" s="717"/>
      <c r="E490" s="23">
        <f t="shared" si="86"/>
        <v>0.06</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9">
        <f t="shared" si="84"/>
        <v>0</v>
      </c>
    </row>
    <row r="491" spans="1:19">
      <c r="A491" s="157"/>
      <c r="B491" s="58"/>
      <c r="C491" s="23">
        <f t="shared" si="85"/>
        <v>1</v>
      </c>
      <c r="D491" s="717"/>
      <c r="E491" s="23">
        <f t="shared" si="86"/>
        <v>0.06</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9">
        <f t="shared" si="84"/>
        <v>0</v>
      </c>
    </row>
    <row r="492" spans="1:19">
      <c r="A492" s="157"/>
      <c r="B492" s="58"/>
      <c r="C492" s="23">
        <f t="shared" si="85"/>
        <v>1</v>
      </c>
      <c r="D492" s="717"/>
      <c r="E492" s="23">
        <f t="shared" si="86"/>
        <v>0.06</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9">
        <f t="shared" si="84"/>
        <v>0</v>
      </c>
    </row>
    <row r="493" spans="1:19">
      <c r="A493" s="157"/>
      <c r="B493" s="58"/>
      <c r="C493" s="23">
        <f t="shared" si="85"/>
        <v>1</v>
      </c>
      <c r="D493" s="717"/>
      <c r="E493" s="23">
        <f t="shared" si="86"/>
        <v>0.06</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9">
        <f t="shared" si="84"/>
        <v>0</v>
      </c>
    </row>
    <row r="494" spans="1:19">
      <c r="A494" s="157"/>
      <c r="B494" s="58"/>
      <c r="C494" s="23">
        <f t="shared" si="85"/>
        <v>1</v>
      </c>
      <c r="D494" s="717"/>
      <c r="E494" s="23">
        <f t="shared" si="86"/>
        <v>0.06</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9">
        <f t="shared" si="84"/>
        <v>0</v>
      </c>
    </row>
    <row r="495" spans="1:19">
      <c r="A495" s="157"/>
      <c r="B495" s="58"/>
      <c r="C495" s="23">
        <f t="shared" si="85"/>
        <v>1</v>
      </c>
      <c r="D495" s="717"/>
      <c r="E495" s="23">
        <f t="shared" si="86"/>
        <v>0.06</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9">
        <f t="shared" si="84"/>
        <v>0</v>
      </c>
    </row>
    <row r="496" spans="1:19">
      <c r="A496" s="157"/>
      <c r="B496" s="58"/>
      <c r="C496" s="23">
        <f t="shared" si="85"/>
        <v>1</v>
      </c>
      <c r="D496" s="717"/>
      <c r="E496" s="23">
        <f t="shared" si="86"/>
        <v>0.06</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9">
        <f t="shared" si="84"/>
        <v>0</v>
      </c>
    </row>
    <row r="497" spans="1:19">
      <c r="A497" s="157"/>
      <c r="B497" s="58"/>
      <c r="C497" s="23">
        <f t="shared" si="85"/>
        <v>1</v>
      </c>
      <c r="D497" s="717"/>
      <c r="E497" s="23">
        <f t="shared" si="86"/>
        <v>0.06</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9">
        <f t="shared" si="84"/>
        <v>0</v>
      </c>
    </row>
    <row r="498" spans="1:19">
      <c r="A498" s="157"/>
      <c r="B498" s="58"/>
      <c r="C498" s="23">
        <f t="shared" si="85"/>
        <v>1</v>
      </c>
      <c r="D498" s="717"/>
      <c r="E498" s="23">
        <f t="shared" si="86"/>
        <v>0.06</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9">
        <f t="shared" ref="S498:S524" si="94">ROUND(R498*B498/10000,0)</f>
        <v>0</v>
      </c>
    </row>
    <row r="499" spans="1:19">
      <c r="A499" s="157"/>
      <c r="B499" s="58"/>
      <c r="C499" s="23">
        <f t="shared" si="85"/>
        <v>1</v>
      </c>
      <c r="D499" s="717"/>
      <c r="E499" s="23">
        <f t="shared" si="86"/>
        <v>0.06</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9">
        <f t="shared" si="94"/>
        <v>0</v>
      </c>
    </row>
    <row r="500" spans="1:19">
      <c r="A500" s="157"/>
      <c r="B500" s="58"/>
      <c r="C500" s="23">
        <f t="shared" si="85"/>
        <v>1</v>
      </c>
      <c r="D500" s="717"/>
      <c r="E500" s="23">
        <f t="shared" si="86"/>
        <v>0.06</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9">
        <f t="shared" si="94"/>
        <v>0</v>
      </c>
    </row>
    <row r="501" spans="1:19">
      <c r="A501" s="157"/>
      <c r="B501" s="58"/>
      <c r="C501" s="23">
        <f t="shared" si="85"/>
        <v>1</v>
      </c>
      <c r="D501" s="717"/>
      <c r="E501" s="23">
        <f t="shared" si="86"/>
        <v>0.06</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9">
        <f t="shared" si="94"/>
        <v>0</v>
      </c>
    </row>
    <row r="502" spans="1:19">
      <c r="A502" s="157"/>
      <c r="B502" s="58"/>
      <c r="C502" s="23">
        <f t="shared" si="85"/>
        <v>1</v>
      </c>
      <c r="D502" s="717"/>
      <c r="E502" s="23">
        <f t="shared" si="86"/>
        <v>0.06</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9">
        <f t="shared" si="94"/>
        <v>0</v>
      </c>
    </row>
    <row r="503" spans="1:19">
      <c r="A503" s="157"/>
      <c r="B503" s="58"/>
      <c r="C503" s="23">
        <f t="shared" si="85"/>
        <v>1</v>
      </c>
      <c r="D503" s="717"/>
      <c r="E503" s="23">
        <f t="shared" si="86"/>
        <v>0.06</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9">
        <f t="shared" si="94"/>
        <v>0</v>
      </c>
    </row>
    <row r="504" spans="1:19">
      <c r="A504" s="157"/>
      <c r="B504" s="58"/>
      <c r="C504" s="23">
        <f t="shared" si="85"/>
        <v>1</v>
      </c>
      <c r="D504" s="717"/>
      <c r="E504" s="23">
        <f t="shared" si="86"/>
        <v>0.06</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9">
        <f t="shared" si="94"/>
        <v>0</v>
      </c>
    </row>
    <row r="505" spans="1:19">
      <c r="A505" s="157"/>
      <c r="B505" s="58"/>
      <c r="C505" s="23">
        <f t="shared" si="85"/>
        <v>1</v>
      </c>
      <c r="D505" s="717"/>
      <c r="E505" s="23">
        <f t="shared" si="86"/>
        <v>0.06</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9">
        <f t="shared" si="94"/>
        <v>0</v>
      </c>
    </row>
    <row r="506" spans="1:19">
      <c r="A506" s="157"/>
      <c r="B506" s="58"/>
      <c r="C506" s="23">
        <f t="shared" si="85"/>
        <v>1</v>
      </c>
      <c r="D506" s="717"/>
      <c r="E506" s="23">
        <f t="shared" si="86"/>
        <v>0.06</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9">
        <f t="shared" si="94"/>
        <v>0</v>
      </c>
    </row>
    <row r="507" spans="1:19">
      <c r="A507" s="157"/>
      <c r="B507" s="58"/>
      <c r="C507" s="23">
        <f t="shared" si="85"/>
        <v>1</v>
      </c>
      <c r="D507" s="717"/>
      <c r="E507" s="23">
        <f t="shared" si="86"/>
        <v>0.06</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9">
        <f t="shared" si="94"/>
        <v>0</v>
      </c>
    </row>
    <row r="508" spans="1:19">
      <c r="A508" s="157"/>
      <c r="B508" s="58"/>
      <c r="C508" s="23">
        <f t="shared" si="85"/>
        <v>1</v>
      </c>
      <c r="D508" s="717"/>
      <c r="E508" s="23">
        <f t="shared" si="86"/>
        <v>0.06</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9">
        <f t="shared" si="94"/>
        <v>0</v>
      </c>
    </row>
    <row r="509" spans="1:19">
      <c r="A509" s="157"/>
      <c r="B509" s="58"/>
      <c r="C509" s="23">
        <f t="shared" si="85"/>
        <v>1</v>
      </c>
      <c r="D509" s="717"/>
      <c r="E509" s="23">
        <f t="shared" si="86"/>
        <v>0.06</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9">
        <f t="shared" si="94"/>
        <v>0</v>
      </c>
    </row>
    <row r="510" spans="1:19">
      <c r="A510" s="157"/>
      <c r="B510" s="58"/>
      <c r="C510" s="23">
        <f t="shared" si="85"/>
        <v>1</v>
      </c>
      <c r="D510" s="717"/>
      <c r="E510" s="23">
        <f t="shared" si="86"/>
        <v>0.06</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9">
        <f t="shared" si="94"/>
        <v>0</v>
      </c>
    </row>
    <row r="511" spans="1:19">
      <c r="A511" s="157"/>
      <c r="B511" s="58"/>
      <c r="C511" s="23">
        <f t="shared" si="85"/>
        <v>1</v>
      </c>
      <c r="D511" s="717"/>
      <c r="E511" s="23">
        <f t="shared" si="86"/>
        <v>0.06</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9">
        <f t="shared" si="94"/>
        <v>0</v>
      </c>
    </row>
    <row r="512" spans="1:19">
      <c r="A512" s="157"/>
      <c r="B512" s="58"/>
      <c r="C512" s="23">
        <f t="shared" si="85"/>
        <v>1</v>
      </c>
      <c r="D512" s="717"/>
      <c r="E512" s="23">
        <f t="shared" si="86"/>
        <v>0.06</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9">
        <f t="shared" si="94"/>
        <v>0</v>
      </c>
    </row>
    <row r="513" spans="1:19">
      <c r="A513" s="157"/>
      <c r="B513" s="58"/>
      <c r="C513" s="23">
        <f t="shared" si="85"/>
        <v>1</v>
      </c>
      <c r="D513" s="717"/>
      <c r="E513" s="23">
        <f t="shared" si="86"/>
        <v>0.06</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9">
        <f t="shared" si="94"/>
        <v>0</v>
      </c>
    </row>
    <row r="514" spans="1:19">
      <c r="A514" s="157"/>
      <c r="B514" s="58"/>
      <c r="C514" s="23">
        <f t="shared" si="85"/>
        <v>1</v>
      </c>
      <c r="D514" s="717"/>
      <c r="E514" s="23">
        <f t="shared" si="86"/>
        <v>0.06</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9">
        <f t="shared" si="94"/>
        <v>0</v>
      </c>
    </row>
    <row r="515" spans="1:19">
      <c r="A515" s="157"/>
      <c r="B515" s="58"/>
      <c r="C515" s="23">
        <f t="shared" si="85"/>
        <v>1</v>
      </c>
      <c r="D515" s="717"/>
      <c r="E515" s="23">
        <f t="shared" si="86"/>
        <v>0.06</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9">
        <f t="shared" si="94"/>
        <v>0</v>
      </c>
    </row>
    <row r="516" spans="1:19">
      <c r="A516" s="157"/>
      <c r="B516" s="58"/>
      <c r="C516" s="23">
        <f t="shared" si="85"/>
        <v>1</v>
      </c>
      <c r="D516" s="717"/>
      <c r="E516" s="23">
        <f t="shared" si="86"/>
        <v>0.06</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9">
        <f t="shared" si="94"/>
        <v>0</v>
      </c>
    </row>
    <row r="517" spans="1:19">
      <c r="A517" s="157"/>
      <c r="B517" s="58"/>
      <c r="C517" s="23">
        <f t="shared" si="85"/>
        <v>1</v>
      </c>
      <c r="D517" s="717"/>
      <c r="E517" s="23">
        <f t="shared" si="86"/>
        <v>0.06</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9">
        <f t="shared" si="94"/>
        <v>0</v>
      </c>
    </row>
    <row r="518" spans="1:19">
      <c r="A518" s="157"/>
      <c r="B518" s="58"/>
      <c r="C518" s="23">
        <f t="shared" si="85"/>
        <v>1</v>
      </c>
      <c r="D518" s="717"/>
      <c r="E518" s="23">
        <f t="shared" si="86"/>
        <v>0.06</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9">
        <f t="shared" si="94"/>
        <v>0</v>
      </c>
    </row>
    <row r="519" spans="1:19">
      <c r="A519" s="157"/>
      <c r="B519" s="58"/>
      <c r="C519" s="23">
        <f t="shared" si="85"/>
        <v>1</v>
      </c>
      <c r="D519" s="717"/>
      <c r="E519" s="23">
        <f t="shared" si="86"/>
        <v>0.06</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9">
        <f t="shared" si="94"/>
        <v>0</v>
      </c>
    </row>
    <row r="520" spans="1:19">
      <c r="A520" s="157"/>
      <c r="B520" s="58"/>
      <c r="C520" s="23">
        <f t="shared" si="85"/>
        <v>1</v>
      </c>
      <c r="D520" s="717"/>
      <c r="E520" s="23">
        <f t="shared" si="86"/>
        <v>0.06</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9">
        <f t="shared" si="94"/>
        <v>0</v>
      </c>
    </row>
    <row r="521" spans="1:19">
      <c r="A521" s="157"/>
      <c r="B521" s="58"/>
      <c r="C521" s="23">
        <f t="shared" si="85"/>
        <v>1</v>
      </c>
      <c r="D521" s="717"/>
      <c r="E521" s="23">
        <f t="shared" si="86"/>
        <v>0.06</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9">
        <f t="shared" si="94"/>
        <v>0</v>
      </c>
    </row>
    <row r="522" spans="1:19">
      <c r="A522" s="157"/>
      <c r="B522" s="58"/>
      <c r="C522" s="23">
        <f t="shared" si="85"/>
        <v>1</v>
      </c>
      <c r="D522" s="717"/>
      <c r="E522" s="23">
        <f t="shared" si="86"/>
        <v>0.06</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9">
        <f t="shared" si="94"/>
        <v>0</v>
      </c>
    </row>
    <row r="523" spans="1:19">
      <c r="A523" s="157"/>
      <c r="B523" s="58"/>
      <c r="C523" s="23">
        <f t="shared" si="85"/>
        <v>1</v>
      </c>
      <c r="D523" s="717"/>
      <c r="E523" s="23">
        <f t="shared" si="86"/>
        <v>0.06</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9">
        <f t="shared" si="94"/>
        <v>0</v>
      </c>
    </row>
    <row r="524" spans="1:19">
      <c r="A524" s="157"/>
      <c r="B524" s="58"/>
      <c r="C524" s="23">
        <f t="shared" si="85"/>
        <v>1</v>
      </c>
      <c r="D524" s="717"/>
      <c r="E524" s="23">
        <f t="shared" si="86"/>
        <v>0.06</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22806</v>
      </c>
      <c r="C2" s="2" t="s">
        <v>133</v>
      </c>
      <c r="D2" s="241"/>
      <c r="E2" s="241"/>
      <c r="F2" s="241"/>
      <c r="G2" s="241"/>
    </row>
    <row r="3" spans="1:7" s="242" customFormat="1" ht="18" customHeight="1" thickBot="1">
      <c r="A3" s="245" t="s">
        <v>85</v>
      </c>
      <c r="B3" s="246">
        <f ca="1">ROUND(B2*10000/'数据-汇总表'!E3,0)</f>
        <v>3420</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39" t="s">
        <v>791</v>
      </c>
      <c r="B6" s="257" t="s">
        <v>91</v>
      </c>
      <c r="C6" s="258">
        <v>20000</v>
      </c>
      <c r="D6" s="259"/>
      <c r="E6" s="260"/>
      <c r="F6" s="260"/>
      <c r="G6" s="261"/>
    </row>
    <row r="7" spans="1:7" s="256" customFormat="1" ht="13.5" customHeight="1">
      <c r="A7" s="939" t="s">
        <v>792</v>
      </c>
      <c r="B7" s="257" t="s">
        <v>57</v>
      </c>
      <c r="C7" s="262">
        <f>ROUND(C6*F7,0)</f>
        <v>610</v>
      </c>
      <c r="D7" s="262"/>
      <c r="E7" s="260"/>
      <c r="F7" s="263">
        <f>'数据-取费表'!B48+'数据-取费表'!B49</f>
        <v>3.0499999999999999E-2</v>
      </c>
      <c r="G7" s="261"/>
    </row>
    <row r="8" spans="1:7" s="265" customFormat="1">
      <c r="A8" s="939" t="s">
        <v>793</v>
      </c>
      <c r="B8" s="257" t="s">
        <v>92</v>
      </c>
      <c r="C8" s="262" t="str">
        <f>IF(G8="已包含在土地购买价格中","0",'数据-取费表'!B29)</f>
        <v>0</v>
      </c>
      <c r="D8" s="264"/>
      <c r="E8" s="262"/>
      <c r="F8" s="263"/>
      <c r="G8" s="1" t="s">
        <v>1145</v>
      </c>
    </row>
    <row r="9" spans="1:7" s="256" customFormat="1" ht="13.5" customHeight="1">
      <c r="A9" s="940" t="s">
        <v>800</v>
      </c>
      <c r="B9" s="266" t="s">
        <v>93</v>
      </c>
      <c r="C9" s="267">
        <f>ROUND(D9*E9/10000,0)</f>
        <v>0</v>
      </c>
      <c r="D9" s="1022">
        <f>'数据-汇总表'!E5</f>
        <v>0</v>
      </c>
      <c r="E9" s="267">
        <f>'数据-取费表'!B27</f>
        <v>0</v>
      </c>
      <c r="F9" s="263"/>
      <c r="G9" s="268"/>
    </row>
    <row r="10" spans="1:7" s="256" customFormat="1" ht="13.5" customHeight="1">
      <c r="A10" s="940" t="s">
        <v>801</v>
      </c>
      <c r="B10" s="266" t="s">
        <v>94</v>
      </c>
      <c r="C10" s="267">
        <f>ROUND(D10*E10/10000,0)</f>
        <v>0</v>
      </c>
      <c r="D10" s="1022">
        <f>'数据-汇总表'!E6</f>
        <v>66687.25</v>
      </c>
      <c r="E10" s="267">
        <f>'数据-取费表'!B28</f>
        <v>0</v>
      </c>
      <c r="F10" s="263"/>
      <c r="G10" s="268"/>
    </row>
    <row r="11" spans="1:7" s="256" customFormat="1" ht="13.5" hidden="1" customHeight="1">
      <c r="A11" s="269" t="s">
        <v>7</v>
      </c>
      <c r="B11" s="257" t="s">
        <v>95</v>
      </c>
      <c r="C11" s="253"/>
      <c r="D11" s="1024"/>
      <c r="E11" s="260"/>
      <c r="F11" s="260"/>
      <c r="G11" s="261"/>
    </row>
    <row r="12" spans="1:7" s="256" customFormat="1" ht="13.5" hidden="1" customHeight="1">
      <c r="A12" s="269" t="s">
        <v>8</v>
      </c>
      <c r="B12" s="257" t="s">
        <v>96</v>
      </c>
      <c r="C12" s="253">
        <v>0</v>
      </c>
      <c r="D12" s="1024"/>
      <c r="E12" s="270"/>
      <c r="F12" s="263">
        <v>3.0499999999999999E-2</v>
      </c>
      <c r="G12" s="261"/>
    </row>
    <row r="13" spans="1:7" s="256" customFormat="1" ht="13.5" hidden="1" customHeight="1">
      <c r="A13" s="269" t="s">
        <v>9</v>
      </c>
      <c r="B13" s="257" t="s">
        <v>97</v>
      </c>
      <c r="C13" s="253"/>
      <c r="D13" s="1024"/>
      <c r="E13" s="260"/>
      <c r="F13" s="260"/>
      <c r="G13" s="261"/>
    </row>
    <row r="14" spans="1:7" s="256" customFormat="1" ht="13.5" hidden="1" customHeight="1">
      <c r="A14" s="269" t="s">
        <v>10</v>
      </c>
      <c r="B14" s="257" t="s">
        <v>92</v>
      </c>
      <c r="C14" s="253"/>
      <c r="D14" s="1024"/>
      <c r="E14" s="260"/>
      <c r="F14" s="260"/>
      <c r="G14" s="261" t="s">
        <v>98</v>
      </c>
    </row>
    <row r="15" spans="1:7" s="256" customFormat="1" ht="13.5" hidden="1" customHeight="1">
      <c r="A15" s="269" t="s">
        <v>11</v>
      </c>
      <c r="B15" s="257" t="s">
        <v>99</v>
      </c>
      <c r="C15" s="262"/>
      <c r="D15" s="1024"/>
      <c r="E15" s="260"/>
      <c r="F15" s="260"/>
      <c r="G15" s="261" t="s">
        <v>100</v>
      </c>
    </row>
    <row r="16" spans="1:7" s="256" customFormat="1" ht="13.5" hidden="1" customHeight="1">
      <c r="A16" s="269" t="s">
        <v>12</v>
      </c>
      <c r="B16" s="257" t="s">
        <v>92</v>
      </c>
      <c r="C16" s="262"/>
      <c r="D16" s="1024"/>
      <c r="E16" s="260"/>
      <c r="F16" s="260"/>
      <c r="G16" s="261"/>
    </row>
    <row r="17" spans="1:7" s="256" customFormat="1" ht="13.5" hidden="1" customHeight="1">
      <c r="A17" s="269" t="s">
        <v>13</v>
      </c>
      <c r="B17" s="257" t="s">
        <v>101</v>
      </c>
      <c r="C17" s="271"/>
      <c r="D17" s="1025"/>
      <c r="E17" s="271"/>
      <c r="F17" s="271"/>
      <c r="G17" s="261" t="s">
        <v>100</v>
      </c>
    </row>
    <row r="18" spans="1:7" s="256" customFormat="1" ht="13.5" hidden="1" customHeight="1">
      <c r="A18" s="269" t="s">
        <v>14</v>
      </c>
      <c r="B18" s="257" t="s">
        <v>102</v>
      </c>
      <c r="C18" s="262">
        <v>0</v>
      </c>
      <c r="D18" s="1024"/>
      <c r="E18" s="260"/>
      <c r="F18" s="263">
        <v>3.0499999999999999E-2</v>
      </c>
      <c r="G18" s="261" t="s">
        <v>103</v>
      </c>
    </row>
    <row r="19" spans="1:7" s="265" customFormat="1" ht="13.5" customHeight="1">
      <c r="A19" s="938" t="s">
        <v>1052</v>
      </c>
      <c r="B19" s="252" t="s">
        <v>111</v>
      </c>
      <c r="C19" s="253">
        <f>IF(G19="已包含在土地取得成本中","0",ROUND(D19*E19/10000,0))</f>
        <v>333</v>
      </c>
      <c r="D19" s="1026">
        <f>'数据-汇总表'!E3</f>
        <v>66687.25</v>
      </c>
      <c r="E19" s="253">
        <f>'数据-取费表'!B31</f>
        <v>50</v>
      </c>
      <c r="F19" s="273"/>
      <c r="G19" s="1" t="s">
        <v>1071</v>
      </c>
    </row>
    <row r="20" spans="1:7" s="256" customFormat="1" ht="13.5" customHeight="1">
      <c r="A20" s="938" t="s">
        <v>1054</v>
      </c>
      <c r="B20" s="252" t="s">
        <v>104</v>
      </c>
      <c r="C20" s="274">
        <f>ROUND((C5+C19)*F20,0)</f>
        <v>419</v>
      </c>
      <c r="D20" s="274"/>
      <c r="E20" s="274"/>
      <c r="F20" s="275">
        <f>'数据-取费表'!B37</f>
        <v>0.02</v>
      </c>
      <c r="G20" s="1278" t="s">
        <v>1065</v>
      </c>
    </row>
    <row r="21" spans="1:7" s="256" customFormat="1" ht="13.5" customHeight="1">
      <c r="A21" s="938" t="s">
        <v>1056</v>
      </c>
      <c r="B21" s="252" t="s">
        <v>105</v>
      </c>
      <c r="C21" s="277">
        <f>F21</f>
        <v>0.01</v>
      </c>
      <c r="D21" s="278" t="s">
        <v>126</v>
      </c>
      <c r="E21" s="274"/>
      <c r="F21" s="275">
        <f>'数据-取费表'!B38</f>
        <v>0.01</v>
      </c>
      <c r="G21" s="276" t="s">
        <v>106</v>
      </c>
    </row>
    <row r="22" spans="1:7" s="256" customFormat="1" ht="13.5" customHeight="1">
      <c r="A22" s="938" t="s">
        <v>786</v>
      </c>
      <c r="B22" s="252" t="s">
        <v>107</v>
      </c>
      <c r="C22" s="1343">
        <f ca="1">ROUND(SUM(C23:C25),0)</f>
        <v>0</v>
      </c>
      <c r="D22" s="277">
        <f ca="1">C26</f>
        <v>0</v>
      </c>
      <c r="E22" s="278" t="s">
        <v>126</v>
      </c>
      <c r="F22" s="279">
        <f ca="1">'数据-取费表'!B40</f>
        <v>4.7500000000000001E-2</v>
      </c>
      <c r="G22" s="1278" t="str">
        <f>IF('数据-取费表'!B22&lt;=1,"单利计息","复利计息")</f>
        <v>复利计息</v>
      </c>
    </row>
    <row r="23" spans="1:7" s="256" customFormat="1" ht="13.5" customHeight="1">
      <c r="A23" s="941" t="s">
        <v>794</v>
      </c>
      <c r="B23" s="257" t="s">
        <v>1058</v>
      </c>
      <c r="C23" s="1344">
        <f ca="1">ROUND(IF('数据-取费表'!B22&lt;=1,C5*F22*'数据-取费表'!B23,C5*(POWER((1+F22),'数据-取费表'!B23)-1)),0)</f>
        <v>0</v>
      </c>
      <c r="D23" s="280"/>
      <c r="E23" s="280"/>
      <c r="F23" s="281"/>
      <c r="G23" s="282" t="s">
        <v>108</v>
      </c>
    </row>
    <row r="24" spans="1:7" s="256" customFormat="1" ht="13.5" customHeight="1">
      <c r="A24" s="941" t="s">
        <v>792</v>
      </c>
      <c r="B24" s="257" t="s">
        <v>1053</v>
      </c>
      <c r="C24" s="1344">
        <f ca="1">ROUND(IF('数据-取费表'!B22&lt;=1,C19*F22*('数据-取费表'!B19/2+'数据-取费表'!B21),C19*(POWER((1+F22),('数据-取费表'!B19/2+'数据-取费表'!B21))-1)),0)</f>
        <v>0</v>
      </c>
      <c r="D24" s="280"/>
      <c r="E24" s="280"/>
      <c r="F24" s="281"/>
      <c r="G24" s="282" t="s">
        <v>109</v>
      </c>
    </row>
    <row r="25" spans="1:7" s="256" customFormat="1" ht="24">
      <c r="A25" s="941" t="s">
        <v>793</v>
      </c>
      <c r="B25" s="257" t="s">
        <v>1055</v>
      </c>
      <c r="C25" s="1344">
        <f ca="1">ROUND(IF('数据-取费表'!B22&lt;=1,C20*F22*'数据-取费表'!B23/2,C20*(POWER((1+F22),'数据-取费表'!B23/2)-1)),0)</f>
        <v>0</v>
      </c>
      <c r="D25" s="280"/>
      <c r="E25" s="283"/>
      <c r="F25" s="281"/>
      <c r="G25" s="284" t="s">
        <v>110</v>
      </c>
    </row>
    <row r="26" spans="1:7" s="256" customFormat="1">
      <c r="A26" s="941" t="s">
        <v>795</v>
      </c>
      <c r="B26" s="257" t="s">
        <v>1057</v>
      </c>
      <c r="C26" s="280">
        <f ca="1">ROUND(IF('数据-取费表'!B22&lt;=1,F21*F22*'数据-取费表'!B23/2,F21*(POWER((1+F22),'数据-取费表'!B23/2)-1)),4)</f>
        <v>0</v>
      </c>
      <c r="D26" s="280"/>
      <c r="E26" s="283"/>
      <c r="F26" s="281"/>
      <c r="G26" s="285"/>
    </row>
    <row r="27" spans="1:7" s="256" customFormat="1" ht="24.75">
      <c r="A27" s="938" t="s">
        <v>787</v>
      </c>
      <c r="B27" s="286" t="s">
        <v>112</v>
      </c>
      <c r="C27" s="287">
        <f>C28</f>
        <v>0</v>
      </c>
      <c r="D27" s="277">
        <f>C29</f>
        <v>0</v>
      </c>
      <c r="E27" s="278" t="s">
        <v>126</v>
      </c>
      <c r="F27" s="288">
        <f>'数据-取费表'!Q16</f>
        <v>0.2</v>
      </c>
      <c r="G27" s="289" t="s">
        <v>1066</v>
      </c>
    </row>
    <row r="28" spans="1:7" s="256" customFormat="1" ht="13.5" customHeight="1">
      <c r="A28" s="941" t="s">
        <v>794</v>
      </c>
      <c r="B28" s="290" t="s">
        <v>1059</v>
      </c>
      <c r="C28" s="291">
        <f>ROUND((C5+C19+C20)*F27*'数据-取费表'!B21/'数据-取费表'!B20,0)</f>
        <v>0</v>
      </c>
      <c r="D28" s="277"/>
      <c r="E28" s="278"/>
      <c r="F28" s="288"/>
      <c r="G28" s="289"/>
    </row>
    <row r="29" spans="1:7" s="256" customFormat="1" ht="13.5" customHeight="1">
      <c r="A29" s="941" t="s">
        <v>792</v>
      </c>
      <c r="B29" s="290" t="s">
        <v>1060</v>
      </c>
      <c r="C29" s="280">
        <f>ROUND(C21*F27*'数据-取费表'!B21/'数据-取费表'!B20,4)</f>
        <v>0</v>
      </c>
      <c r="D29" s="277"/>
      <c r="E29" s="278"/>
      <c r="F29" s="288"/>
      <c r="G29" s="289"/>
    </row>
    <row r="30" spans="1:7" s="256" customFormat="1" ht="13.5" customHeight="1">
      <c r="A30" s="938"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22806</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0</v>
      </c>
      <c r="D33" s="274"/>
      <c r="E33" s="254"/>
      <c r="F33" s="283"/>
      <c r="G33" s="276"/>
    </row>
    <row r="34" spans="1:7" s="300" customFormat="1" ht="13.5" customHeight="1">
      <c r="A34" s="941"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v>
      </c>
      <c r="G34" s="261" t="s">
        <v>116</v>
      </c>
    </row>
    <row r="35" spans="1:7" ht="13.5" customHeight="1">
      <c r="A35" s="941" t="s">
        <v>796</v>
      </c>
      <c r="B35" s="257" t="s">
        <v>60</v>
      </c>
      <c r="C35" s="262">
        <f>ROUND(C34*F35,0)</f>
        <v>0</v>
      </c>
      <c r="D35" s="262"/>
      <c r="E35" s="262"/>
      <c r="F35" s="301">
        <f>'数据-取费表'!B33</f>
        <v>0.03</v>
      </c>
      <c r="G35" s="261" t="s">
        <v>117</v>
      </c>
    </row>
    <row r="36" spans="1:7" ht="24">
      <c r="A36" s="94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1" t="s">
        <v>798</v>
      </c>
      <c r="B37" s="257" t="s">
        <v>118</v>
      </c>
      <c r="C37" s="291">
        <f>ROUND(E37*D37*F34/10000,0)</f>
        <v>0</v>
      </c>
      <c r="D37" s="259">
        <f>'数据-汇总表'!E3</f>
        <v>66687.25</v>
      </c>
      <c r="E37" s="291">
        <f>'数据-取费表'!B35</f>
        <v>200</v>
      </c>
      <c r="F37" s="301"/>
      <c r="G37" s="303" t="s">
        <v>119</v>
      </c>
    </row>
    <row r="38" spans="1:7" ht="13.5" customHeight="1">
      <c r="A38" s="941" t="s">
        <v>799</v>
      </c>
      <c r="B38" s="257" t="s">
        <v>63</v>
      </c>
      <c r="C38" s="262">
        <f>ROUND(C34*F38,0)</f>
        <v>0</v>
      </c>
      <c r="D38" s="262"/>
      <c r="E38" s="262"/>
      <c r="F38" s="301">
        <f>'数据-取费表'!B36</f>
        <v>1.4999999999999999E-2</v>
      </c>
      <c r="G38" s="261" t="s">
        <v>117</v>
      </c>
    </row>
    <row r="39" spans="1:7" s="256" customFormat="1" ht="13.5" customHeight="1">
      <c r="A39" s="938" t="s">
        <v>783</v>
      </c>
      <c r="B39" s="252" t="s">
        <v>104</v>
      </c>
      <c r="C39" s="274">
        <f>ROUND(C33*F20,0)</f>
        <v>0</v>
      </c>
      <c r="D39" s="274"/>
      <c r="E39" s="274"/>
      <c r="F39" s="275"/>
      <c r="G39" s="1278" t="s">
        <v>1068</v>
      </c>
    </row>
    <row r="40" spans="1:7" s="256" customFormat="1" ht="13.5" customHeight="1">
      <c r="A40" s="938" t="s">
        <v>784</v>
      </c>
      <c r="B40" s="252" t="s">
        <v>105</v>
      </c>
      <c r="C40" s="304">
        <f>F21</f>
        <v>0.01</v>
      </c>
      <c r="D40" s="278" t="s">
        <v>129</v>
      </c>
      <c r="E40" s="274"/>
      <c r="F40" s="275"/>
      <c r="G40" s="276" t="s">
        <v>120</v>
      </c>
    </row>
    <row r="41" spans="1:7" s="256" customFormat="1" ht="13.5" customHeight="1">
      <c r="A41" s="938" t="s">
        <v>785</v>
      </c>
      <c r="B41" s="252" t="s">
        <v>107</v>
      </c>
      <c r="C41" s="274">
        <f ca="1">ROUND(SUM(C42:C43),0)</f>
        <v>0</v>
      </c>
      <c r="D41" s="277">
        <f ca="1">C44</f>
        <v>0</v>
      </c>
      <c r="E41" s="278" t="s">
        <v>129</v>
      </c>
      <c r="F41" s="279"/>
      <c r="G41" s="1278" t="str">
        <f>IF('数据-取费表'!B22&lt;=1,"单利计息","复利计息")</f>
        <v>复利计息</v>
      </c>
    </row>
    <row r="42" spans="1:7" ht="13.5" customHeight="1">
      <c r="A42" s="941" t="s">
        <v>794</v>
      </c>
      <c r="B42" s="257" t="s">
        <v>1058</v>
      </c>
      <c r="C42" s="280">
        <f ca="1">ROUND(IF('数据-取费表'!B22&lt;=1,C33*F22*'数据-取费表'!B21/2,C33*(POWER((1+F22),'数据-取费表'!B21/2)-1)),0)</f>
        <v>0</v>
      </c>
      <c r="D42" s="280"/>
      <c r="E42" s="280"/>
      <c r="F42" s="281"/>
      <c r="G42" s="3283" t="s">
        <v>121</v>
      </c>
    </row>
    <row r="43" spans="1:7" ht="13.5" customHeight="1">
      <c r="A43" s="941" t="s">
        <v>792</v>
      </c>
      <c r="B43" s="257" t="s">
        <v>1061</v>
      </c>
      <c r="C43" s="280">
        <f ca="1">ROUND(IF('数据-取费表'!B22&lt;=1,C39*F22*'数据-取费表'!B21/2,C39*(POWER((1+F22),'数据-取费表'!B21/2)-1)),0)</f>
        <v>0</v>
      </c>
      <c r="D43" s="280"/>
      <c r="E43" s="280"/>
      <c r="F43" s="281"/>
      <c r="G43" s="3284"/>
    </row>
    <row r="44" spans="1:7" ht="13.5" customHeight="1">
      <c r="A44" s="941" t="s">
        <v>793</v>
      </c>
      <c r="B44" s="257" t="s">
        <v>1063</v>
      </c>
      <c r="C44" s="280">
        <f ca="1">ROUND(IF('数据-取费表'!B22&lt;=1,C40*F22*'数据-取费表'!B21/2,C40*(POWER((1+F22),'数据-取费表'!B21/2)-1)),4)</f>
        <v>0</v>
      </c>
      <c r="D44" s="280"/>
      <c r="E44" s="280"/>
      <c r="F44" s="281"/>
      <c r="G44" s="3285"/>
    </row>
    <row r="45" spans="1:7" s="256" customFormat="1" ht="13.5" customHeight="1">
      <c r="A45" s="938" t="s">
        <v>786</v>
      </c>
      <c r="B45" s="286" t="s">
        <v>112</v>
      </c>
      <c r="C45" s="287">
        <f>C46</f>
        <v>0</v>
      </c>
      <c r="D45" s="277">
        <f>C47</f>
        <v>2E-3</v>
      </c>
      <c r="E45" s="278" t="s">
        <v>129</v>
      </c>
      <c r="F45" s="288"/>
      <c r="G45" s="289" t="s">
        <v>1069</v>
      </c>
    </row>
    <row r="46" spans="1:7" s="256" customFormat="1" ht="13.5" customHeight="1">
      <c r="A46" s="941" t="s">
        <v>794</v>
      </c>
      <c r="B46" s="290" t="s">
        <v>1062</v>
      </c>
      <c r="C46" s="291">
        <f>ROUND((C33+C39)*F27,0)</f>
        <v>0</v>
      </c>
      <c r="D46" s="305"/>
      <c r="E46" s="278"/>
      <c r="F46" s="288"/>
      <c r="G46" s="289"/>
    </row>
    <row r="47" spans="1:7" s="256" customFormat="1" ht="13.5" customHeight="1">
      <c r="A47" s="941" t="s">
        <v>792</v>
      </c>
      <c r="B47" s="290" t="s">
        <v>1064</v>
      </c>
      <c r="C47" s="280">
        <f>ROUND(C40*F27,4)</f>
        <v>2E-3</v>
      </c>
      <c r="D47" s="305"/>
      <c r="E47" s="278"/>
      <c r="F47" s="288"/>
      <c r="G47" s="289"/>
    </row>
    <row r="48" spans="1:7" s="256" customFormat="1" ht="13.5" customHeight="1">
      <c r="A48" s="938" t="s">
        <v>787</v>
      </c>
      <c r="B48" s="252" t="s">
        <v>122</v>
      </c>
      <c r="C48" s="304">
        <f>F30</f>
        <v>5.6000000000000001E-2</v>
      </c>
      <c r="D48" s="278" t="s">
        <v>130</v>
      </c>
      <c r="E48" s="274"/>
      <c r="F48" s="279"/>
      <c r="G48" s="276" t="s">
        <v>123</v>
      </c>
    </row>
    <row r="49" spans="1:7" ht="16.5" customHeight="1">
      <c r="A49" s="938" t="s">
        <v>788</v>
      </c>
      <c r="B49" s="252" t="s">
        <v>131</v>
      </c>
      <c r="C49" s="274">
        <f ca="1">ROUND((C33+C39+C41+C45)/(1-C40-D41-D45-C48/(1+'数据-取费表'!B42)),0)</f>
        <v>0</v>
      </c>
      <c r="D49" s="274"/>
      <c r="E49" s="274"/>
      <c r="F49" s="306"/>
      <c r="G49" s="276" t="s">
        <v>1070</v>
      </c>
    </row>
    <row r="50" spans="1:7" s="300" customFormat="1" ht="24">
      <c r="A50" s="938" t="s">
        <v>789</v>
      </c>
      <c r="B50" s="252" t="s">
        <v>124</v>
      </c>
      <c r="C50" s="274"/>
      <c r="D50" s="274"/>
      <c r="E50" s="274"/>
      <c r="F50" s="306">
        <f>IF('数据-取费表'!B24=0,'数据-取费表'!N16,1)</f>
        <v>1</v>
      </c>
      <c r="G50" s="289" t="s">
        <v>125</v>
      </c>
    </row>
    <row r="51" spans="1:7" ht="16.5" customHeight="1">
      <c r="A51" s="938" t="s">
        <v>790</v>
      </c>
      <c r="B51" s="252" t="s">
        <v>132</v>
      </c>
      <c r="C51" s="274">
        <f ca="1">ROUND(C49*F50,0)</f>
        <v>0</v>
      </c>
      <c r="D51" s="274"/>
      <c r="E51" s="274"/>
      <c r="F51" s="306"/>
      <c r="G51" s="276" t="s">
        <v>64</v>
      </c>
    </row>
    <row r="52" spans="1:7" s="250" customFormat="1" ht="16.5" thickBot="1">
      <c r="A52" s="307" t="s">
        <v>65</v>
      </c>
      <c r="B52" s="308"/>
      <c r="C52" s="309">
        <f ca="1">C31+C51</f>
        <v>22806</v>
      </c>
      <c r="D52" s="308"/>
      <c r="E52" s="308"/>
      <c r="F52" s="308"/>
      <c r="G52" s="310"/>
    </row>
    <row r="55" spans="1:7" ht="15">
      <c r="B55" s="312" t="s">
        <v>66</v>
      </c>
      <c r="C55" s="313"/>
    </row>
    <row r="56" spans="1:7">
      <c r="B56" s="315" t="s">
        <v>67</v>
      </c>
      <c r="C56" s="316">
        <f ca="1">ROUND(C51/C52,3)</f>
        <v>0</v>
      </c>
    </row>
    <row r="57" spans="1:7">
      <c r="B57" s="315" t="s">
        <v>68</v>
      </c>
      <c r="C57" s="31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381" t="s">
        <v>156</v>
      </c>
      <c r="B1" s="3381"/>
      <c r="C1" s="3381"/>
      <c r="D1" s="3381"/>
      <c r="E1" s="3381"/>
      <c r="F1" s="3381"/>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82" t="s">
        <v>169</v>
      </c>
      <c r="B2" s="3382"/>
      <c r="C2" s="3382"/>
      <c r="D2" s="3382"/>
      <c r="E2" s="3382"/>
      <c r="F2" s="3382"/>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83"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84"/>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81" t="s">
        <v>868</v>
      </c>
      <c r="B1" s="3381"/>
    </row>
    <row r="2" spans="1:6" ht="14.25" thickBot="1">
      <c r="A2" s="1046"/>
      <c r="B2" s="1046"/>
    </row>
    <row r="3" spans="1:6" ht="14.25" thickBot="1">
      <c r="A3" s="1046"/>
      <c r="B3" s="1046"/>
      <c r="C3" s="1050" t="s">
        <v>871</v>
      </c>
      <c r="D3" s="1050" t="s">
        <v>872</v>
      </c>
      <c r="E3" s="1050" t="s">
        <v>873</v>
      </c>
      <c r="F3" s="1050" t="s">
        <v>874</v>
      </c>
    </row>
    <row r="4" spans="1:6" ht="14.25" thickBot="1">
      <c r="A4" s="1048" t="s">
        <v>869</v>
      </c>
      <c r="B4" s="1049" t="s">
        <v>870</v>
      </c>
      <c r="C4" s="1050"/>
      <c r="D4" s="1050"/>
      <c r="E4" s="1050"/>
      <c r="F4" s="1050"/>
    </row>
    <row r="5" spans="1:6" ht="14.25" thickBot="1">
      <c r="A5" s="830" t="s">
        <v>875</v>
      </c>
      <c r="B5" s="831" t="s">
        <v>876</v>
      </c>
      <c r="C5" s="1051">
        <v>8.8999999999999996E-2</v>
      </c>
      <c r="D5" s="1051">
        <v>7.3999999999999996E-2</v>
      </c>
      <c r="E5" s="1051">
        <v>7.4999999999999997E-2</v>
      </c>
      <c r="F5" s="1052">
        <v>0.1</v>
      </c>
    </row>
    <row r="6" spans="1:6" ht="14.25" thickBot="1">
      <c r="A6" s="830" t="s">
        <v>212</v>
      </c>
      <c r="B6" s="824" t="s">
        <v>877</v>
      </c>
      <c r="C6" s="1053">
        <v>0.1</v>
      </c>
      <c r="D6" s="1053">
        <v>9.0999999999999998E-2</v>
      </c>
      <c r="E6" s="1053">
        <v>9.0999999999999998E-2</v>
      </c>
      <c r="F6" s="1054">
        <v>0.1</v>
      </c>
    </row>
    <row r="7" spans="1:6" ht="14.25" thickBot="1">
      <c r="A7" s="830" t="s">
        <v>212</v>
      </c>
      <c r="B7" s="834" t="s">
        <v>201</v>
      </c>
      <c r="C7" s="1053">
        <v>8.5999999999999993E-2</v>
      </c>
      <c r="D7" s="1053">
        <v>9.6000000000000002E-2</v>
      </c>
      <c r="E7" s="1053">
        <v>7.5999999999999998E-2</v>
      </c>
      <c r="F7" s="1054">
        <v>0.1</v>
      </c>
    </row>
    <row r="8" spans="1:6" ht="14.25" thickBot="1">
      <c r="A8" s="830" t="s">
        <v>212</v>
      </c>
      <c r="B8" s="824" t="s">
        <v>213</v>
      </c>
      <c r="C8" s="1053">
        <v>9.9000000000000005E-2</v>
      </c>
      <c r="D8" s="1053">
        <v>9.8000000000000004E-2</v>
      </c>
      <c r="E8" s="1053">
        <v>9.8000000000000004E-2</v>
      </c>
      <c r="F8" s="1054">
        <v>0.1</v>
      </c>
    </row>
    <row r="9" spans="1:6" ht="14.25" thickBot="1">
      <c r="A9" s="840" t="s">
        <v>212</v>
      </c>
      <c r="B9" s="835" t="s">
        <v>225</v>
      </c>
      <c r="C9" s="1055">
        <v>0.05</v>
      </c>
      <c r="D9" s="1063"/>
      <c r="E9" s="1063"/>
      <c r="F9" s="1064"/>
    </row>
    <row r="10" spans="1:6" ht="14.25" thickBot="1">
      <c r="A10" s="830" t="s">
        <v>269</v>
      </c>
      <c r="B10" s="831" t="s">
        <v>878</v>
      </c>
      <c r="C10" s="1051">
        <v>8.8999999999999996E-2</v>
      </c>
      <c r="D10" s="1051">
        <v>7.2999999999999995E-2</v>
      </c>
      <c r="E10" s="1051">
        <v>8.2000000000000003E-2</v>
      </c>
      <c r="F10" s="1052">
        <v>0.1</v>
      </c>
    </row>
    <row r="11" spans="1:6" ht="14.25" thickBot="1">
      <c r="A11" s="830" t="s">
        <v>269</v>
      </c>
      <c r="B11" s="834" t="s">
        <v>188</v>
      </c>
      <c r="C11" s="1053">
        <v>8.8999999999999996E-2</v>
      </c>
      <c r="D11" s="1053">
        <v>7.2999999999999995E-2</v>
      </c>
      <c r="E11" s="1053">
        <v>8.2000000000000003E-2</v>
      </c>
      <c r="F11" s="1054">
        <v>0.1</v>
      </c>
    </row>
    <row r="12" spans="1:6" ht="14.25" thickBot="1">
      <c r="A12" s="830" t="s">
        <v>269</v>
      </c>
      <c r="B12" s="834" t="s">
        <v>138</v>
      </c>
      <c r="C12" s="1053">
        <v>6.0999999999999999E-2</v>
      </c>
      <c r="D12" s="1053">
        <v>7.0999999999999994E-2</v>
      </c>
      <c r="E12" s="1053">
        <v>9.6000000000000002E-2</v>
      </c>
      <c r="F12" s="1054">
        <v>0.1</v>
      </c>
    </row>
    <row r="13" spans="1:6" ht="14.25" thickBot="1">
      <c r="A13" s="830" t="s">
        <v>269</v>
      </c>
      <c r="B13" s="834" t="s">
        <v>214</v>
      </c>
      <c r="C13" s="1053">
        <v>6.9000000000000006E-2</v>
      </c>
      <c r="D13" s="1053">
        <v>6.5000000000000002E-2</v>
      </c>
      <c r="E13" s="1053">
        <v>6.6000000000000003E-2</v>
      </c>
      <c r="F13" s="1054">
        <v>0.1</v>
      </c>
    </row>
    <row r="14" spans="1:6" ht="14.25" thickBot="1">
      <c r="A14" s="830" t="s">
        <v>269</v>
      </c>
      <c r="B14" s="834" t="s">
        <v>226</v>
      </c>
      <c r="C14" s="1053">
        <v>0.1</v>
      </c>
      <c r="D14" s="1053">
        <v>6.5000000000000002E-2</v>
      </c>
      <c r="E14" s="1053">
        <v>7.0000000000000007E-2</v>
      </c>
      <c r="F14" s="1054">
        <v>0.1</v>
      </c>
    </row>
    <row r="15" spans="1:6" ht="14.25" thickBot="1">
      <c r="A15" s="830" t="s">
        <v>269</v>
      </c>
      <c r="B15" s="834" t="s">
        <v>237</v>
      </c>
      <c r="C15" s="1053">
        <v>9.8000000000000004E-2</v>
      </c>
      <c r="D15" s="1053">
        <v>8.8999999999999996E-2</v>
      </c>
      <c r="E15" s="1053">
        <v>8.8999999999999996E-2</v>
      </c>
      <c r="F15" s="1054">
        <v>0.1</v>
      </c>
    </row>
    <row r="16" spans="1:6" ht="14.25" thickBot="1">
      <c r="A16" s="830" t="s">
        <v>269</v>
      </c>
      <c r="B16" s="834" t="s">
        <v>248</v>
      </c>
      <c r="C16" s="1053">
        <v>7.0000000000000007E-2</v>
      </c>
      <c r="D16" s="1053">
        <v>9.2999999999999999E-2</v>
      </c>
      <c r="E16" s="1053">
        <v>9.6000000000000002E-2</v>
      </c>
      <c r="F16" s="1054">
        <v>0.1</v>
      </c>
    </row>
    <row r="17" spans="1:6" ht="14.25" thickBot="1">
      <c r="A17" s="830" t="s">
        <v>269</v>
      </c>
      <c r="B17" s="834" t="s">
        <v>259</v>
      </c>
      <c r="C17" s="1053">
        <v>9.5000000000000001E-2</v>
      </c>
      <c r="D17" s="1053">
        <v>0.1</v>
      </c>
      <c r="E17" s="1053">
        <v>0.1</v>
      </c>
      <c r="F17" s="1065"/>
    </row>
    <row r="18" spans="1:6" ht="14.25" thickBot="1">
      <c r="A18" s="830" t="s">
        <v>269</v>
      </c>
      <c r="B18" s="834" t="s">
        <v>271</v>
      </c>
      <c r="C18" s="1053">
        <v>7.3999999999999996E-2</v>
      </c>
      <c r="D18" s="1053">
        <v>9.9000000000000005E-2</v>
      </c>
      <c r="E18" s="1053">
        <v>0.1</v>
      </c>
      <c r="F18" s="1065"/>
    </row>
    <row r="19" spans="1:6" ht="14.25" thickBot="1">
      <c r="A19" s="830" t="s">
        <v>269</v>
      </c>
      <c r="B19" s="834" t="s">
        <v>281</v>
      </c>
      <c r="C19" s="1053">
        <v>9.9000000000000005E-2</v>
      </c>
      <c r="D19" s="1053">
        <v>7.5999999999999998E-2</v>
      </c>
      <c r="E19" s="1053">
        <v>8.6999999999999994E-2</v>
      </c>
      <c r="F19" s="1065"/>
    </row>
    <row r="20" spans="1:6" ht="14.25" thickBot="1">
      <c r="A20" s="830" t="s">
        <v>269</v>
      </c>
      <c r="B20" s="834" t="s">
        <v>291</v>
      </c>
      <c r="C20" s="1053">
        <v>9.8000000000000004E-2</v>
      </c>
      <c r="D20" s="1053">
        <v>8.5000000000000006E-2</v>
      </c>
      <c r="E20" s="1053">
        <v>8.2000000000000003E-2</v>
      </c>
      <c r="F20" s="1065"/>
    </row>
    <row r="21" spans="1:6" ht="14.25" thickBot="1">
      <c r="A21" s="830" t="s">
        <v>269</v>
      </c>
      <c r="B21" s="834" t="s">
        <v>301</v>
      </c>
      <c r="C21" s="1053">
        <v>6.6000000000000003E-2</v>
      </c>
      <c r="D21" s="1053">
        <v>6.4000000000000001E-2</v>
      </c>
      <c r="E21" s="1053">
        <v>6.5000000000000002E-2</v>
      </c>
      <c r="F21" s="1065"/>
    </row>
    <row r="22" spans="1:6" ht="14.25" thickBot="1">
      <c r="A22" s="830" t="s">
        <v>269</v>
      </c>
      <c r="B22" s="834" t="s">
        <v>879</v>
      </c>
      <c r="C22" s="1053">
        <v>0.08</v>
      </c>
      <c r="D22" s="1053">
        <v>9.8000000000000004E-2</v>
      </c>
      <c r="E22" s="1053">
        <v>9.8000000000000004E-2</v>
      </c>
      <c r="F22" s="1065"/>
    </row>
    <row r="23" spans="1:6" ht="14.25" thickBot="1">
      <c r="A23" s="830" t="s">
        <v>269</v>
      </c>
      <c r="B23" s="834" t="s">
        <v>322</v>
      </c>
      <c r="C23" s="1053">
        <v>9.9000000000000005E-2</v>
      </c>
      <c r="D23" s="1053">
        <v>9.8000000000000004E-2</v>
      </c>
      <c r="E23" s="1053">
        <v>9.0999999999999998E-2</v>
      </c>
      <c r="F23" s="1065"/>
    </row>
    <row r="24" spans="1:6" ht="14.25" thickBot="1">
      <c r="A24" s="830" t="s">
        <v>269</v>
      </c>
      <c r="B24" s="834" t="s">
        <v>333</v>
      </c>
      <c r="C24" s="1053">
        <v>8.8999999999999996E-2</v>
      </c>
      <c r="D24" s="1053">
        <v>9.7000000000000003E-2</v>
      </c>
      <c r="E24" s="1053">
        <v>7.0000000000000007E-2</v>
      </c>
      <c r="F24" s="1065"/>
    </row>
    <row r="25" spans="1:6" ht="14.25" thickBot="1">
      <c r="A25" s="830" t="s">
        <v>269</v>
      </c>
      <c r="B25" s="834" t="s">
        <v>343</v>
      </c>
      <c r="C25" s="1053">
        <v>8.8999999999999996E-2</v>
      </c>
      <c r="D25" s="1053">
        <v>0.1</v>
      </c>
      <c r="E25" s="1053">
        <v>8.1000000000000003E-2</v>
      </c>
      <c r="F25" s="1065"/>
    </row>
    <row r="26" spans="1:6" ht="14.25" thickBot="1">
      <c r="A26" s="830" t="s">
        <v>269</v>
      </c>
      <c r="B26" s="834" t="s">
        <v>353</v>
      </c>
      <c r="C26" s="1066"/>
      <c r="D26" s="1053">
        <v>9.6000000000000002E-2</v>
      </c>
      <c r="E26" s="1053">
        <v>9.2999999999999999E-2</v>
      </c>
      <c r="F26" s="1065"/>
    </row>
    <row r="27" spans="1:6" ht="14.25" thickBot="1">
      <c r="A27" s="830" t="s">
        <v>269</v>
      </c>
      <c r="B27" s="834" t="s">
        <v>363</v>
      </c>
      <c r="C27" s="1066"/>
      <c r="D27" s="1053">
        <v>7.5999999999999998E-2</v>
      </c>
      <c r="E27" s="1053">
        <v>9.1999999999999998E-2</v>
      </c>
      <c r="F27" s="1065"/>
    </row>
    <row r="28" spans="1:6" ht="14.25" thickBot="1">
      <c r="A28" s="840" t="s">
        <v>269</v>
      </c>
      <c r="B28" s="835" t="s">
        <v>373</v>
      </c>
      <c r="C28" s="1063"/>
      <c r="D28" s="1055">
        <v>7.5999999999999998E-2</v>
      </c>
      <c r="E28" s="1055">
        <v>9.1999999999999998E-2</v>
      </c>
      <c r="F28" s="1064"/>
    </row>
    <row r="29" spans="1:6" ht="14.25" thickBot="1">
      <c r="A29" s="830" t="s">
        <v>442</v>
      </c>
      <c r="B29" s="831" t="s">
        <v>880</v>
      </c>
      <c r="C29" s="1051">
        <v>6.4000000000000001E-2</v>
      </c>
      <c r="D29" s="1051">
        <v>6.5000000000000002E-2</v>
      </c>
      <c r="E29" s="1051">
        <v>6.9000000000000006E-2</v>
      </c>
      <c r="F29" s="1052">
        <v>0.1</v>
      </c>
    </row>
    <row r="30" spans="1:6" ht="14.25" thickBot="1">
      <c r="A30" s="830" t="s">
        <v>442</v>
      </c>
      <c r="B30" s="834" t="s">
        <v>189</v>
      </c>
      <c r="C30" s="1053">
        <v>6.4000000000000001E-2</v>
      </c>
      <c r="D30" s="1053">
        <v>9.9000000000000005E-2</v>
      </c>
      <c r="E30" s="1053">
        <v>0.1</v>
      </c>
      <c r="F30" s="1054">
        <v>0.1</v>
      </c>
    </row>
    <row r="31" spans="1:6" ht="14.25" thickBot="1">
      <c r="A31" s="830" t="s">
        <v>442</v>
      </c>
      <c r="B31" s="834" t="s">
        <v>202</v>
      </c>
      <c r="C31" s="1053">
        <v>0.1</v>
      </c>
      <c r="D31" s="1053">
        <v>9.5000000000000001E-2</v>
      </c>
      <c r="E31" s="1053">
        <v>8.8999999999999996E-2</v>
      </c>
      <c r="F31" s="1054">
        <v>0.1</v>
      </c>
    </row>
    <row r="32" spans="1:6" ht="14.25" thickBot="1">
      <c r="A32" s="830" t="s">
        <v>442</v>
      </c>
      <c r="B32" s="834" t="s">
        <v>215</v>
      </c>
      <c r="C32" s="1053">
        <v>0.05</v>
      </c>
      <c r="D32" s="1053">
        <v>0.05</v>
      </c>
      <c r="E32" s="1053">
        <v>8.7999999999999995E-2</v>
      </c>
      <c r="F32" s="1054">
        <v>0.1</v>
      </c>
    </row>
    <row r="33" spans="1:6" ht="14.25" thickBot="1">
      <c r="A33" s="830" t="s">
        <v>442</v>
      </c>
      <c r="B33" s="834" t="s">
        <v>227</v>
      </c>
      <c r="C33" s="1053">
        <v>7.4999999999999997E-2</v>
      </c>
      <c r="D33" s="1053">
        <v>9.4E-2</v>
      </c>
      <c r="E33" s="1053">
        <v>9.7000000000000003E-2</v>
      </c>
      <c r="F33" s="1054">
        <v>0.1</v>
      </c>
    </row>
    <row r="34" spans="1:6" ht="14.25" thickBot="1">
      <c r="A34" s="830" t="s">
        <v>442</v>
      </c>
      <c r="B34" s="834" t="s">
        <v>238</v>
      </c>
      <c r="C34" s="1053">
        <v>9.8000000000000004E-2</v>
      </c>
      <c r="D34" s="1053">
        <v>8.5999999999999993E-2</v>
      </c>
      <c r="E34" s="1053">
        <v>9.7000000000000003E-2</v>
      </c>
      <c r="F34" s="1054">
        <v>0.1</v>
      </c>
    </row>
    <row r="35" spans="1:6" ht="14.25" thickBot="1">
      <c r="A35" s="830" t="s">
        <v>442</v>
      </c>
      <c r="B35" s="834" t="s">
        <v>249</v>
      </c>
      <c r="C35" s="1053">
        <v>5.8999999999999997E-2</v>
      </c>
      <c r="D35" s="1053">
        <v>6.5000000000000002E-2</v>
      </c>
      <c r="E35" s="1053">
        <v>7.0000000000000007E-2</v>
      </c>
      <c r="F35" s="1054">
        <v>0.1</v>
      </c>
    </row>
    <row r="36" spans="1:6" ht="14.25" thickBot="1">
      <c r="A36" s="830" t="s">
        <v>442</v>
      </c>
      <c r="B36" s="834" t="s">
        <v>260</v>
      </c>
      <c r="C36" s="1053">
        <v>6.3E-2</v>
      </c>
      <c r="D36" s="1053">
        <v>0.1</v>
      </c>
      <c r="E36" s="1053">
        <v>0.1</v>
      </c>
      <c r="F36" s="1054">
        <v>0.1</v>
      </c>
    </row>
    <row r="37" spans="1:6" ht="14.25" thickBot="1">
      <c r="A37" s="830" t="s">
        <v>442</v>
      </c>
      <c r="B37" s="834" t="s">
        <v>272</v>
      </c>
      <c r="C37" s="1053">
        <v>7.3999999999999996E-2</v>
      </c>
      <c r="D37" s="1053">
        <v>0.1</v>
      </c>
      <c r="E37" s="1053">
        <v>0.1</v>
      </c>
      <c r="F37" s="1054">
        <v>0.1</v>
      </c>
    </row>
    <row r="38" spans="1:6" ht="14.25" thickBot="1">
      <c r="A38" s="830" t="s">
        <v>442</v>
      </c>
      <c r="B38" s="834" t="s">
        <v>282</v>
      </c>
      <c r="C38" s="1053">
        <v>0.1</v>
      </c>
      <c r="D38" s="1053">
        <v>9.6000000000000002E-2</v>
      </c>
      <c r="E38" s="1053">
        <v>9.6000000000000002E-2</v>
      </c>
      <c r="F38" s="1065"/>
    </row>
    <row r="39" spans="1:6" ht="14.25" thickBot="1">
      <c r="A39" s="830" t="s">
        <v>442</v>
      </c>
      <c r="B39" s="834" t="s">
        <v>292</v>
      </c>
      <c r="C39" s="1053">
        <v>0.1</v>
      </c>
      <c r="D39" s="1053">
        <v>9.6000000000000002E-2</v>
      </c>
      <c r="E39" s="1053">
        <v>9.6000000000000002E-2</v>
      </c>
      <c r="F39" s="1065"/>
    </row>
    <row r="40" spans="1:6" ht="14.25" thickBot="1">
      <c r="A40" s="830" t="s">
        <v>442</v>
      </c>
      <c r="B40" s="834" t="s">
        <v>302</v>
      </c>
      <c r="C40" s="1053">
        <v>9.6000000000000002E-2</v>
      </c>
      <c r="D40" s="1053">
        <v>0.1</v>
      </c>
      <c r="E40" s="1053">
        <v>9.9000000000000005E-2</v>
      </c>
      <c r="F40" s="1065"/>
    </row>
    <row r="41" spans="1:6" ht="14.25" thickBot="1">
      <c r="A41" s="830" t="s">
        <v>442</v>
      </c>
      <c r="B41" s="834" t="s">
        <v>312</v>
      </c>
      <c r="C41" s="1053">
        <v>9.6000000000000002E-2</v>
      </c>
      <c r="D41" s="1053">
        <v>9.8000000000000004E-2</v>
      </c>
      <c r="E41" s="1053">
        <v>9.8000000000000004E-2</v>
      </c>
      <c r="F41" s="1065"/>
    </row>
    <row r="42" spans="1:6" ht="14.25" thickBot="1">
      <c r="A42" s="830" t="s">
        <v>442</v>
      </c>
      <c r="B42" s="834" t="s">
        <v>323</v>
      </c>
      <c r="C42" s="1053">
        <v>0.1</v>
      </c>
      <c r="D42" s="1053">
        <v>8.7999999999999995E-2</v>
      </c>
      <c r="E42" s="1053">
        <v>0.1</v>
      </c>
      <c r="F42" s="1065"/>
    </row>
    <row r="43" spans="1:6" ht="14.25" thickBot="1">
      <c r="A43" s="830" t="s">
        <v>442</v>
      </c>
      <c r="B43" s="834" t="s">
        <v>334</v>
      </c>
      <c r="C43" s="1053">
        <v>9.8000000000000004E-2</v>
      </c>
      <c r="D43" s="1053">
        <v>9.7000000000000003E-2</v>
      </c>
      <c r="E43" s="1053">
        <v>9.6000000000000002E-2</v>
      </c>
      <c r="F43" s="1065"/>
    </row>
    <row r="44" spans="1:6" ht="14.25" thickBot="1">
      <c r="A44" s="830" t="s">
        <v>442</v>
      </c>
      <c r="B44" s="834" t="s">
        <v>344</v>
      </c>
      <c r="C44" s="1053">
        <v>8.5999999999999993E-2</v>
      </c>
      <c r="D44" s="1053">
        <v>7.9000000000000001E-2</v>
      </c>
      <c r="E44" s="1053">
        <v>7.0999999999999994E-2</v>
      </c>
      <c r="F44" s="1065"/>
    </row>
    <row r="45" spans="1:6" ht="14.25" thickBot="1">
      <c r="A45" s="830" t="s">
        <v>442</v>
      </c>
      <c r="B45" s="834" t="s">
        <v>354</v>
      </c>
      <c r="C45" s="1053">
        <v>9.8000000000000004E-2</v>
      </c>
      <c r="D45" s="1053">
        <v>9.6000000000000002E-2</v>
      </c>
      <c r="E45" s="1053">
        <v>9.6000000000000002E-2</v>
      </c>
      <c r="F45" s="1065"/>
    </row>
    <row r="46" spans="1:6" ht="14.25" thickBot="1">
      <c r="A46" s="830" t="s">
        <v>442</v>
      </c>
      <c r="B46" s="834" t="s">
        <v>364</v>
      </c>
      <c r="C46" s="1053">
        <v>8.5999999999999993E-2</v>
      </c>
      <c r="D46" s="1053">
        <v>9.8000000000000004E-2</v>
      </c>
      <c r="E46" s="1053">
        <v>8.7999999999999995E-2</v>
      </c>
      <c r="F46" s="1065"/>
    </row>
    <row r="47" spans="1:6" ht="14.25" thickBot="1">
      <c r="A47" s="830" t="s">
        <v>442</v>
      </c>
      <c r="B47" s="834" t="s">
        <v>374</v>
      </c>
      <c r="C47" s="1053">
        <v>9.6000000000000002E-2</v>
      </c>
      <c r="D47" s="1066"/>
      <c r="E47" s="1053">
        <v>6.9000000000000006E-2</v>
      </c>
      <c r="F47" s="1065"/>
    </row>
    <row r="48" spans="1:6" ht="14.25" thickBot="1">
      <c r="A48" s="840" t="s">
        <v>442</v>
      </c>
      <c r="B48" s="835" t="s">
        <v>383</v>
      </c>
      <c r="C48" s="1055">
        <v>9.8000000000000004E-2</v>
      </c>
      <c r="D48" s="1063"/>
      <c r="E48" s="1055">
        <v>9.5000000000000001E-2</v>
      </c>
      <c r="F48" s="1064"/>
    </row>
    <row r="49" spans="1:6" ht="14.25" thickBot="1">
      <c r="A49" s="830" t="s">
        <v>137</v>
      </c>
      <c r="B49" s="831" t="s">
        <v>881</v>
      </c>
      <c r="C49" s="1051">
        <v>9.7000000000000003E-2</v>
      </c>
      <c r="D49" s="1051">
        <v>9.5000000000000001E-2</v>
      </c>
      <c r="E49" s="1051">
        <v>9.7000000000000003E-2</v>
      </c>
      <c r="F49" s="1052">
        <v>0.1</v>
      </c>
    </row>
    <row r="50" spans="1:6" ht="14.25" thickBot="1">
      <c r="A50" s="830" t="s">
        <v>137</v>
      </c>
      <c r="B50" s="824" t="s">
        <v>190</v>
      </c>
      <c r="C50" s="1053">
        <v>7.4999999999999997E-2</v>
      </c>
      <c r="D50" s="1053">
        <v>9.5000000000000001E-2</v>
      </c>
      <c r="E50" s="1053">
        <v>0.1</v>
      </c>
      <c r="F50" s="1054">
        <v>0.1</v>
      </c>
    </row>
    <row r="51" spans="1:6" ht="14.25" thickBot="1">
      <c r="A51" s="830" t="s">
        <v>137</v>
      </c>
      <c r="B51" s="824" t="s">
        <v>203</v>
      </c>
      <c r="C51" s="1053">
        <v>9.8000000000000004E-2</v>
      </c>
      <c r="D51" s="1053">
        <v>8.8999999999999996E-2</v>
      </c>
      <c r="E51" s="1053">
        <v>0.1</v>
      </c>
      <c r="F51" s="1054">
        <v>0.1</v>
      </c>
    </row>
    <row r="52" spans="1:6" ht="14.25" thickBot="1">
      <c r="A52" s="830" t="s">
        <v>137</v>
      </c>
      <c r="B52" s="824" t="s">
        <v>216</v>
      </c>
      <c r="C52" s="1053">
        <v>9.8000000000000004E-2</v>
      </c>
      <c r="D52" s="1053">
        <v>9.7000000000000003E-2</v>
      </c>
      <c r="E52" s="1053">
        <v>8.1000000000000003E-2</v>
      </c>
      <c r="F52" s="1054">
        <v>0.1</v>
      </c>
    </row>
    <row r="53" spans="1:6" ht="14.25" thickBot="1">
      <c r="A53" s="830" t="s">
        <v>137</v>
      </c>
      <c r="B53" s="824" t="s">
        <v>228</v>
      </c>
      <c r="C53" s="1053">
        <v>9.7000000000000003E-2</v>
      </c>
      <c r="D53" s="1053">
        <v>7.5999999999999998E-2</v>
      </c>
      <c r="E53" s="1053">
        <v>7.0999999999999994E-2</v>
      </c>
      <c r="F53" s="1054">
        <v>0.1</v>
      </c>
    </row>
    <row r="54" spans="1:6" ht="14.25" thickBot="1">
      <c r="A54" s="830" t="s">
        <v>137</v>
      </c>
      <c r="B54" s="824" t="s">
        <v>239</v>
      </c>
      <c r="C54" s="1053">
        <v>7.5999999999999998E-2</v>
      </c>
      <c r="D54" s="1053">
        <v>0.1</v>
      </c>
      <c r="E54" s="1053">
        <v>9.9000000000000005E-2</v>
      </c>
      <c r="F54" s="1054">
        <v>0.1</v>
      </c>
    </row>
    <row r="55" spans="1:6" ht="14.25" thickBot="1">
      <c r="A55" s="830" t="s">
        <v>137</v>
      </c>
      <c r="B55" s="824" t="s">
        <v>250</v>
      </c>
      <c r="C55" s="1053">
        <v>0.1</v>
      </c>
      <c r="D55" s="1053">
        <v>0.1</v>
      </c>
      <c r="E55" s="1053">
        <v>9.6000000000000002E-2</v>
      </c>
      <c r="F55" s="1054">
        <v>0.1</v>
      </c>
    </row>
    <row r="56" spans="1:6" ht="14.25" thickBot="1">
      <c r="A56" s="830" t="s">
        <v>137</v>
      </c>
      <c r="B56" s="824" t="s">
        <v>261</v>
      </c>
      <c r="C56" s="1053">
        <v>0.1</v>
      </c>
      <c r="D56" s="1053">
        <v>9.6000000000000002E-2</v>
      </c>
      <c r="E56" s="1053">
        <v>5.1999999999999998E-2</v>
      </c>
      <c r="F56" s="1054">
        <v>0.1</v>
      </c>
    </row>
    <row r="57" spans="1:6" ht="14.25" thickBot="1">
      <c r="A57" s="830" t="s">
        <v>137</v>
      </c>
      <c r="B57" s="824" t="s">
        <v>273</v>
      </c>
      <c r="C57" s="1053">
        <v>9.7000000000000003E-2</v>
      </c>
      <c r="D57" s="1053">
        <v>9.6000000000000002E-2</v>
      </c>
      <c r="E57" s="1053">
        <v>9.6000000000000002E-2</v>
      </c>
      <c r="F57" s="1054">
        <v>0.1</v>
      </c>
    </row>
    <row r="58" spans="1:6" ht="14.25" thickBot="1">
      <c r="A58" s="830" t="s">
        <v>137</v>
      </c>
      <c r="B58" s="824" t="s">
        <v>283</v>
      </c>
      <c r="C58" s="1053">
        <v>9.6000000000000002E-2</v>
      </c>
      <c r="D58" s="1053">
        <v>9.9000000000000005E-2</v>
      </c>
      <c r="E58" s="1053">
        <v>9.6000000000000002E-2</v>
      </c>
      <c r="F58" s="1054">
        <v>0.1</v>
      </c>
    </row>
    <row r="59" spans="1:6" ht="14.25" thickBot="1">
      <c r="A59" s="830" t="s">
        <v>137</v>
      </c>
      <c r="B59" s="824" t="s">
        <v>293</v>
      </c>
      <c r="C59" s="1053">
        <v>7.1999999999999995E-2</v>
      </c>
      <c r="D59" s="1053">
        <v>9.6000000000000002E-2</v>
      </c>
      <c r="E59" s="1053">
        <v>7.0999999999999994E-2</v>
      </c>
      <c r="F59" s="1054">
        <v>0.1</v>
      </c>
    </row>
    <row r="60" spans="1:6" ht="14.25" thickBot="1">
      <c r="A60" s="830" t="s">
        <v>137</v>
      </c>
      <c r="B60" s="824" t="s">
        <v>303</v>
      </c>
      <c r="C60" s="1053">
        <v>9.6000000000000002E-2</v>
      </c>
      <c r="D60" s="1053">
        <v>8.8999999999999996E-2</v>
      </c>
      <c r="E60" s="1053">
        <v>9.6000000000000002E-2</v>
      </c>
      <c r="F60" s="1054">
        <v>0.1</v>
      </c>
    </row>
    <row r="61" spans="1:6" ht="14.25" thickBot="1">
      <c r="A61" s="830" t="s">
        <v>137</v>
      </c>
      <c r="B61" s="824" t="s">
        <v>313</v>
      </c>
      <c r="C61" s="1053">
        <v>8.8999999999999996E-2</v>
      </c>
      <c r="D61" s="1053">
        <v>9.8000000000000004E-2</v>
      </c>
      <c r="E61" s="1053">
        <v>8.7999999999999995E-2</v>
      </c>
      <c r="F61" s="1065"/>
    </row>
    <row r="62" spans="1:6" ht="14.25" thickBot="1">
      <c r="A62" s="830" t="s">
        <v>137</v>
      </c>
      <c r="B62" s="824" t="s">
        <v>324</v>
      </c>
      <c r="C62" s="1053">
        <v>9.8000000000000004E-2</v>
      </c>
      <c r="D62" s="1053">
        <v>9.2999999999999999E-2</v>
      </c>
      <c r="E62" s="1053">
        <v>9.7000000000000003E-2</v>
      </c>
      <c r="F62" s="1065"/>
    </row>
    <row r="63" spans="1:6" ht="14.25" thickBot="1">
      <c r="A63" s="830" t="s">
        <v>137</v>
      </c>
      <c r="B63" s="824" t="s">
        <v>335</v>
      </c>
      <c r="C63" s="1053">
        <v>9.6000000000000002E-2</v>
      </c>
      <c r="D63" s="1053">
        <v>9.8000000000000004E-2</v>
      </c>
      <c r="E63" s="1053">
        <v>0.09</v>
      </c>
      <c r="F63" s="1065"/>
    </row>
    <row r="64" spans="1:6" ht="14.25" thickBot="1">
      <c r="A64" s="830" t="s">
        <v>137</v>
      </c>
      <c r="B64" s="824" t="s">
        <v>345</v>
      </c>
      <c r="C64" s="1053">
        <v>9.9000000000000005E-2</v>
      </c>
      <c r="D64" s="1053">
        <v>9.7000000000000003E-2</v>
      </c>
      <c r="E64" s="1053">
        <v>9.9000000000000005E-2</v>
      </c>
      <c r="F64" s="1065"/>
    </row>
    <row r="65" spans="1:6" ht="14.25" thickBot="1">
      <c r="A65" s="830" t="s">
        <v>137</v>
      </c>
      <c r="B65" s="824" t="s">
        <v>355</v>
      </c>
      <c r="C65" s="1053">
        <v>9.8000000000000004E-2</v>
      </c>
      <c r="D65" s="1053">
        <v>9.6000000000000002E-2</v>
      </c>
      <c r="E65" s="1053">
        <v>9.6000000000000002E-2</v>
      </c>
      <c r="F65" s="1065"/>
    </row>
    <row r="66" spans="1:6" ht="14.25" thickBot="1">
      <c r="A66" s="830" t="s">
        <v>137</v>
      </c>
      <c r="B66" s="824" t="s">
        <v>365</v>
      </c>
      <c r="C66" s="1053">
        <v>9.6000000000000002E-2</v>
      </c>
      <c r="D66" s="1053">
        <v>9.1999999999999998E-2</v>
      </c>
      <c r="E66" s="1053">
        <v>9.6000000000000002E-2</v>
      </c>
      <c r="F66" s="1065"/>
    </row>
    <row r="67" spans="1:6" ht="14.25" thickBot="1">
      <c r="A67" s="830" t="s">
        <v>137</v>
      </c>
      <c r="B67" s="824" t="s">
        <v>375</v>
      </c>
      <c r="C67" s="1053">
        <v>9.4E-2</v>
      </c>
      <c r="D67" s="1053">
        <v>0.1</v>
      </c>
      <c r="E67" s="1053">
        <v>8.7999999999999995E-2</v>
      </c>
      <c r="F67" s="1065"/>
    </row>
    <row r="68" spans="1:6" ht="14.25" thickBot="1">
      <c r="A68" s="830" t="s">
        <v>137</v>
      </c>
      <c r="B68" s="824" t="s">
        <v>384</v>
      </c>
      <c r="C68" s="1053">
        <v>0.1</v>
      </c>
      <c r="D68" s="1053">
        <v>8.7999999999999995E-2</v>
      </c>
      <c r="E68" s="1053">
        <v>9.7000000000000003E-2</v>
      </c>
      <c r="F68" s="1065"/>
    </row>
    <row r="69" spans="1:6" ht="14.25" thickBot="1">
      <c r="A69" s="830" t="s">
        <v>137</v>
      </c>
      <c r="B69" s="824" t="s">
        <v>393</v>
      </c>
      <c r="C69" s="1053">
        <v>6.4000000000000001E-2</v>
      </c>
      <c r="D69" s="1053">
        <v>0.1</v>
      </c>
      <c r="E69" s="1053">
        <v>0.1</v>
      </c>
      <c r="F69" s="1065"/>
    </row>
    <row r="70" spans="1:6" ht="14.25" thickBot="1">
      <c r="A70" s="830" t="s">
        <v>137</v>
      </c>
      <c r="B70" s="824" t="s">
        <v>401</v>
      </c>
      <c r="C70" s="1053">
        <v>9.0999999999999998E-2</v>
      </c>
      <c r="D70" s="1066"/>
      <c r="E70" s="1066"/>
      <c r="F70" s="1065"/>
    </row>
    <row r="71" spans="1:6" ht="14.25" thickBot="1">
      <c r="A71" s="830" t="s">
        <v>137</v>
      </c>
      <c r="B71" s="824" t="s">
        <v>408</v>
      </c>
      <c r="C71" s="1053">
        <v>0.1</v>
      </c>
      <c r="D71" s="1066"/>
      <c r="E71" s="1066"/>
      <c r="F71" s="1065"/>
    </row>
    <row r="72" spans="1:6" ht="14.25" thickBot="1">
      <c r="A72" s="830" t="s">
        <v>137</v>
      </c>
      <c r="B72" s="824" t="s">
        <v>882</v>
      </c>
      <c r="C72" s="1066"/>
      <c r="D72" s="1066"/>
      <c r="E72" s="1066"/>
      <c r="F72" s="1054">
        <v>0.05</v>
      </c>
    </row>
    <row r="73" spans="1:6" ht="14.25" thickBot="1">
      <c r="A73" s="830" t="s">
        <v>137</v>
      </c>
      <c r="B73" s="824" t="s">
        <v>883</v>
      </c>
      <c r="C73" s="1066"/>
      <c r="D73" s="1066"/>
      <c r="E73" s="1066"/>
      <c r="F73" s="1054">
        <v>0.05</v>
      </c>
    </row>
    <row r="74" spans="1:6" ht="14.25" thickBot="1">
      <c r="A74" s="830" t="s">
        <v>137</v>
      </c>
      <c r="B74" s="824" t="s">
        <v>884</v>
      </c>
      <c r="C74" s="1066"/>
      <c r="D74" s="1066"/>
      <c r="E74" s="1066"/>
      <c r="F74" s="1054">
        <v>0.05</v>
      </c>
    </row>
    <row r="75" spans="1:6" ht="14.25" thickBot="1">
      <c r="A75" s="840" t="s">
        <v>137</v>
      </c>
      <c r="B75" s="836" t="s">
        <v>885</v>
      </c>
      <c r="C75" s="1063"/>
      <c r="D75" s="1063"/>
      <c r="E75" s="1063"/>
      <c r="F75" s="1056">
        <v>0.05</v>
      </c>
    </row>
    <row r="76" spans="1:6" ht="14.25" thickBot="1">
      <c r="A76" s="830" t="s">
        <v>523</v>
      </c>
      <c r="B76" s="831" t="s">
        <v>886</v>
      </c>
      <c r="C76" s="1051">
        <v>0.1</v>
      </c>
      <c r="D76" s="1051">
        <v>0.1</v>
      </c>
      <c r="E76" s="1051">
        <v>0.1</v>
      </c>
      <c r="F76" s="1052">
        <v>0.1</v>
      </c>
    </row>
    <row r="77" spans="1:6" ht="14.25" thickBot="1">
      <c r="A77" s="830" t="s">
        <v>523</v>
      </c>
      <c r="B77" s="824" t="s">
        <v>191</v>
      </c>
      <c r="C77" s="1053">
        <v>8.7999999999999995E-2</v>
      </c>
      <c r="D77" s="1053">
        <v>8.6999999999999994E-2</v>
      </c>
      <c r="E77" s="1053">
        <v>7.9000000000000001E-2</v>
      </c>
      <c r="F77" s="1054">
        <v>0.1</v>
      </c>
    </row>
    <row r="78" spans="1:6" ht="14.25" thickBot="1">
      <c r="A78" s="830" t="s">
        <v>523</v>
      </c>
      <c r="B78" s="824" t="s">
        <v>204</v>
      </c>
      <c r="C78" s="1053">
        <v>8.6999999999999994E-2</v>
      </c>
      <c r="D78" s="1053">
        <v>8.4000000000000005E-2</v>
      </c>
      <c r="E78" s="1053">
        <v>9.6000000000000002E-2</v>
      </c>
      <c r="F78" s="1054">
        <v>0.1</v>
      </c>
    </row>
    <row r="79" spans="1:6" ht="14.25" thickBot="1">
      <c r="A79" s="830" t="s">
        <v>523</v>
      </c>
      <c r="B79" s="824" t="s">
        <v>217</v>
      </c>
      <c r="C79" s="1053">
        <v>9.8000000000000004E-2</v>
      </c>
      <c r="D79" s="1053">
        <v>9.8000000000000004E-2</v>
      </c>
      <c r="E79" s="1053">
        <v>9.0999999999999998E-2</v>
      </c>
      <c r="F79" s="1054">
        <v>0.1</v>
      </c>
    </row>
    <row r="80" spans="1:6" ht="14.25" thickBot="1">
      <c r="A80" s="830" t="s">
        <v>523</v>
      </c>
      <c r="B80" s="824" t="s">
        <v>229</v>
      </c>
      <c r="C80" s="1053">
        <v>9.6000000000000002E-2</v>
      </c>
      <c r="D80" s="1053">
        <v>9.6000000000000002E-2</v>
      </c>
      <c r="E80" s="1053">
        <v>0.1</v>
      </c>
      <c r="F80" s="1054">
        <v>0.1</v>
      </c>
    </row>
    <row r="81" spans="1:6" ht="14.25" thickBot="1">
      <c r="A81" s="830" t="s">
        <v>523</v>
      </c>
      <c r="B81" s="824" t="s">
        <v>240</v>
      </c>
      <c r="C81" s="1053">
        <v>9.9000000000000005E-2</v>
      </c>
      <c r="D81" s="1053">
        <v>9.9000000000000005E-2</v>
      </c>
      <c r="E81" s="1053">
        <v>9.8000000000000004E-2</v>
      </c>
      <c r="F81" s="1054">
        <v>0.1</v>
      </c>
    </row>
    <row r="82" spans="1:6" ht="14.25" thickBot="1">
      <c r="A82" s="830" t="s">
        <v>523</v>
      </c>
      <c r="B82" s="824" t="s">
        <v>251</v>
      </c>
      <c r="C82" s="1053">
        <v>9.9000000000000005E-2</v>
      </c>
      <c r="D82" s="1053">
        <v>9.9000000000000005E-2</v>
      </c>
      <c r="E82" s="1053">
        <v>9.7000000000000003E-2</v>
      </c>
      <c r="F82" s="1054">
        <v>0.1</v>
      </c>
    </row>
    <row r="83" spans="1:6" ht="14.25" thickBot="1">
      <c r="A83" s="830" t="s">
        <v>523</v>
      </c>
      <c r="B83" s="824" t="s">
        <v>262</v>
      </c>
      <c r="C83" s="1053">
        <v>9.8000000000000004E-2</v>
      </c>
      <c r="D83" s="1053">
        <v>9.8000000000000004E-2</v>
      </c>
      <c r="E83" s="1053">
        <v>9.8000000000000004E-2</v>
      </c>
      <c r="F83" s="1054">
        <v>0.1</v>
      </c>
    </row>
    <row r="84" spans="1:6" ht="14.25" thickBot="1">
      <c r="A84" s="830" t="s">
        <v>523</v>
      </c>
      <c r="B84" s="824" t="s">
        <v>274</v>
      </c>
      <c r="C84" s="1053">
        <v>9.9000000000000005E-2</v>
      </c>
      <c r="D84" s="1053">
        <v>9.9000000000000005E-2</v>
      </c>
      <c r="E84" s="1053">
        <v>9.9000000000000005E-2</v>
      </c>
      <c r="F84" s="1054">
        <v>0.1</v>
      </c>
    </row>
    <row r="85" spans="1:6" ht="14.25" thickBot="1">
      <c r="A85" s="830" t="s">
        <v>523</v>
      </c>
      <c r="B85" s="824" t="s">
        <v>284</v>
      </c>
      <c r="C85" s="1053">
        <v>9.9000000000000005E-2</v>
      </c>
      <c r="D85" s="1053">
        <v>9.9000000000000005E-2</v>
      </c>
      <c r="E85" s="1053">
        <v>9.9000000000000005E-2</v>
      </c>
      <c r="F85" s="1054">
        <v>0.1</v>
      </c>
    </row>
    <row r="86" spans="1:6" ht="14.25" thickBot="1">
      <c r="A86" s="830" t="s">
        <v>523</v>
      </c>
      <c r="B86" s="824" t="s">
        <v>294</v>
      </c>
      <c r="C86" s="1053">
        <v>0.1</v>
      </c>
      <c r="D86" s="1053">
        <v>0.1</v>
      </c>
      <c r="E86" s="1053">
        <v>7.6999999999999999E-2</v>
      </c>
      <c r="F86" s="1054">
        <v>0.1</v>
      </c>
    </row>
    <row r="87" spans="1:6" ht="14.25" thickBot="1">
      <c r="A87" s="830" t="s">
        <v>523</v>
      </c>
      <c r="B87" s="824" t="s">
        <v>304</v>
      </c>
      <c r="C87" s="1053">
        <v>0.1</v>
      </c>
      <c r="D87" s="1053">
        <v>0.1</v>
      </c>
      <c r="E87" s="1053">
        <v>9.8000000000000004E-2</v>
      </c>
      <c r="F87" s="1065"/>
    </row>
    <row r="88" spans="1:6" ht="14.25" thickBot="1">
      <c r="A88" s="830" t="s">
        <v>523</v>
      </c>
      <c r="B88" s="824" t="s">
        <v>314</v>
      </c>
      <c r="C88" s="1053">
        <v>9.1999999999999998E-2</v>
      </c>
      <c r="D88" s="1053">
        <v>8.5000000000000006E-2</v>
      </c>
      <c r="E88" s="1053">
        <v>9.6000000000000002E-2</v>
      </c>
      <c r="F88" s="1065"/>
    </row>
    <row r="89" spans="1:6" ht="14.25" thickBot="1">
      <c r="A89" s="830" t="s">
        <v>523</v>
      </c>
      <c r="B89" s="824" t="s">
        <v>325</v>
      </c>
      <c r="C89" s="1053">
        <v>0.1</v>
      </c>
      <c r="D89" s="1053">
        <v>0.1</v>
      </c>
      <c r="E89" s="1053">
        <v>9.7000000000000003E-2</v>
      </c>
      <c r="F89" s="1065"/>
    </row>
    <row r="90" spans="1:6" ht="14.25" thickBot="1">
      <c r="A90" s="830" t="s">
        <v>523</v>
      </c>
      <c r="B90" s="824" t="s">
        <v>336</v>
      </c>
      <c r="C90" s="1053">
        <v>9.8000000000000004E-2</v>
      </c>
      <c r="D90" s="1053">
        <v>9.8000000000000004E-2</v>
      </c>
      <c r="E90" s="1053">
        <v>8.7999999999999995E-2</v>
      </c>
      <c r="F90" s="1065"/>
    </row>
    <row r="91" spans="1:6" ht="14.25" thickBot="1">
      <c r="A91" s="830" t="s">
        <v>523</v>
      </c>
      <c r="B91" s="824" t="s">
        <v>346</v>
      </c>
      <c r="C91" s="1053">
        <v>9.9000000000000005E-2</v>
      </c>
      <c r="D91" s="1053">
        <v>9.9000000000000005E-2</v>
      </c>
      <c r="E91" s="1053">
        <v>9.0999999999999998E-2</v>
      </c>
      <c r="F91" s="1065"/>
    </row>
    <row r="92" spans="1:6" ht="14.25" thickBot="1">
      <c r="A92" s="830" t="s">
        <v>523</v>
      </c>
      <c r="B92" s="824" t="s">
        <v>356</v>
      </c>
      <c r="C92" s="1053">
        <v>9.6000000000000002E-2</v>
      </c>
      <c r="D92" s="1053">
        <v>9.6000000000000002E-2</v>
      </c>
      <c r="E92" s="1053">
        <v>7.2999999999999995E-2</v>
      </c>
      <c r="F92" s="1065"/>
    </row>
    <row r="93" spans="1:6" ht="14.25" thickBot="1">
      <c r="A93" s="830" t="s">
        <v>523</v>
      </c>
      <c r="B93" s="824" t="s">
        <v>366</v>
      </c>
      <c r="C93" s="1053">
        <v>9.6000000000000002E-2</v>
      </c>
      <c r="D93" s="1053">
        <v>9.6000000000000002E-2</v>
      </c>
      <c r="E93" s="1053">
        <v>9.9000000000000005E-2</v>
      </c>
      <c r="F93" s="1065"/>
    </row>
    <row r="94" spans="1:6" ht="14.25" thickBot="1">
      <c r="A94" s="830" t="s">
        <v>523</v>
      </c>
      <c r="B94" s="824" t="s">
        <v>376</v>
      </c>
      <c r="C94" s="1053">
        <v>7.5999999999999998E-2</v>
      </c>
      <c r="D94" s="1053">
        <v>7.3999999999999996E-2</v>
      </c>
      <c r="E94" s="1053">
        <v>9.7000000000000003E-2</v>
      </c>
      <c r="F94" s="1065"/>
    </row>
    <row r="95" spans="1:6" ht="14.25" thickBot="1">
      <c r="A95" s="830" t="s">
        <v>523</v>
      </c>
      <c r="B95" s="824" t="s">
        <v>385</v>
      </c>
      <c r="C95" s="1053">
        <v>9.9000000000000005E-2</v>
      </c>
      <c r="D95" s="1053">
        <v>9.4E-2</v>
      </c>
      <c r="E95" s="1053">
        <v>9.6000000000000002E-2</v>
      </c>
      <c r="F95" s="1065"/>
    </row>
    <row r="96" spans="1:6" ht="14.25" thickBot="1">
      <c r="A96" s="830" t="s">
        <v>523</v>
      </c>
      <c r="B96" s="824" t="s">
        <v>394</v>
      </c>
      <c r="C96" s="1053">
        <v>9.9000000000000005E-2</v>
      </c>
      <c r="D96" s="1053">
        <v>9.9000000000000005E-2</v>
      </c>
      <c r="E96" s="1053">
        <v>9.9000000000000005E-2</v>
      </c>
      <c r="F96" s="1065"/>
    </row>
    <row r="97" spans="1:6" ht="14.25" thickBot="1">
      <c r="A97" s="830" t="s">
        <v>523</v>
      </c>
      <c r="B97" s="824" t="s">
        <v>402</v>
      </c>
      <c r="C97" s="1053">
        <v>9.8000000000000004E-2</v>
      </c>
      <c r="D97" s="1053">
        <v>9.8000000000000004E-2</v>
      </c>
      <c r="E97" s="1053">
        <v>9.7000000000000003E-2</v>
      </c>
      <c r="F97" s="1065"/>
    </row>
    <row r="98" spans="1:6" ht="14.25" thickBot="1">
      <c r="A98" s="830" t="s">
        <v>523</v>
      </c>
      <c r="B98" s="824" t="s">
        <v>409</v>
      </c>
      <c r="C98" s="1053">
        <v>0.1</v>
      </c>
      <c r="D98" s="1053">
        <v>0.1</v>
      </c>
      <c r="E98" s="1053">
        <v>9.7000000000000003E-2</v>
      </c>
      <c r="F98" s="1065"/>
    </row>
    <row r="99" spans="1:6" ht="14.25" thickBot="1">
      <c r="A99" s="830" t="s">
        <v>523</v>
      </c>
      <c r="B99" s="824" t="s">
        <v>416</v>
      </c>
      <c r="C99" s="1053">
        <v>0.1</v>
      </c>
      <c r="D99" s="1053">
        <v>0.1</v>
      </c>
      <c r="E99" s="1066"/>
      <c r="F99" s="1065"/>
    </row>
    <row r="100" spans="1:6" ht="14.25" thickBot="1">
      <c r="A100" s="830" t="s">
        <v>523</v>
      </c>
      <c r="B100" s="824" t="s">
        <v>423</v>
      </c>
      <c r="C100" s="1053">
        <v>0.09</v>
      </c>
      <c r="D100" s="1053">
        <v>8.8999999999999996E-2</v>
      </c>
      <c r="E100" s="1066"/>
      <c r="F100" s="1065"/>
    </row>
    <row r="101" spans="1:6" ht="14.25" thickBot="1">
      <c r="A101" s="830" t="s">
        <v>523</v>
      </c>
      <c r="B101" s="824" t="s">
        <v>430</v>
      </c>
      <c r="C101" s="1053">
        <v>9.8000000000000004E-2</v>
      </c>
      <c r="D101" s="1053">
        <v>9.7000000000000003E-2</v>
      </c>
      <c r="E101" s="1066"/>
      <c r="F101" s="1065"/>
    </row>
    <row r="102" spans="1:6" ht="14.25" thickBot="1">
      <c r="A102" s="830" t="s">
        <v>523</v>
      </c>
      <c r="B102" s="824" t="s">
        <v>887</v>
      </c>
      <c r="C102" s="1066"/>
      <c r="D102" s="1066"/>
      <c r="E102" s="1066"/>
      <c r="F102" s="1054">
        <v>0.05</v>
      </c>
    </row>
    <row r="103" spans="1:6" ht="24.75" thickBot="1">
      <c r="A103" s="830" t="s">
        <v>523</v>
      </c>
      <c r="B103" s="824" t="s">
        <v>888</v>
      </c>
      <c r="C103" s="1066"/>
      <c r="D103" s="1066"/>
      <c r="E103" s="1066"/>
      <c r="F103" s="1054">
        <v>0.05</v>
      </c>
    </row>
    <row r="104" spans="1:6" ht="14.25" thickBot="1">
      <c r="A104" s="830" t="s">
        <v>523</v>
      </c>
      <c r="B104" s="824" t="s">
        <v>889</v>
      </c>
      <c r="C104" s="1066"/>
      <c r="D104" s="1066"/>
      <c r="E104" s="1066"/>
      <c r="F104" s="1054">
        <v>0.05</v>
      </c>
    </row>
    <row r="105" spans="1:6" ht="14.25" thickBot="1">
      <c r="A105" s="830" t="s">
        <v>523</v>
      </c>
      <c r="B105" s="824" t="s">
        <v>890</v>
      </c>
      <c r="C105" s="1066"/>
      <c r="D105" s="1066"/>
      <c r="E105" s="1066"/>
      <c r="F105" s="1054">
        <v>0.05</v>
      </c>
    </row>
    <row r="106" spans="1:6" ht="14.25" thickBot="1">
      <c r="A106" s="830" t="s">
        <v>523</v>
      </c>
      <c r="B106" s="824" t="s">
        <v>891</v>
      </c>
      <c r="C106" s="1066"/>
      <c r="D106" s="1066"/>
      <c r="E106" s="1066"/>
      <c r="F106" s="1054">
        <v>0.05</v>
      </c>
    </row>
    <row r="107" spans="1:6" ht="24.75" thickBot="1">
      <c r="A107" s="830" t="s">
        <v>523</v>
      </c>
      <c r="B107" s="824" t="s">
        <v>892</v>
      </c>
      <c r="C107" s="1066"/>
      <c r="D107" s="1066"/>
      <c r="E107" s="1066"/>
      <c r="F107" s="1054">
        <v>0.05</v>
      </c>
    </row>
    <row r="108" spans="1:6" ht="24.75" thickBot="1">
      <c r="A108" s="830" t="s">
        <v>523</v>
      </c>
      <c r="B108" s="824" t="s">
        <v>893</v>
      </c>
      <c r="C108" s="1066"/>
      <c r="D108" s="1066"/>
      <c r="E108" s="1066"/>
      <c r="F108" s="1054">
        <v>0.05</v>
      </c>
    </row>
    <row r="109" spans="1:6" ht="24.75" thickBot="1">
      <c r="A109" s="840" t="s">
        <v>523</v>
      </c>
      <c r="B109" s="836" t="s">
        <v>894</v>
      </c>
      <c r="C109" s="1063"/>
      <c r="D109" s="1063"/>
      <c r="E109" s="1063"/>
      <c r="F109" s="1056">
        <v>0.05</v>
      </c>
    </row>
    <row r="110" spans="1:6" ht="14.25" thickBot="1">
      <c r="A110" s="830" t="s">
        <v>56</v>
      </c>
      <c r="B110" s="831" t="s">
        <v>895</v>
      </c>
      <c r="C110" s="1051">
        <v>0.129</v>
      </c>
      <c r="D110" s="1051">
        <v>0.129</v>
      </c>
      <c r="E110" s="1051">
        <v>0.126</v>
      </c>
      <c r="F110" s="1052">
        <v>0.13</v>
      </c>
    </row>
    <row r="111" spans="1:6" ht="14.25" thickBot="1">
      <c r="A111" s="830" t="s">
        <v>56</v>
      </c>
      <c r="B111" s="824" t="s">
        <v>192</v>
      </c>
      <c r="C111" s="1053">
        <v>0.11</v>
      </c>
      <c r="D111" s="1053">
        <v>0.11</v>
      </c>
      <c r="E111" s="1053">
        <v>9.9000000000000005E-2</v>
      </c>
      <c r="F111" s="1054">
        <v>0.128</v>
      </c>
    </row>
    <row r="112" spans="1:6" ht="14.25" thickBot="1">
      <c r="A112" s="830" t="s">
        <v>56</v>
      </c>
      <c r="B112" s="824" t="s">
        <v>205</v>
      </c>
      <c r="C112" s="1053">
        <v>0.125</v>
      </c>
      <c r="D112" s="1053">
        <v>0.125</v>
      </c>
      <c r="E112" s="1053">
        <v>0.12</v>
      </c>
      <c r="F112" s="1054">
        <v>0.125</v>
      </c>
    </row>
    <row r="113" spans="1:6" ht="14.25" thickBot="1">
      <c r="A113" s="830" t="s">
        <v>56</v>
      </c>
      <c r="B113" s="824" t="s">
        <v>218</v>
      </c>
      <c r="C113" s="1053">
        <v>0.13</v>
      </c>
      <c r="D113" s="1053">
        <v>0.13</v>
      </c>
      <c r="E113" s="1053">
        <v>0.13</v>
      </c>
      <c r="F113" s="1054">
        <v>0.13</v>
      </c>
    </row>
    <row r="114" spans="1:6" ht="14.25" thickBot="1">
      <c r="A114" s="830" t="s">
        <v>56</v>
      </c>
      <c r="B114" s="824" t="s">
        <v>230</v>
      </c>
      <c r="C114" s="1053">
        <v>0.123</v>
      </c>
      <c r="D114" s="1053">
        <v>0.123</v>
      </c>
      <c r="E114" s="1053">
        <v>0.12</v>
      </c>
      <c r="F114" s="1054">
        <v>0.13</v>
      </c>
    </row>
    <row r="115" spans="1:6" ht="14.25" thickBot="1">
      <c r="A115" s="830" t="s">
        <v>56</v>
      </c>
      <c r="B115" s="824" t="s">
        <v>241</v>
      </c>
      <c r="C115" s="1053">
        <v>0.125</v>
      </c>
      <c r="D115" s="1053">
        <v>0.125</v>
      </c>
      <c r="E115" s="1053">
        <v>0.11700000000000001</v>
      </c>
      <c r="F115" s="1054">
        <v>0.13</v>
      </c>
    </row>
    <row r="116" spans="1:6" ht="14.25" thickBot="1">
      <c r="A116" s="830" t="s">
        <v>56</v>
      </c>
      <c r="B116" s="824" t="s">
        <v>252</v>
      </c>
      <c r="C116" s="1053">
        <v>0.11700000000000001</v>
      </c>
      <c r="D116" s="1053">
        <v>0.11700000000000001</v>
      </c>
      <c r="E116" s="1053">
        <v>8.7999999999999995E-2</v>
      </c>
      <c r="F116" s="1054">
        <v>0.13</v>
      </c>
    </row>
    <row r="117" spans="1:6" ht="14.25" thickBot="1">
      <c r="A117" s="830" t="s">
        <v>56</v>
      </c>
      <c r="B117" s="824" t="s">
        <v>263</v>
      </c>
      <c r="C117" s="1053">
        <v>0.13</v>
      </c>
      <c r="D117" s="1053">
        <v>0.13</v>
      </c>
      <c r="E117" s="1053">
        <v>0.129</v>
      </c>
      <c r="F117" s="1054">
        <v>0.13</v>
      </c>
    </row>
    <row r="118" spans="1:6" ht="14.25" thickBot="1">
      <c r="A118" s="830" t="s">
        <v>56</v>
      </c>
      <c r="B118" s="824" t="s">
        <v>275</v>
      </c>
      <c r="C118" s="1053">
        <v>0.123</v>
      </c>
      <c r="D118" s="1053">
        <v>0.123</v>
      </c>
      <c r="E118" s="1053">
        <v>0.11600000000000001</v>
      </c>
      <c r="F118" s="1054">
        <v>0.13</v>
      </c>
    </row>
    <row r="119" spans="1:6" ht="14.25" thickBot="1">
      <c r="A119" s="830" t="s">
        <v>56</v>
      </c>
      <c r="B119" s="824" t="s">
        <v>285</v>
      </c>
      <c r="C119" s="1053">
        <v>0.127</v>
      </c>
      <c r="D119" s="1053">
        <v>0.127</v>
      </c>
      <c r="E119" s="1053">
        <v>0.124</v>
      </c>
      <c r="F119" s="1054">
        <v>0.13</v>
      </c>
    </row>
    <row r="120" spans="1:6" ht="14.25" thickBot="1">
      <c r="A120" s="830" t="s">
        <v>56</v>
      </c>
      <c r="B120" s="824" t="s">
        <v>295</v>
      </c>
      <c r="C120" s="1053">
        <v>0.125</v>
      </c>
      <c r="D120" s="1053">
        <v>0.125</v>
      </c>
      <c r="E120" s="1053">
        <v>0.122</v>
      </c>
      <c r="F120" s="1054">
        <v>0.13</v>
      </c>
    </row>
    <row r="121" spans="1:6" ht="14.25" thickBot="1">
      <c r="A121" s="830" t="s">
        <v>56</v>
      </c>
      <c r="B121" s="824" t="s">
        <v>305</v>
      </c>
      <c r="C121" s="1053">
        <v>0.13</v>
      </c>
      <c r="D121" s="1053">
        <v>0.13</v>
      </c>
      <c r="E121" s="1053">
        <v>0.13</v>
      </c>
      <c r="F121" s="1054">
        <v>0.13</v>
      </c>
    </row>
    <row r="122" spans="1:6" ht="14.25" thickBot="1">
      <c r="A122" s="830" t="s">
        <v>56</v>
      </c>
      <c r="B122" s="824" t="s">
        <v>315</v>
      </c>
      <c r="C122" s="1053">
        <v>0.13</v>
      </c>
      <c r="D122" s="1053">
        <v>0.13</v>
      </c>
      <c r="E122" s="1053">
        <v>0.125</v>
      </c>
      <c r="F122" s="1054">
        <v>0.13</v>
      </c>
    </row>
    <row r="123" spans="1:6" ht="14.25" thickBot="1">
      <c r="A123" s="830" t="s">
        <v>56</v>
      </c>
      <c r="B123" s="824" t="s">
        <v>326</v>
      </c>
      <c r="C123" s="1053">
        <v>0.129</v>
      </c>
      <c r="D123" s="1053">
        <v>0.129</v>
      </c>
      <c r="E123" s="1053">
        <v>0.123</v>
      </c>
      <c r="F123" s="1054">
        <v>0.13</v>
      </c>
    </row>
    <row r="124" spans="1:6" ht="14.25" thickBot="1">
      <c r="A124" s="830" t="s">
        <v>56</v>
      </c>
      <c r="B124" s="824" t="s">
        <v>337</v>
      </c>
      <c r="C124" s="1053">
        <v>0.10199999999999999</v>
      </c>
      <c r="D124" s="1053">
        <v>0.10100000000000001</v>
      </c>
      <c r="E124" s="1053">
        <v>0.08</v>
      </c>
      <c r="F124" s="1065"/>
    </row>
    <row r="125" spans="1:6" ht="14.25" thickBot="1">
      <c r="A125" s="830" t="s">
        <v>56</v>
      </c>
      <c r="B125" s="824" t="s">
        <v>347</v>
      </c>
      <c r="C125" s="1053">
        <v>0.13</v>
      </c>
      <c r="D125" s="1053">
        <v>0.13</v>
      </c>
      <c r="E125" s="1053">
        <v>0.129</v>
      </c>
      <c r="F125" s="1065"/>
    </row>
    <row r="126" spans="1:6" ht="14.25" thickBot="1">
      <c r="A126" s="830" t="s">
        <v>56</v>
      </c>
      <c r="B126" s="824" t="s">
        <v>357</v>
      </c>
      <c r="C126" s="1053">
        <v>0.13</v>
      </c>
      <c r="D126" s="1053">
        <v>0.13</v>
      </c>
      <c r="E126" s="1053">
        <v>0.126</v>
      </c>
      <c r="F126" s="1065"/>
    </row>
    <row r="127" spans="1:6" ht="14.25" thickBot="1">
      <c r="A127" s="830" t="s">
        <v>56</v>
      </c>
      <c r="B127" s="824" t="s">
        <v>367</v>
      </c>
      <c r="C127" s="1053">
        <v>0.125</v>
      </c>
      <c r="D127" s="1053">
        <v>0.125</v>
      </c>
      <c r="E127" s="1053">
        <v>0.121</v>
      </c>
      <c r="F127" s="1065"/>
    </row>
    <row r="128" spans="1:6" ht="14.25" thickBot="1">
      <c r="A128" s="830" t="s">
        <v>56</v>
      </c>
      <c r="B128" s="824" t="s">
        <v>377</v>
      </c>
      <c r="C128" s="1053">
        <v>0.12</v>
      </c>
      <c r="D128" s="1053">
        <v>0.12</v>
      </c>
      <c r="E128" s="1053">
        <v>0.105</v>
      </c>
      <c r="F128" s="1065"/>
    </row>
    <row r="129" spans="1:6" ht="14.25" thickBot="1">
      <c r="A129" s="830" t="s">
        <v>56</v>
      </c>
      <c r="B129" s="824" t="s">
        <v>386</v>
      </c>
      <c r="C129" s="1053">
        <v>0.13</v>
      </c>
      <c r="D129" s="1053">
        <v>0.13</v>
      </c>
      <c r="E129" s="1053">
        <v>0.126</v>
      </c>
      <c r="F129" s="1065"/>
    </row>
    <row r="130" spans="1:6" ht="14.25" thickBot="1">
      <c r="A130" s="830" t="s">
        <v>56</v>
      </c>
      <c r="B130" s="824" t="s">
        <v>395</v>
      </c>
      <c r="C130" s="1053">
        <v>0.125</v>
      </c>
      <c r="D130" s="1053">
        <v>0.125</v>
      </c>
      <c r="E130" s="1053">
        <v>0.122</v>
      </c>
      <c r="F130" s="1065"/>
    </row>
    <row r="131" spans="1:6" ht="14.25" thickBot="1">
      <c r="A131" s="830" t="s">
        <v>56</v>
      </c>
      <c r="B131" s="824" t="s">
        <v>403</v>
      </c>
      <c r="C131" s="1053">
        <v>0.127</v>
      </c>
      <c r="D131" s="1053">
        <v>0.126</v>
      </c>
      <c r="E131" s="1053">
        <v>0.123</v>
      </c>
      <c r="F131" s="1065"/>
    </row>
    <row r="132" spans="1:6" ht="14.25" thickBot="1">
      <c r="A132" s="830" t="s">
        <v>56</v>
      </c>
      <c r="B132" s="824" t="s">
        <v>410</v>
      </c>
      <c r="C132" s="1053">
        <v>9.0999999999999998E-2</v>
      </c>
      <c r="D132" s="1053">
        <v>0.121</v>
      </c>
      <c r="E132" s="1053">
        <v>9.9000000000000005E-2</v>
      </c>
      <c r="F132" s="1065"/>
    </row>
    <row r="133" spans="1:6" ht="14.25" thickBot="1">
      <c r="A133" s="830" t="s">
        <v>56</v>
      </c>
      <c r="B133" s="824" t="s">
        <v>417</v>
      </c>
      <c r="C133" s="1053">
        <v>0.13</v>
      </c>
      <c r="D133" s="1053">
        <v>0.13</v>
      </c>
      <c r="E133" s="1053">
        <v>0.129</v>
      </c>
      <c r="F133" s="1065"/>
    </row>
    <row r="134" spans="1:6" ht="14.25" thickBot="1">
      <c r="A134" s="830" t="s">
        <v>56</v>
      </c>
      <c r="B134" s="824" t="s">
        <v>896</v>
      </c>
      <c r="C134" s="1053">
        <v>6.8000000000000005E-2</v>
      </c>
      <c r="D134" s="1053">
        <v>6.5000000000000002E-2</v>
      </c>
      <c r="E134" s="1053">
        <v>6.5000000000000002E-2</v>
      </c>
      <c r="F134" s="1054">
        <v>0.13</v>
      </c>
    </row>
    <row r="135" spans="1:6" ht="14.25" thickBot="1">
      <c r="A135" s="830" t="s">
        <v>56</v>
      </c>
      <c r="B135" s="824" t="s">
        <v>431</v>
      </c>
      <c r="C135" s="1053">
        <v>0.123</v>
      </c>
      <c r="D135" s="1053">
        <v>0.123</v>
      </c>
      <c r="E135" s="1053">
        <v>0.11</v>
      </c>
      <c r="F135" s="1065"/>
    </row>
    <row r="136" spans="1:6" ht="14.25" thickBot="1">
      <c r="A136" s="830" t="s">
        <v>56</v>
      </c>
      <c r="B136" s="824" t="s">
        <v>438</v>
      </c>
      <c r="C136" s="1053">
        <v>0.13</v>
      </c>
      <c r="D136" s="1053">
        <v>0.13</v>
      </c>
      <c r="E136" s="1053">
        <v>0.125</v>
      </c>
      <c r="F136" s="1065"/>
    </row>
    <row r="137" spans="1:6" ht="14.25" thickBot="1">
      <c r="A137" s="830" t="s">
        <v>56</v>
      </c>
      <c r="B137" s="824" t="s">
        <v>445</v>
      </c>
      <c r="C137" s="1053">
        <v>0.121</v>
      </c>
      <c r="D137" s="1053">
        <v>0.122</v>
      </c>
      <c r="E137" s="1053">
        <v>0.115</v>
      </c>
      <c r="F137" s="1065"/>
    </row>
    <row r="138" spans="1:6" ht="14.25" thickBot="1">
      <c r="A138" s="830" t="s">
        <v>56</v>
      </c>
      <c r="B138" s="824" t="s">
        <v>897</v>
      </c>
      <c r="C138" s="1053">
        <v>0.105</v>
      </c>
      <c r="D138" s="1053">
        <v>0.125</v>
      </c>
      <c r="E138" s="1053">
        <v>0.112</v>
      </c>
      <c r="F138" s="1065"/>
    </row>
    <row r="139" spans="1:6" ht="14.25" thickBot="1">
      <c r="A139" s="830" t="s">
        <v>56</v>
      </c>
      <c r="B139" s="824" t="s">
        <v>898</v>
      </c>
      <c r="C139" s="1053">
        <v>0.127</v>
      </c>
      <c r="D139" s="1053">
        <v>0.127</v>
      </c>
      <c r="E139" s="1053">
        <v>0.122</v>
      </c>
      <c r="F139" s="1054">
        <v>0.13</v>
      </c>
    </row>
    <row r="140" spans="1:6" ht="14.25" thickBot="1">
      <c r="A140" s="830" t="s">
        <v>56</v>
      </c>
      <c r="B140" s="824" t="s">
        <v>899</v>
      </c>
      <c r="C140" s="1053">
        <v>0.125</v>
      </c>
      <c r="D140" s="1053">
        <v>0.125</v>
      </c>
      <c r="E140" s="1053">
        <v>0.11899999999999999</v>
      </c>
      <c r="F140" s="1054">
        <v>0.13</v>
      </c>
    </row>
    <row r="141" spans="1:6" ht="14.25" thickBot="1">
      <c r="A141" s="830" t="s">
        <v>56</v>
      </c>
      <c r="B141" s="824" t="s">
        <v>464</v>
      </c>
      <c r="C141" s="1053">
        <v>0.125</v>
      </c>
      <c r="D141" s="1053">
        <v>0.125</v>
      </c>
      <c r="E141" s="1053">
        <v>0.11700000000000001</v>
      </c>
      <c r="F141" s="1065"/>
    </row>
    <row r="142" spans="1:6" ht="14.25" thickBot="1">
      <c r="A142" s="830" t="s">
        <v>56</v>
      </c>
      <c r="B142" s="824" t="s">
        <v>469</v>
      </c>
      <c r="C142" s="1053">
        <v>0.125</v>
      </c>
      <c r="D142" s="1053">
        <v>0.125</v>
      </c>
      <c r="E142" s="1053">
        <v>0.115</v>
      </c>
      <c r="F142" s="1065"/>
    </row>
    <row r="143" spans="1:6" ht="14.25" thickBot="1">
      <c r="A143" s="830" t="s">
        <v>56</v>
      </c>
      <c r="B143" s="824" t="s">
        <v>474</v>
      </c>
      <c r="C143" s="1053">
        <v>0.121</v>
      </c>
      <c r="D143" s="1053">
        <v>0.121</v>
      </c>
      <c r="E143" s="1053">
        <v>0.108</v>
      </c>
      <c r="F143" s="1065"/>
    </row>
    <row r="144" spans="1:6" ht="14.25" thickBot="1">
      <c r="A144" s="830" t="s">
        <v>56</v>
      </c>
      <c r="B144" s="1057" t="s">
        <v>900</v>
      </c>
      <c r="C144" s="1058">
        <v>0.126</v>
      </c>
      <c r="D144" s="1058">
        <v>0.126</v>
      </c>
      <c r="E144" s="1058">
        <v>0.121</v>
      </c>
      <c r="F144" s="1065"/>
    </row>
    <row r="145" spans="1:6" ht="14.25" thickBot="1">
      <c r="A145" s="840" t="s">
        <v>56</v>
      </c>
      <c r="B145" s="1059" t="s">
        <v>901</v>
      </c>
      <c r="C145" s="1067"/>
      <c r="D145" s="1067"/>
      <c r="E145" s="1067"/>
      <c r="F145" s="1060">
        <v>0.05</v>
      </c>
    </row>
    <row r="146" spans="1:6" ht="24.75" thickBot="1">
      <c r="A146" s="1061" t="s">
        <v>56</v>
      </c>
      <c r="B146" s="834" t="s">
        <v>902</v>
      </c>
      <c r="C146" s="1066"/>
      <c r="D146" s="1066"/>
      <c r="E146" s="1066"/>
      <c r="F146" s="1062">
        <v>0.05</v>
      </c>
    </row>
    <row r="147" spans="1:6" ht="24.75" thickBot="1">
      <c r="A147" s="830" t="s">
        <v>56</v>
      </c>
      <c r="B147" s="824" t="s">
        <v>903</v>
      </c>
      <c r="C147" s="1066"/>
      <c r="D147" s="1066"/>
      <c r="E147" s="1066"/>
      <c r="F147" s="1054">
        <v>0.05</v>
      </c>
    </row>
    <row r="148" spans="1:6" ht="24.75" thickBot="1">
      <c r="A148" s="830" t="s">
        <v>56</v>
      </c>
      <c r="B148" s="824" t="s">
        <v>904</v>
      </c>
      <c r="C148" s="1066"/>
      <c r="D148" s="1066"/>
      <c r="E148" s="1066"/>
      <c r="F148" s="1054">
        <v>0.05</v>
      </c>
    </row>
    <row r="149" spans="1:6" ht="24.75" thickBot="1">
      <c r="A149" s="830" t="s">
        <v>56</v>
      </c>
      <c r="B149" s="824" t="s">
        <v>905</v>
      </c>
      <c r="C149" s="1066"/>
      <c r="D149" s="1066"/>
      <c r="E149" s="1066"/>
      <c r="F149" s="1054">
        <v>0.05</v>
      </c>
    </row>
    <row r="150" spans="1:6" ht="24.75" thickBot="1">
      <c r="A150" s="830" t="s">
        <v>56</v>
      </c>
      <c r="B150" s="824" t="s">
        <v>906</v>
      </c>
      <c r="C150" s="1066"/>
      <c r="D150" s="1066"/>
      <c r="E150" s="1066"/>
      <c r="F150" s="1054">
        <v>0.05</v>
      </c>
    </row>
    <row r="151" spans="1:6" ht="24.75" thickBot="1">
      <c r="A151" s="830" t="s">
        <v>56</v>
      </c>
      <c r="B151" s="824" t="s">
        <v>907</v>
      </c>
      <c r="C151" s="1066"/>
      <c r="D151" s="1066"/>
      <c r="E151" s="1066"/>
      <c r="F151" s="1054">
        <v>0.05</v>
      </c>
    </row>
    <row r="152" spans="1:6" ht="24.75" thickBot="1">
      <c r="A152" s="830" t="s">
        <v>56</v>
      </c>
      <c r="B152" s="824" t="s">
        <v>507</v>
      </c>
      <c r="C152" s="1066"/>
      <c r="D152" s="1066"/>
      <c r="E152" s="1066"/>
      <c r="F152" s="1054">
        <v>0.05</v>
      </c>
    </row>
    <row r="153" spans="1:6" ht="14.25" thickBot="1">
      <c r="A153" s="830" t="s">
        <v>56</v>
      </c>
      <c r="B153" s="824" t="s">
        <v>908</v>
      </c>
      <c r="C153" s="1066"/>
      <c r="D153" s="1066"/>
      <c r="E153" s="1066"/>
      <c r="F153" s="1054">
        <v>0.05</v>
      </c>
    </row>
    <row r="154" spans="1:6" ht="14.25" thickBot="1">
      <c r="A154" s="830" t="s">
        <v>56</v>
      </c>
      <c r="B154" s="824" t="s">
        <v>909</v>
      </c>
      <c r="C154" s="1066"/>
      <c r="D154" s="1066"/>
      <c r="E154" s="1066"/>
      <c r="F154" s="1054">
        <v>0.05</v>
      </c>
    </row>
    <row r="155" spans="1:6" ht="24.75" thickBot="1">
      <c r="A155" s="830" t="s">
        <v>56</v>
      </c>
      <c r="B155" s="824" t="s">
        <v>910</v>
      </c>
      <c r="C155" s="1066"/>
      <c r="D155" s="1066"/>
      <c r="E155" s="1066"/>
      <c r="F155" s="1054">
        <v>0.05</v>
      </c>
    </row>
    <row r="156" spans="1:6" ht="24.75" thickBot="1">
      <c r="A156" s="830" t="s">
        <v>56</v>
      </c>
      <c r="B156" s="824" t="s">
        <v>911</v>
      </c>
      <c r="C156" s="1066"/>
      <c r="D156" s="1066"/>
      <c r="E156" s="1066"/>
      <c r="F156" s="1054">
        <v>0.05</v>
      </c>
    </row>
    <row r="157" spans="1:6" ht="14.25" thickBot="1">
      <c r="A157" s="840" t="s">
        <v>56</v>
      </c>
      <c r="B157" s="836" t="s">
        <v>912</v>
      </c>
      <c r="C157" s="1063"/>
      <c r="D157" s="1063"/>
      <c r="E157" s="1063"/>
      <c r="F157" s="1056">
        <v>0.05</v>
      </c>
    </row>
    <row r="158" spans="1:6" ht="14.25" thickBot="1">
      <c r="A158" s="830" t="s">
        <v>526</v>
      </c>
      <c r="B158" s="831" t="s">
        <v>913</v>
      </c>
      <c r="C158" s="1051">
        <v>0.13</v>
      </c>
      <c r="D158" s="1051">
        <v>0.13</v>
      </c>
      <c r="E158" s="1051">
        <v>0.13</v>
      </c>
      <c r="F158" s="1052">
        <v>0.13</v>
      </c>
    </row>
    <row r="159" spans="1:6" ht="14.25" thickBot="1">
      <c r="A159" s="830" t="s">
        <v>526</v>
      </c>
      <c r="B159" s="824" t="s">
        <v>193</v>
      </c>
      <c r="C159" s="1053">
        <v>0.13</v>
      </c>
      <c r="D159" s="1053">
        <v>0.13</v>
      </c>
      <c r="E159" s="1053">
        <v>0.13</v>
      </c>
      <c r="F159" s="1054">
        <v>0.13</v>
      </c>
    </row>
    <row r="160" spans="1:6" ht="14.25" thickBot="1">
      <c r="A160" s="830" t="s">
        <v>526</v>
      </c>
      <c r="B160" s="824" t="s">
        <v>206</v>
      </c>
      <c r="C160" s="1053">
        <v>0.13</v>
      </c>
      <c r="D160" s="1053">
        <v>0.13</v>
      </c>
      <c r="E160" s="1053">
        <v>0.129</v>
      </c>
      <c r="F160" s="1054">
        <v>0.13</v>
      </c>
    </row>
    <row r="161" spans="1:6" ht="14.25" thickBot="1">
      <c r="A161" s="830" t="s">
        <v>526</v>
      </c>
      <c r="B161" s="824" t="s">
        <v>219</v>
      </c>
      <c r="C161" s="1053">
        <v>0.128</v>
      </c>
      <c r="D161" s="1053">
        <v>0.128</v>
      </c>
      <c r="E161" s="1053">
        <v>0.125</v>
      </c>
      <c r="F161" s="1054">
        <v>0.13</v>
      </c>
    </row>
    <row r="162" spans="1:6" ht="14.25" thickBot="1">
      <c r="A162" s="830" t="s">
        <v>526</v>
      </c>
      <c r="B162" s="824" t="s">
        <v>231</v>
      </c>
      <c r="C162" s="1053">
        <v>0.122</v>
      </c>
      <c r="D162" s="1053">
        <v>0.122</v>
      </c>
      <c r="E162" s="1053">
        <v>0.126</v>
      </c>
      <c r="F162" s="1054">
        <v>0.122</v>
      </c>
    </row>
    <row r="163" spans="1:6" ht="14.25" thickBot="1">
      <c r="A163" s="830" t="s">
        <v>526</v>
      </c>
      <c r="B163" s="824" t="s">
        <v>242</v>
      </c>
      <c r="C163" s="1053">
        <v>0.13</v>
      </c>
      <c r="D163" s="1053">
        <v>0.13</v>
      </c>
      <c r="E163" s="1053">
        <v>0.125</v>
      </c>
      <c r="F163" s="1054">
        <v>0.13</v>
      </c>
    </row>
    <row r="164" spans="1:6" ht="14.25" thickBot="1">
      <c r="A164" s="830" t="s">
        <v>526</v>
      </c>
      <c r="B164" s="824" t="s">
        <v>253</v>
      </c>
      <c r="C164" s="1053">
        <v>0.13</v>
      </c>
      <c r="D164" s="1053">
        <v>0.13</v>
      </c>
      <c r="E164" s="1053">
        <v>0.13</v>
      </c>
      <c r="F164" s="1054">
        <v>0.13</v>
      </c>
    </row>
    <row r="165" spans="1:6" ht="14.25" thickBot="1">
      <c r="A165" s="830" t="s">
        <v>526</v>
      </c>
      <c r="B165" s="824" t="s">
        <v>264</v>
      </c>
      <c r="C165" s="1053">
        <v>0.13</v>
      </c>
      <c r="D165" s="1053">
        <v>0.13</v>
      </c>
      <c r="E165" s="1053">
        <v>0.124</v>
      </c>
      <c r="F165" s="1054">
        <v>0.13</v>
      </c>
    </row>
    <row r="166" spans="1:6" ht="14.25" thickBot="1">
      <c r="A166" s="830" t="s">
        <v>526</v>
      </c>
      <c r="B166" s="824" t="s">
        <v>276</v>
      </c>
      <c r="C166" s="1053">
        <v>0.13</v>
      </c>
      <c r="D166" s="1053">
        <v>0.13</v>
      </c>
      <c r="E166" s="1053">
        <v>0.13</v>
      </c>
      <c r="F166" s="1054">
        <v>0.13</v>
      </c>
    </row>
    <row r="167" spans="1:6" ht="14.25" thickBot="1">
      <c r="A167" s="830" t="s">
        <v>526</v>
      </c>
      <c r="B167" s="824" t="s">
        <v>286</v>
      </c>
      <c r="C167" s="1053">
        <v>0.125</v>
      </c>
      <c r="D167" s="1053">
        <v>0.125</v>
      </c>
      <c r="E167" s="1053">
        <v>0.121</v>
      </c>
      <c r="F167" s="1065"/>
    </row>
    <row r="168" spans="1:6" ht="14.25" thickBot="1">
      <c r="A168" s="830" t="s">
        <v>526</v>
      </c>
      <c r="B168" s="824" t="s">
        <v>296</v>
      </c>
      <c r="C168" s="1053">
        <v>0.13</v>
      </c>
      <c r="D168" s="1053">
        <v>0.13</v>
      </c>
      <c r="E168" s="1053">
        <v>0.126</v>
      </c>
      <c r="F168" s="1065"/>
    </row>
    <row r="169" spans="1:6" ht="14.25" thickBot="1">
      <c r="A169" s="830" t="s">
        <v>526</v>
      </c>
      <c r="B169" s="824" t="s">
        <v>306</v>
      </c>
      <c r="C169" s="1053">
        <v>0.128</v>
      </c>
      <c r="D169" s="1053">
        <v>0.129</v>
      </c>
      <c r="E169" s="1053">
        <v>0.13</v>
      </c>
      <c r="F169" s="1065"/>
    </row>
    <row r="170" spans="1:6" ht="14.25" thickBot="1">
      <c r="A170" s="830" t="s">
        <v>526</v>
      </c>
      <c r="B170" s="824" t="s">
        <v>316</v>
      </c>
      <c r="C170" s="1053">
        <v>0.14099999999999999</v>
      </c>
      <c r="D170" s="1053">
        <v>0.13</v>
      </c>
      <c r="E170" s="1053">
        <v>0.125</v>
      </c>
      <c r="F170" s="1065"/>
    </row>
    <row r="171" spans="1:6" ht="14.25" thickBot="1">
      <c r="A171" s="830" t="s">
        <v>526</v>
      </c>
      <c r="B171" s="824" t="s">
        <v>914</v>
      </c>
      <c r="C171" s="1053">
        <v>0.127</v>
      </c>
      <c r="D171" s="1053">
        <v>0.126</v>
      </c>
      <c r="E171" s="1053">
        <v>0.126</v>
      </c>
      <c r="F171" s="1054">
        <v>0.11799999999999999</v>
      </c>
    </row>
    <row r="172" spans="1:6" ht="14.25" thickBot="1">
      <c r="A172" s="830" t="s">
        <v>526</v>
      </c>
      <c r="B172" s="824" t="s">
        <v>915</v>
      </c>
      <c r="C172" s="1053">
        <v>0.13</v>
      </c>
      <c r="D172" s="1053">
        <v>0.13</v>
      </c>
      <c r="E172" s="1053">
        <v>0.13</v>
      </c>
      <c r="F172" s="1065"/>
    </row>
    <row r="173" spans="1:6" ht="14.25" thickBot="1">
      <c r="A173" s="830" t="s">
        <v>526</v>
      </c>
      <c r="B173" s="824" t="s">
        <v>348</v>
      </c>
      <c r="C173" s="1053">
        <v>0.13</v>
      </c>
      <c r="D173" s="1053">
        <v>0.13</v>
      </c>
      <c r="E173" s="1053">
        <v>0.13</v>
      </c>
      <c r="F173" s="1065"/>
    </row>
    <row r="174" spans="1:6" ht="14.25" thickBot="1">
      <c r="A174" s="830" t="s">
        <v>526</v>
      </c>
      <c r="B174" s="824" t="s">
        <v>916</v>
      </c>
      <c r="C174" s="1053">
        <v>0.13</v>
      </c>
      <c r="D174" s="1053">
        <v>0.13</v>
      </c>
      <c r="E174" s="1053">
        <v>0.13</v>
      </c>
      <c r="F174" s="1054">
        <v>0.13</v>
      </c>
    </row>
    <row r="175" spans="1:6" ht="14.25" thickBot="1">
      <c r="A175" s="830" t="s">
        <v>526</v>
      </c>
      <c r="B175" s="824" t="s">
        <v>917</v>
      </c>
      <c r="C175" s="1053">
        <v>0.13</v>
      </c>
      <c r="D175" s="1053">
        <v>0.13</v>
      </c>
      <c r="E175" s="1053">
        <v>0.13</v>
      </c>
      <c r="F175" s="1054">
        <v>0.13</v>
      </c>
    </row>
    <row r="176" spans="1:6" ht="14.25" thickBot="1">
      <c r="A176" s="830" t="s">
        <v>526</v>
      </c>
      <c r="B176" s="824" t="s">
        <v>378</v>
      </c>
      <c r="C176" s="1053">
        <v>0.13</v>
      </c>
      <c r="D176" s="1053">
        <v>0.13</v>
      </c>
      <c r="E176" s="1053">
        <v>0.13</v>
      </c>
      <c r="F176" s="1054">
        <v>0.13</v>
      </c>
    </row>
    <row r="177" spans="1:6" ht="14.25" thickBot="1">
      <c r="A177" s="830" t="s">
        <v>526</v>
      </c>
      <c r="B177" s="824" t="s">
        <v>918</v>
      </c>
      <c r="C177" s="1053">
        <v>0.13</v>
      </c>
      <c r="D177" s="1053">
        <v>0.13</v>
      </c>
      <c r="E177" s="1053">
        <v>0.13</v>
      </c>
      <c r="F177" s="1054">
        <v>0.13</v>
      </c>
    </row>
    <row r="178" spans="1:6" ht="14.25" thickBot="1">
      <c r="A178" s="830" t="s">
        <v>526</v>
      </c>
      <c r="B178" s="824" t="s">
        <v>396</v>
      </c>
      <c r="C178" s="1053">
        <v>0.13</v>
      </c>
      <c r="D178" s="1053">
        <v>0.13</v>
      </c>
      <c r="E178" s="1053">
        <v>0.13</v>
      </c>
      <c r="F178" s="1054">
        <v>0.127</v>
      </c>
    </row>
    <row r="179" spans="1:6" ht="14.25" thickBot="1">
      <c r="A179" s="830" t="s">
        <v>526</v>
      </c>
      <c r="B179" s="824" t="s">
        <v>404</v>
      </c>
      <c r="C179" s="1053">
        <v>0.13</v>
      </c>
      <c r="D179" s="1053">
        <v>0.13</v>
      </c>
      <c r="E179" s="1053">
        <v>0.13</v>
      </c>
      <c r="F179" s="1065"/>
    </row>
    <row r="180" spans="1:6" ht="14.25" thickBot="1">
      <c r="A180" s="830" t="s">
        <v>526</v>
      </c>
      <c r="B180" s="824" t="s">
        <v>919</v>
      </c>
      <c r="C180" s="1053">
        <v>0.13</v>
      </c>
      <c r="D180" s="1053">
        <v>0.13</v>
      </c>
      <c r="E180" s="1053">
        <v>0.125</v>
      </c>
      <c r="F180" s="1054">
        <v>0.13</v>
      </c>
    </row>
    <row r="181" spans="1:6" ht="14.25" thickBot="1">
      <c r="A181" s="830" t="s">
        <v>526</v>
      </c>
      <c r="B181" s="824" t="s">
        <v>418</v>
      </c>
      <c r="C181" s="1053">
        <v>0.122</v>
      </c>
      <c r="D181" s="1053">
        <v>0.123</v>
      </c>
      <c r="E181" s="1053">
        <v>0.126</v>
      </c>
      <c r="F181" s="1054">
        <v>0.121</v>
      </c>
    </row>
    <row r="182" spans="1:6" ht="14.25" thickBot="1">
      <c r="A182" s="830" t="s">
        <v>526</v>
      </c>
      <c r="B182" s="824" t="s">
        <v>425</v>
      </c>
      <c r="C182" s="1053">
        <v>0.125</v>
      </c>
      <c r="D182" s="1053">
        <v>0.125</v>
      </c>
      <c r="E182" s="1053">
        <v>0.11700000000000001</v>
      </c>
      <c r="F182" s="1054">
        <v>0.13</v>
      </c>
    </row>
    <row r="183" spans="1:6" ht="14.25" thickBot="1">
      <c r="A183" s="830" t="s">
        <v>526</v>
      </c>
      <c r="B183" s="824" t="s">
        <v>432</v>
      </c>
      <c r="C183" s="1053">
        <v>0.127</v>
      </c>
      <c r="D183" s="1053">
        <v>0.127</v>
      </c>
      <c r="E183" s="1053">
        <v>0.128</v>
      </c>
      <c r="F183" s="1065"/>
    </row>
    <row r="184" spans="1:6" ht="14.25" thickBot="1">
      <c r="A184" s="830" t="s">
        <v>526</v>
      </c>
      <c r="B184" s="824" t="s">
        <v>439</v>
      </c>
      <c r="C184" s="1053">
        <v>0.125</v>
      </c>
      <c r="D184" s="1053">
        <v>0.125</v>
      </c>
      <c r="E184" s="1053">
        <v>0.127</v>
      </c>
      <c r="F184" s="1065"/>
    </row>
    <row r="185" spans="1:6" ht="14.25" thickBot="1">
      <c r="A185" s="830" t="s">
        <v>526</v>
      </c>
      <c r="B185" s="824" t="s">
        <v>920</v>
      </c>
      <c r="C185" s="1053">
        <v>0.127</v>
      </c>
      <c r="D185" s="1053">
        <v>0.127</v>
      </c>
      <c r="E185" s="1053">
        <v>0.128</v>
      </c>
      <c r="F185" s="1054">
        <v>0.13</v>
      </c>
    </row>
    <row r="186" spans="1:6" ht="24.75" thickBot="1">
      <c r="A186" s="830" t="s">
        <v>526</v>
      </c>
      <c r="B186" s="824" t="s">
        <v>921</v>
      </c>
      <c r="C186" s="1066"/>
      <c r="D186" s="1066"/>
      <c r="E186" s="1066"/>
      <c r="F186" s="1054">
        <v>0.05</v>
      </c>
    </row>
    <row r="187" spans="1:6" ht="14.25" thickBot="1">
      <c r="A187" s="830" t="s">
        <v>526</v>
      </c>
      <c r="B187" s="824" t="s">
        <v>922</v>
      </c>
      <c r="C187" s="1066"/>
      <c r="D187" s="1066"/>
      <c r="E187" s="1066"/>
      <c r="F187" s="1054">
        <v>0.05</v>
      </c>
    </row>
    <row r="188" spans="1:6" ht="14.25" thickBot="1">
      <c r="A188" s="830" t="s">
        <v>526</v>
      </c>
      <c r="B188" s="824" t="s">
        <v>923</v>
      </c>
      <c r="C188" s="1066"/>
      <c r="D188" s="1066"/>
      <c r="E188" s="1066"/>
      <c r="F188" s="1054">
        <v>0.05</v>
      </c>
    </row>
    <row r="189" spans="1:6" ht="24.75" thickBot="1">
      <c r="A189" s="830" t="s">
        <v>526</v>
      </c>
      <c r="B189" s="824" t="s">
        <v>924</v>
      </c>
      <c r="C189" s="1066"/>
      <c r="D189" s="1066"/>
      <c r="E189" s="1066"/>
      <c r="F189" s="1054">
        <v>0.05</v>
      </c>
    </row>
    <row r="190" spans="1:6" ht="24.75" thickBot="1">
      <c r="A190" s="830" t="s">
        <v>526</v>
      </c>
      <c r="B190" s="824" t="s">
        <v>925</v>
      </c>
      <c r="C190" s="1066"/>
      <c r="D190" s="1066"/>
      <c r="E190" s="1066"/>
      <c r="F190" s="1054">
        <v>0.05</v>
      </c>
    </row>
    <row r="191" spans="1:6" ht="24.75" thickBot="1">
      <c r="A191" s="830" t="s">
        <v>526</v>
      </c>
      <c r="B191" s="824" t="s">
        <v>926</v>
      </c>
      <c r="C191" s="1066"/>
      <c r="D191" s="1066"/>
      <c r="E191" s="1066"/>
      <c r="F191" s="1054">
        <v>0.05</v>
      </c>
    </row>
    <row r="192" spans="1:6" ht="24.75" thickBot="1">
      <c r="A192" s="830" t="s">
        <v>526</v>
      </c>
      <c r="B192" s="824" t="s">
        <v>927</v>
      </c>
      <c r="C192" s="1066"/>
      <c r="D192" s="1066"/>
      <c r="E192" s="1066"/>
      <c r="F192" s="1054">
        <v>0.05</v>
      </c>
    </row>
    <row r="193" spans="1:6" ht="24.75" thickBot="1">
      <c r="A193" s="830" t="s">
        <v>526</v>
      </c>
      <c r="B193" s="824" t="s">
        <v>928</v>
      </c>
      <c r="C193" s="1066"/>
      <c r="D193" s="1066"/>
      <c r="E193" s="1066"/>
      <c r="F193" s="1054">
        <v>0.05</v>
      </c>
    </row>
    <row r="194" spans="1:6" ht="24.75" thickBot="1">
      <c r="A194" s="830" t="s">
        <v>526</v>
      </c>
      <c r="B194" s="824" t="s">
        <v>929</v>
      </c>
      <c r="C194" s="1066"/>
      <c r="D194" s="1066"/>
      <c r="E194" s="1066"/>
      <c r="F194" s="1054">
        <v>0.05</v>
      </c>
    </row>
    <row r="195" spans="1:6" ht="14.25" thickBot="1">
      <c r="A195" s="830" t="s">
        <v>526</v>
      </c>
      <c r="B195" s="824" t="s">
        <v>930</v>
      </c>
      <c r="C195" s="1066"/>
      <c r="D195" s="1066"/>
      <c r="E195" s="1066"/>
      <c r="F195" s="1054">
        <v>0.05</v>
      </c>
    </row>
    <row r="196" spans="1:6" ht="24.75" thickBot="1">
      <c r="A196" s="830" t="s">
        <v>526</v>
      </c>
      <c r="B196" s="824" t="s">
        <v>931</v>
      </c>
      <c r="C196" s="1066"/>
      <c r="D196" s="1066"/>
      <c r="E196" s="1066"/>
      <c r="F196" s="1054">
        <v>0.05</v>
      </c>
    </row>
    <row r="197" spans="1:6" ht="24.75" thickBot="1">
      <c r="A197" s="830" t="s">
        <v>526</v>
      </c>
      <c r="B197" s="824" t="s">
        <v>932</v>
      </c>
      <c r="C197" s="1066"/>
      <c r="D197" s="1066"/>
      <c r="E197" s="1066"/>
      <c r="F197" s="1054">
        <v>0.05</v>
      </c>
    </row>
    <row r="198" spans="1:6" ht="24.75" thickBot="1">
      <c r="A198" s="830" t="s">
        <v>526</v>
      </c>
      <c r="B198" s="824" t="s">
        <v>933</v>
      </c>
      <c r="C198" s="1066"/>
      <c r="D198" s="1066"/>
      <c r="E198" s="1066"/>
      <c r="F198" s="1054">
        <v>0.05</v>
      </c>
    </row>
    <row r="199" spans="1:6" ht="24.75" thickBot="1">
      <c r="A199" s="830" t="s">
        <v>526</v>
      </c>
      <c r="B199" s="824" t="s">
        <v>934</v>
      </c>
      <c r="C199" s="1066"/>
      <c r="D199" s="1066"/>
      <c r="E199" s="1066"/>
      <c r="F199" s="1054">
        <v>0.05</v>
      </c>
    </row>
    <row r="200" spans="1:6" ht="24.75" thickBot="1">
      <c r="A200" s="830" t="s">
        <v>526</v>
      </c>
      <c r="B200" s="824" t="s">
        <v>935</v>
      </c>
      <c r="C200" s="1066"/>
      <c r="D200" s="1066"/>
      <c r="E200" s="1066"/>
      <c r="F200" s="1054">
        <v>0.05</v>
      </c>
    </row>
    <row r="201" spans="1:6" ht="24.75" thickBot="1">
      <c r="A201" s="830" t="s">
        <v>526</v>
      </c>
      <c r="B201" s="824" t="s">
        <v>936</v>
      </c>
      <c r="C201" s="1066"/>
      <c r="D201" s="1066"/>
      <c r="E201" s="1066"/>
      <c r="F201" s="1054">
        <v>0.05</v>
      </c>
    </row>
    <row r="202" spans="1:6" ht="24.75" thickBot="1">
      <c r="A202" s="830" t="s">
        <v>526</v>
      </c>
      <c r="B202" s="824" t="s">
        <v>937</v>
      </c>
      <c r="C202" s="1066"/>
      <c r="D202" s="1066"/>
      <c r="E202" s="1066"/>
      <c r="F202" s="1054">
        <v>0.05</v>
      </c>
    </row>
    <row r="203" spans="1:6" ht="24.75" thickBot="1">
      <c r="A203" s="830" t="s">
        <v>526</v>
      </c>
      <c r="B203" s="824" t="s">
        <v>938</v>
      </c>
      <c r="C203" s="1066"/>
      <c r="D203" s="1066"/>
      <c r="E203" s="1066"/>
      <c r="F203" s="1054">
        <v>0.05</v>
      </c>
    </row>
    <row r="204" spans="1:6" ht="14.25" thickBot="1">
      <c r="A204" s="830" t="s">
        <v>526</v>
      </c>
      <c r="B204" s="824" t="s">
        <v>939</v>
      </c>
      <c r="C204" s="1066"/>
      <c r="D204" s="1066"/>
      <c r="E204" s="1066"/>
      <c r="F204" s="1054">
        <v>0.05</v>
      </c>
    </row>
    <row r="205" spans="1:6" ht="14.25" thickBot="1">
      <c r="A205" s="840" t="s">
        <v>526</v>
      </c>
      <c r="B205" s="836" t="s">
        <v>940</v>
      </c>
      <c r="C205" s="1063"/>
      <c r="D205" s="1063"/>
      <c r="E205" s="1063"/>
      <c r="F205" s="1056">
        <v>0.05</v>
      </c>
    </row>
    <row r="206" spans="1:6" ht="14.25" thickBot="1">
      <c r="A206" s="830" t="s">
        <v>528</v>
      </c>
      <c r="B206" s="831" t="s">
        <v>941</v>
      </c>
      <c r="C206" s="1051">
        <v>0.15</v>
      </c>
      <c r="D206" s="1051">
        <v>0.15</v>
      </c>
      <c r="E206" s="1051">
        <v>0.15</v>
      </c>
      <c r="F206" s="1052">
        <v>0.15</v>
      </c>
    </row>
    <row r="207" spans="1:6" ht="14.25" thickBot="1">
      <c r="A207" s="830" t="s">
        <v>528</v>
      </c>
      <c r="B207" s="824" t="s">
        <v>194</v>
      </c>
      <c r="C207" s="1053">
        <v>0.15</v>
      </c>
      <c r="D207" s="1053">
        <v>0.15</v>
      </c>
      <c r="E207" s="1053">
        <v>0.15</v>
      </c>
      <c r="F207" s="1054">
        <v>0.14399999999999999</v>
      </c>
    </row>
    <row r="208" spans="1:6" ht="14.25" thickBot="1">
      <c r="A208" s="830" t="s">
        <v>528</v>
      </c>
      <c r="B208" s="824" t="s">
        <v>207</v>
      </c>
      <c r="C208" s="1053">
        <v>0.15</v>
      </c>
      <c r="D208" s="1053">
        <v>0.15</v>
      </c>
      <c r="E208" s="1053">
        <v>0.15</v>
      </c>
      <c r="F208" s="1054">
        <v>0.15</v>
      </c>
    </row>
    <row r="209" spans="1:6" ht="14.25" thickBot="1">
      <c r="A209" s="830" t="s">
        <v>528</v>
      </c>
      <c r="B209" s="824" t="s">
        <v>220</v>
      </c>
      <c r="C209" s="1053">
        <v>0.13700000000000001</v>
      </c>
      <c r="D209" s="1053">
        <v>0.13700000000000001</v>
      </c>
      <c r="E209" s="1053">
        <v>0.14000000000000001</v>
      </c>
      <c r="F209" s="1054">
        <v>0.11700000000000001</v>
      </c>
    </row>
    <row r="210" spans="1:6" ht="14.25" thickBot="1">
      <c r="A210" s="830" t="s">
        <v>528</v>
      </c>
      <c r="B210" s="824" t="s">
        <v>942</v>
      </c>
      <c r="C210" s="1053">
        <v>0.15</v>
      </c>
      <c r="D210" s="1053">
        <v>0.15</v>
      </c>
      <c r="E210" s="1053">
        <v>0.15</v>
      </c>
      <c r="F210" s="1054">
        <v>0.13800000000000001</v>
      </c>
    </row>
    <row r="211" spans="1:6" ht="14.25" thickBot="1">
      <c r="A211" s="830" t="s">
        <v>528</v>
      </c>
      <c r="B211" s="824" t="s">
        <v>943</v>
      </c>
      <c r="C211" s="1053">
        <v>0.13700000000000001</v>
      </c>
      <c r="D211" s="1053">
        <v>0.13500000000000001</v>
      </c>
      <c r="E211" s="1053">
        <v>0.13600000000000001</v>
      </c>
      <c r="F211" s="1054">
        <v>0.1</v>
      </c>
    </row>
    <row r="212" spans="1:6" ht="14.25" thickBot="1">
      <c r="A212" s="830" t="s">
        <v>528</v>
      </c>
      <c r="B212" s="824" t="s">
        <v>944</v>
      </c>
      <c r="C212" s="1053">
        <v>0.15</v>
      </c>
      <c r="D212" s="1053">
        <v>0.15</v>
      </c>
      <c r="E212" s="1053">
        <v>0.14799999999999999</v>
      </c>
      <c r="F212" s="1054">
        <v>0.13600000000000001</v>
      </c>
    </row>
    <row r="213" spans="1:6" ht="14.25" thickBot="1">
      <c r="A213" s="830" t="s">
        <v>528</v>
      </c>
      <c r="B213" s="824" t="s">
        <v>265</v>
      </c>
      <c r="C213" s="1053">
        <v>0.15</v>
      </c>
      <c r="D213" s="1053">
        <v>0.15</v>
      </c>
      <c r="E213" s="1053">
        <v>0.15</v>
      </c>
      <c r="F213" s="1054">
        <v>0.13800000000000001</v>
      </c>
    </row>
    <row r="214" spans="1:6" ht="14.25" thickBot="1">
      <c r="A214" s="830" t="s">
        <v>528</v>
      </c>
      <c r="B214" s="824" t="s">
        <v>277</v>
      </c>
      <c r="C214" s="1053">
        <v>9.0999999999999998E-2</v>
      </c>
      <c r="D214" s="1053">
        <v>0.09</v>
      </c>
      <c r="E214" s="1053">
        <v>9.1999999999999998E-2</v>
      </c>
      <c r="F214" s="1065"/>
    </row>
    <row r="215" spans="1:6" ht="14.25" thickBot="1">
      <c r="A215" s="830" t="s">
        <v>528</v>
      </c>
      <c r="B215" s="824" t="s">
        <v>945</v>
      </c>
      <c r="C215" s="1053">
        <v>0.15</v>
      </c>
      <c r="D215" s="1053">
        <v>0.15</v>
      </c>
      <c r="E215" s="1053">
        <v>0.15</v>
      </c>
      <c r="F215" s="1054">
        <v>0.15</v>
      </c>
    </row>
    <row r="216" spans="1:6" ht="14.25" thickBot="1">
      <c r="A216" s="830" t="s">
        <v>528</v>
      </c>
      <c r="B216" s="824" t="s">
        <v>297</v>
      </c>
      <c r="C216" s="1053">
        <v>0.14699999999999999</v>
      </c>
      <c r="D216" s="1053">
        <v>0.14699999999999999</v>
      </c>
      <c r="E216" s="1053">
        <v>0.15</v>
      </c>
      <c r="F216" s="1054">
        <v>0.14000000000000001</v>
      </c>
    </row>
    <row r="217" spans="1:6" ht="14.25" thickBot="1">
      <c r="A217" s="830" t="s">
        <v>528</v>
      </c>
      <c r="B217" s="824" t="s">
        <v>307</v>
      </c>
      <c r="C217" s="1053">
        <v>0.15</v>
      </c>
      <c r="D217" s="1053">
        <v>0.15</v>
      </c>
      <c r="E217" s="1053">
        <v>0.15</v>
      </c>
      <c r="F217" s="1054">
        <v>0.15</v>
      </c>
    </row>
    <row r="218" spans="1:6" ht="14.25" thickBot="1">
      <c r="A218" s="830" t="s">
        <v>528</v>
      </c>
      <c r="B218" s="824" t="s">
        <v>946</v>
      </c>
      <c r="C218" s="1053">
        <v>0.15</v>
      </c>
      <c r="D218" s="1053">
        <v>0.15</v>
      </c>
      <c r="E218" s="1053">
        <v>0.15</v>
      </c>
      <c r="F218" s="1054">
        <v>0.15</v>
      </c>
    </row>
    <row r="219" spans="1:6" ht="14.25" thickBot="1">
      <c r="A219" s="830" t="s">
        <v>528</v>
      </c>
      <c r="B219" s="824" t="s">
        <v>328</v>
      </c>
      <c r="C219" s="1053">
        <v>0.15</v>
      </c>
      <c r="D219" s="1053">
        <v>0.15</v>
      </c>
      <c r="E219" s="1053">
        <v>0.15</v>
      </c>
      <c r="F219" s="1054">
        <v>0.14799999999999999</v>
      </c>
    </row>
    <row r="220" spans="1:6" ht="14.25" thickBot="1">
      <c r="A220" s="830" t="s">
        <v>528</v>
      </c>
      <c r="B220" s="824" t="s">
        <v>947</v>
      </c>
      <c r="C220" s="1053">
        <v>0.15</v>
      </c>
      <c r="D220" s="1053">
        <v>0.15</v>
      </c>
      <c r="E220" s="1053">
        <v>0.15</v>
      </c>
      <c r="F220" s="1054">
        <v>0.15</v>
      </c>
    </row>
    <row r="221" spans="1:6" ht="14.25" thickBot="1">
      <c r="A221" s="830" t="s">
        <v>528</v>
      </c>
      <c r="B221" s="824" t="s">
        <v>349</v>
      </c>
      <c r="C221" s="1053"/>
      <c r="D221" s="1066"/>
      <c r="E221" s="1066"/>
      <c r="F221" s="1054">
        <v>0.14799999999999999</v>
      </c>
    </row>
    <row r="222" spans="1:6" ht="14.25" thickBot="1">
      <c r="A222" s="830" t="s">
        <v>528</v>
      </c>
      <c r="B222" s="824" t="s">
        <v>359</v>
      </c>
      <c r="C222" s="1053"/>
      <c r="D222" s="1066"/>
      <c r="E222" s="1066"/>
      <c r="F222" s="1054">
        <v>0.1</v>
      </c>
    </row>
    <row r="223" spans="1:6" ht="14.25" thickBot="1">
      <c r="A223" s="830" t="s">
        <v>528</v>
      </c>
      <c r="B223" s="824" t="s">
        <v>369</v>
      </c>
      <c r="C223" s="1053"/>
      <c r="D223" s="1066"/>
      <c r="E223" s="1066"/>
      <c r="F223" s="1054">
        <v>0.15</v>
      </c>
    </row>
    <row r="224" spans="1:6" ht="14.25" thickBot="1">
      <c r="A224" s="830" t="s">
        <v>528</v>
      </c>
      <c r="B224" s="824" t="s">
        <v>379</v>
      </c>
      <c r="C224" s="1053"/>
      <c r="D224" s="1066"/>
      <c r="E224" s="1066"/>
      <c r="F224" s="1054">
        <v>0.15</v>
      </c>
    </row>
    <row r="225" spans="1:6" ht="14.25" thickBot="1">
      <c r="A225" s="830" t="s">
        <v>528</v>
      </c>
      <c r="B225" s="824" t="s">
        <v>948</v>
      </c>
      <c r="C225" s="1053">
        <v>0.15</v>
      </c>
      <c r="D225" s="1053">
        <v>0.15</v>
      </c>
      <c r="E225" s="1053">
        <v>0.15</v>
      </c>
      <c r="F225" s="1054">
        <v>0.15</v>
      </c>
    </row>
    <row r="226" spans="1:6" ht="14.25" thickBot="1">
      <c r="A226" s="830" t="s">
        <v>528</v>
      </c>
      <c r="B226" s="824" t="s">
        <v>397</v>
      </c>
      <c r="C226" s="1053">
        <v>0.15</v>
      </c>
      <c r="D226" s="1053">
        <v>0.15</v>
      </c>
      <c r="E226" s="1053">
        <v>0.15</v>
      </c>
      <c r="F226" s="1054">
        <v>0.14799999999999999</v>
      </c>
    </row>
    <row r="227" spans="1:6" ht="14.25" thickBot="1">
      <c r="A227" s="830" t="s">
        <v>528</v>
      </c>
      <c r="B227" s="824" t="s">
        <v>949</v>
      </c>
      <c r="C227" s="1053">
        <v>0.15</v>
      </c>
      <c r="D227" s="1053">
        <v>0.15</v>
      </c>
      <c r="E227" s="1053">
        <v>0.15</v>
      </c>
      <c r="F227" s="1054">
        <v>0.15</v>
      </c>
    </row>
    <row r="228" spans="1:6" ht="14.25" thickBot="1">
      <c r="A228" s="830" t="s">
        <v>528</v>
      </c>
      <c r="B228" s="824" t="s">
        <v>412</v>
      </c>
      <c r="C228" s="1053">
        <v>0.15</v>
      </c>
      <c r="D228" s="1053">
        <v>0.15</v>
      </c>
      <c r="E228" s="1053">
        <v>0.15</v>
      </c>
      <c r="F228" s="1054">
        <v>0.15</v>
      </c>
    </row>
    <row r="229" spans="1:6" ht="14.25" thickBot="1">
      <c r="A229" s="830" t="s">
        <v>528</v>
      </c>
      <c r="B229" s="824" t="s">
        <v>419</v>
      </c>
      <c r="C229" s="1053">
        <v>0.15</v>
      </c>
      <c r="D229" s="1053">
        <v>0.15</v>
      </c>
      <c r="E229" s="1053">
        <v>0.15</v>
      </c>
      <c r="F229" s="1065"/>
    </row>
    <row r="230" spans="1:6" ht="14.25" thickBot="1">
      <c r="A230" s="830" t="s">
        <v>528</v>
      </c>
      <c r="B230" s="824" t="s">
        <v>426</v>
      </c>
      <c r="C230" s="1053">
        <v>0.14499999999999999</v>
      </c>
      <c r="D230" s="1053">
        <v>0.14499999999999999</v>
      </c>
      <c r="E230" s="1053">
        <v>0.14399999999999999</v>
      </c>
      <c r="F230" s="1065"/>
    </row>
    <row r="231" spans="1:6" ht="14.25" thickBot="1">
      <c r="A231" s="830" t="s">
        <v>528</v>
      </c>
      <c r="B231" s="824" t="s">
        <v>950</v>
      </c>
      <c r="C231" s="1053">
        <v>0.128</v>
      </c>
      <c r="D231" s="1053">
        <v>0.125</v>
      </c>
      <c r="E231" s="1053">
        <v>0.13200000000000001</v>
      </c>
      <c r="F231" s="1065"/>
    </row>
    <row r="232" spans="1:6" ht="14.25" thickBot="1">
      <c r="A232" s="830" t="s">
        <v>528</v>
      </c>
      <c r="B232" s="824" t="s">
        <v>951</v>
      </c>
      <c r="C232" s="1053">
        <v>0.14499999999999999</v>
      </c>
      <c r="D232" s="1053">
        <v>0.14399999999999999</v>
      </c>
      <c r="E232" s="1053">
        <v>0.14599999999999999</v>
      </c>
      <c r="F232" s="1054">
        <v>0.13800000000000001</v>
      </c>
    </row>
    <row r="233" spans="1:6" ht="14.25" thickBot="1">
      <c r="A233" s="830" t="s">
        <v>528</v>
      </c>
      <c r="B233" s="824" t="s">
        <v>952</v>
      </c>
      <c r="C233" s="1053">
        <v>0.14499999999999999</v>
      </c>
      <c r="D233" s="1053">
        <v>0.14299999999999999</v>
      </c>
      <c r="E233" s="1053">
        <v>0.14199999999999999</v>
      </c>
      <c r="F233" s="1065"/>
    </row>
    <row r="234" spans="1:6" ht="14.25" thickBot="1">
      <c r="A234" s="830" t="s">
        <v>528</v>
      </c>
      <c r="B234" s="824" t="s">
        <v>953</v>
      </c>
      <c r="C234" s="1053">
        <v>0.14000000000000001</v>
      </c>
      <c r="D234" s="1053">
        <v>0.14000000000000001</v>
      </c>
      <c r="E234" s="1053">
        <v>0.14399999999999999</v>
      </c>
      <c r="F234" s="1065"/>
    </row>
    <row r="235" spans="1:6" ht="14.25" thickBot="1">
      <c r="A235" s="830" t="s">
        <v>528</v>
      </c>
      <c r="B235" s="824" t="s">
        <v>954</v>
      </c>
      <c r="C235" s="1053">
        <v>0.14099999999999999</v>
      </c>
      <c r="D235" s="1053">
        <v>0.14199999999999999</v>
      </c>
      <c r="E235" s="1053">
        <v>0.14499999999999999</v>
      </c>
      <c r="F235" s="1054">
        <v>0.15</v>
      </c>
    </row>
    <row r="236" spans="1:6" ht="14.25" thickBot="1">
      <c r="A236" s="830" t="s">
        <v>528</v>
      </c>
      <c r="B236" s="824" t="s">
        <v>461</v>
      </c>
      <c r="C236" s="1066"/>
      <c r="D236" s="1066"/>
      <c r="E236" s="1066"/>
      <c r="F236" s="1054">
        <v>0.14299999999999999</v>
      </c>
    </row>
    <row r="237" spans="1:6" ht="24.75" thickBot="1">
      <c r="A237" s="830" t="s">
        <v>528</v>
      </c>
      <c r="B237" s="824" t="s">
        <v>955</v>
      </c>
      <c r="C237" s="1066"/>
      <c r="D237" s="1066"/>
      <c r="E237" s="1066"/>
      <c r="F237" s="1054">
        <v>0.05</v>
      </c>
    </row>
    <row r="238" spans="1:6" ht="24.75" thickBot="1">
      <c r="A238" s="830" t="s">
        <v>528</v>
      </c>
      <c r="B238" s="824" t="s">
        <v>956</v>
      </c>
      <c r="C238" s="1066"/>
      <c r="D238" s="1066"/>
      <c r="E238" s="1066"/>
      <c r="F238" s="1054">
        <v>0.05</v>
      </c>
    </row>
    <row r="239" spans="1:6" ht="24.75" thickBot="1">
      <c r="A239" s="830" t="s">
        <v>528</v>
      </c>
      <c r="B239" s="824" t="s">
        <v>957</v>
      </c>
      <c r="C239" s="1066"/>
      <c r="D239" s="1066"/>
      <c r="E239" s="1066"/>
      <c r="F239" s="1054">
        <v>0.05</v>
      </c>
    </row>
    <row r="240" spans="1:6" ht="24.75" thickBot="1">
      <c r="A240" s="830" t="s">
        <v>528</v>
      </c>
      <c r="B240" s="824" t="s">
        <v>958</v>
      </c>
      <c r="C240" s="1066"/>
      <c r="D240" s="1066"/>
      <c r="E240" s="1066"/>
      <c r="F240" s="1054">
        <v>0.05</v>
      </c>
    </row>
    <row r="241" spans="1:6" ht="24.75" thickBot="1">
      <c r="A241" s="830" t="s">
        <v>528</v>
      </c>
      <c r="B241" s="824" t="s">
        <v>959</v>
      </c>
      <c r="C241" s="1066"/>
      <c r="D241" s="1066"/>
      <c r="E241" s="1066"/>
      <c r="F241" s="1054">
        <v>0.05</v>
      </c>
    </row>
    <row r="242" spans="1:6" ht="24.75" thickBot="1">
      <c r="A242" s="830" t="s">
        <v>528</v>
      </c>
      <c r="B242" s="824" t="s">
        <v>960</v>
      </c>
      <c r="C242" s="1066"/>
      <c r="D242" s="1066"/>
      <c r="E242" s="1066"/>
      <c r="F242" s="1054">
        <v>0.05</v>
      </c>
    </row>
    <row r="243" spans="1:6" ht="24.75" thickBot="1">
      <c r="A243" s="830" t="s">
        <v>528</v>
      </c>
      <c r="B243" s="824" t="s">
        <v>961</v>
      </c>
      <c r="C243" s="1066"/>
      <c r="D243" s="1066"/>
      <c r="E243" s="1066"/>
      <c r="F243" s="1054">
        <v>0.05</v>
      </c>
    </row>
    <row r="244" spans="1:6" ht="24.75" thickBot="1">
      <c r="A244" s="840" t="s">
        <v>528</v>
      </c>
      <c r="B244" s="836" t="s">
        <v>962</v>
      </c>
      <c r="C244" s="1063"/>
      <c r="D244" s="1063"/>
      <c r="E244" s="1063"/>
      <c r="F244" s="1056">
        <v>0.05</v>
      </c>
    </row>
    <row r="245" spans="1:6" ht="14.25" thickBot="1">
      <c r="A245" s="830" t="s">
        <v>530</v>
      </c>
      <c r="B245" s="831" t="s">
        <v>963</v>
      </c>
      <c r="C245" s="1051">
        <v>0.15</v>
      </c>
      <c r="D245" s="1051">
        <v>0.15</v>
      </c>
      <c r="E245" s="1051">
        <v>0.15</v>
      </c>
      <c r="F245" s="1052">
        <v>0.14299999999999999</v>
      </c>
    </row>
    <row r="246" spans="1:6" ht="14.25" thickBot="1">
      <c r="A246" s="830" t="s">
        <v>530</v>
      </c>
      <c r="B246" s="824" t="s">
        <v>195</v>
      </c>
      <c r="C246" s="1053">
        <v>0.15</v>
      </c>
      <c r="D246" s="1053">
        <v>0.15</v>
      </c>
      <c r="E246" s="1053">
        <v>0.15</v>
      </c>
      <c r="F246" s="1054">
        <v>0.114</v>
      </c>
    </row>
    <row r="247" spans="1:6" ht="14.25" thickBot="1">
      <c r="A247" s="830" t="s">
        <v>530</v>
      </c>
      <c r="B247" s="824" t="s">
        <v>964</v>
      </c>
      <c r="C247" s="1053">
        <v>0.15</v>
      </c>
      <c r="D247" s="1053">
        <v>0.15</v>
      </c>
      <c r="E247" s="1053">
        <v>0.15</v>
      </c>
      <c r="F247" s="1054">
        <v>0.15</v>
      </c>
    </row>
    <row r="248" spans="1:6" ht="14.25" thickBot="1">
      <c r="A248" s="830" t="s">
        <v>530</v>
      </c>
      <c r="B248" s="824" t="s">
        <v>965</v>
      </c>
      <c r="C248" s="1053">
        <v>0.15</v>
      </c>
      <c r="D248" s="1053">
        <v>0.15</v>
      </c>
      <c r="E248" s="1053">
        <v>0.15</v>
      </c>
      <c r="F248" s="1054">
        <v>0.14000000000000001</v>
      </c>
    </row>
    <row r="249" spans="1:6" ht="14.25" thickBot="1">
      <c r="A249" s="830" t="s">
        <v>530</v>
      </c>
      <c r="B249" s="824" t="s">
        <v>966</v>
      </c>
      <c r="C249" s="1053">
        <v>0.15</v>
      </c>
      <c r="D249" s="1053">
        <v>0.14899999999999999</v>
      </c>
      <c r="E249" s="1053">
        <v>0.15</v>
      </c>
      <c r="F249" s="1054">
        <v>0.1</v>
      </c>
    </row>
    <row r="250" spans="1:6" ht="14.25" thickBot="1">
      <c r="A250" s="830" t="s">
        <v>530</v>
      </c>
      <c r="B250" s="824" t="s">
        <v>967</v>
      </c>
      <c r="C250" s="1053">
        <v>0.15</v>
      </c>
      <c r="D250" s="1053">
        <v>0.15</v>
      </c>
      <c r="E250" s="1053">
        <v>0.15</v>
      </c>
      <c r="F250" s="1054">
        <v>0.14399999999999999</v>
      </c>
    </row>
    <row r="251" spans="1:6" ht="14.25" thickBot="1">
      <c r="A251" s="830" t="s">
        <v>530</v>
      </c>
      <c r="B251" s="824" t="s">
        <v>255</v>
      </c>
      <c r="C251" s="1053">
        <v>0.15</v>
      </c>
      <c r="D251" s="1053">
        <v>0.15</v>
      </c>
      <c r="E251" s="1053">
        <v>0.15</v>
      </c>
      <c r="F251" s="1054">
        <v>0.14299999999999999</v>
      </c>
    </row>
    <row r="252" spans="1:6" ht="14.25" thickBot="1">
      <c r="A252" s="830" t="s">
        <v>530</v>
      </c>
      <c r="B252" s="824" t="s">
        <v>266</v>
      </c>
      <c r="C252" s="1053">
        <v>0.15</v>
      </c>
      <c r="D252" s="1053">
        <v>0.15</v>
      </c>
      <c r="E252" s="1053">
        <v>0.15</v>
      </c>
      <c r="F252" s="1054">
        <v>0.1</v>
      </c>
    </row>
    <row r="253" spans="1:6" ht="14.25" thickBot="1">
      <c r="A253" s="830" t="s">
        <v>530</v>
      </c>
      <c r="B253" s="824" t="s">
        <v>278</v>
      </c>
      <c r="C253" s="1053">
        <v>0.15</v>
      </c>
      <c r="D253" s="1053">
        <v>0.15</v>
      </c>
      <c r="E253" s="1053">
        <v>0.15</v>
      </c>
      <c r="F253" s="1054">
        <v>0.1</v>
      </c>
    </row>
    <row r="254" spans="1:6" ht="14.25" thickBot="1">
      <c r="A254" s="830" t="s">
        <v>530</v>
      </c>
      <c r="B254" s="824" t="s">
        <v>288</v>
      </c>
      <c r="C254" s="1066"/>
      <c r="D254" s="1066"/>
      <c r="E254" s="1066"/>
      <c r="F254" s="1054">
        <v>0.15</v>
      </c>
    </row>
    <row r="255" spans="1:6" ht="14.25" thickBot="1">
      <c r="A255" s="830" t="s">
        <v>530</v>
      </c>
      <c r="B255" s="824" t="s">
        <v>298</v>
      </c>
      <c r="C255" s="1066"/>
      <c r="D255" s="1066"/>
      <c r="E255" s="1066"/>
      <c r="F255" s="1054">
        <v>0.14299999999999999</v>
      </c>
    </row>
    <row r="256" spans="1:6" ht="14.25" thickBot="1">
      <c r="A256" s="830" t="s">
        <v>530</v>
      </c>
      <c r="B256" s="824" t="s">
        <v>968</v>
      </c>
      <c r="C256" s="1053">
        <v>0.14599999999999999</v>
      </c>
      <c r="D256" s="1053">
        <v>0.14699999999999999</v>
      </c>
      <c r="E256" s="1053">
        <v>0.15</v>
      </c>
      <c r="F256" s="1054">
        <v>0.13200000000000001</v>
      </c>
    </row>
    <row r="257" spans="1:6" ht="14.25" thickBot="1">
      <c r="A257" s="830" t="s">
        <v>530</v>
      </c>
      <c r="B257" s="824" t="s">
        <v>318</v>
      </c>
      <c r="C257" s="1053">
        <v>0.15</v>
      </c>
      <c r="D257" s="1053">
        <v>0.15</v>
      </c>
      <c r="E257" s="1053">
        <v>0.15</v>
      </c>
      <c r="F257" s="1054">
        <v>0.13900000000000001</v>
      </c>
    </row>
    <row r="258" spans="1:6" ht="14.25" thickBot="1">
      <c r="A258" s="830" t="s">
        <v>530</v>
      </c>
      <c r="B258" s="824" t="s">
        <v>329</v>
      </c>
      <c r="C258" s="1053">
        <v>0.15</v>
      </c>
      <c r="D258" s="1053">
        <v>0.15</v>
      </c>
      <c r="E258" s="1053">
        <v>0.15</v>
      </c>
      <c r="F258" s="1054">
        <v>0.13</v>
      </c>
    </row>
    <row r="259" spans="1:6" ht="14.25" thickBot="1">
      <c r="A259" s="830" t="s">
        <v>530</v>
      </c>
      <c r="B259" s="824" t="s">
        <v>969</v>
      </c>
      <c r="C259" s="1053">
        <v>0.14799999999999999</v>
      </c>
      <c r="D259" s="1053">
        <v>0.14899999999999999</v>
      </c>
      <c r="E259" s="1053">
        <v>0.15</v>
      </c>
      <c r="F259" s="1054">
        <v>0.13700000000000001</v>
      </c>
    </row>
    <row r="260" spans="1:6" ht="14.25" thickBot="1">
      <c r="A260" s="830" t="s">
        <v>530</v>
      </c>
      <c r="B260" s="824" t="s">
        <v>350</v>
      </c>
      <c r="C260" s="1053">
        <v>0.15</v>
      </c>
      <c r="D260" s="1053">
        <v>0.15</v>
      </c>
      <c r="E260" s="1053">
        <v>0.15</v>
      </c>
      <c r="F260" s="1054">
        <v>0.14199999999999999</v>
      </c>
    </row>
    <row r="261" spans="1:6" ht="14.25" thickBot="1">
      <c r="A261" s="830" t="s">
        <v>530</v>
      </c>
      <c r="B261" s="824" t="s">
        <v>360</v>
      </c>
      <c r="C261" s="1053">
        <v>0.15</v>
      </c>
      <c r="D261" s="1053">
        <v>0.15</v>
      </c>
      <c r="E261" s="1053">
        <v>0.14899999999999999</v>
      </c>
      <c r="F261" s="1054">
        <v>0.14799999999999999</v>
      </c>
    </row>
    <row r="262" spans="1:6" ht="14.25" thickBot="1">
      <c r="A262" s="830" t="s">
        <v>530</v>
      </c>
      <c r="B262" s="824" t="s">
        <v>370</v>
      </c>
      <c r="C262" s="1053">
        <v>0.15</v>
      </c>
      <c r="D262" s="1053">
        <v>0.15</v>
      </c>
      <c r="E262" s="1053">
        <v>0.15</v>
      </c>
      <c r="F262" s="1065"/>
    </row>
    <row r="263" spans="1:6" ht="14.25" thickBot="1">
      <c r="A263" s="830" t="s">
        <v>530</v>
      </c>
      <c r="B263" s="824" t="s">
        <v>970</v>
      </c>
      <c r="C263" s="1053">
        <v>0.14899999999999999</v>
      </c>
      <c r="D263" s="1053">
        <v>0.14899999999999999</v>
      </c>
      <c r="E263" s="1053">
        <v>0.15</v>
      </c>
      <c r="F263" s="1054">
        <v>0.13</v>
      </c>
    </row>
    <row r="264" spans="1:6" ht="14.25" thickBot="1">
      <c r="A264" s="830" t="s">
        <v>530</v>
      </c>
      <c r="B264" s="824" t="s">
        <v>389</v>
      </c>
      <c r="C264" s="1053">
        <v>0.14799999999999999</v>
      </c>
      <c r="D264" s="1053">
        <v>0.14699999999999999</v>
      </c>
      <c r="E264" s="1053">
        <v>0.15</v>
      </c>
      <c r="F264" s="1054">
        <v>7.8E-2</v>
      </c>
    </row>
    <row r="265" spans="1:6" ht="14.25" thickBot="1">
      <c r="A265" s="830" t="s">
        <v>530</v>
      </c>
      <c r="B265" s="824" t="s">
        <v>398</v>
      </c>
      <c r="C265" s="1053">
        <v>0.15</v>
      </c>
      <c r="D265" s="1053">
        <v>0.15</v>
      </c>
      <c r="E265" s="1053">
        <v>0.15</v>
      </c>
      <c r="F265" s="1054">
        <v>7.3999999999999996E-2</v>
      </c>
    </row>
    <row r="266" spans="1:6" ht="14.25" thickBot="1">
      <c r="A266" s="830" t="s">
        <v>530</v>
      </c>
      <c r="B266" s="824" t="s">
        <v>406</v>
      </c>
      <c r="C266" s="1053">
        <v>0.14699999999999999</v>
      </c>
      <c r="D266" s="1053">
        <v>0.14699999999999999</v>
      </c>
      <c r="E266" s="1053">
        <v>0.15</v>
      </c>
      <c r="F266" s="1054">
        <v>0.14299999999999999</v>
      </c>
    </row>
    <row r="267" spans="1:6" ht="14.25" thickBot="1">
      <c r="A267" s="830" t="s">
        <v>530</v>
      </c>
      <c r="B267" s="824" t="s">
        <v>413</v>
      </c>
      <c r="C267" s="1053">
        <v>0.14199999999999999</v>
      </c>
      <c r="D267" s="1053">
        <v>0.14299999999999999</v>
      </c>
      <c r="E267" s="1053">
        <v>0.15</v>
      </c>
      <c r="F267" s="1065"/>
    </row>
    <row r="268" spans="1:6" ht="14.25" thickBot="1">
      <c r="A268" s="830" t="s">
        <v>530</v>
      </c>
      <c r="B268" s="824" t="s">
        <v>971</v>
      </c>
      <c r="C268" s="1053">
        <v>0.15</v>
      </c>
      <c r="D268" s="1053">
        <v>0.15</v>
      </c>
      <c r="E268" s="1053">
        <v>0.15</v>
      </c>
      <c r="F268" s="1054">
        <v>0.13</v>
      </c>
    </row>
    <row r="269" spans="1:6" ht="14.25" thickBot="1">
      <c r="A269" s="830" t="s">
        <v>530</v>
      </c>
      <c r="B269" s="824" t="s">
        <v>427</v>
      </c>
      <c r="C269" s="1053">
        <v>0.15</v>
      </c>
      <c r="D269" s="1053">
        <v>0.15</v>
      </c>
      <c r="E269" s="1053">
        <v>0.15</v>
      </c>
      <c r="F269" s="1054">
        <v>0.14299999999999999</v>
      </c>
    </row>
    <row r="270" spans="1:6" ht="14.25" thickBot="1">
      <c r="A270" s="830" t="s">
        <v>530</v>
      </c>
      <c r="B270" s="824" t="s">
        <v>434</v>
      </c>
      <c r="C270" s="1053">
        <v>0.14499999999999999</v>
      </c>
      <c r="D270" s="1053">
        <v>0.14499999999999999</v>
      </c>
      <c r="E270" s="1053">
        <v>0.15</v>
      </c>
      <c r="F270" s="1054">
        <v>0.14699999999999999</v>
      </c>
    </row>
    <row r="271" spans="1:6" ht="14.25" thickBot="1">
      <c r="A271" s="830" t="s">
        <v>530</v>
      </c>
      <c r="B271" s="824" t="s">
        <v>441</v>
      </c>
      <c r="C271" s="1053">
        <v>0.15</v>
      </c>
      <c r="D271" s="1053">
        <v>0.15</v>
      </c>
      <c r="E271" s="1053">
        <v>0.15</v>
      </c>
      <c r="F271" s="1054">
        <v>0.13800000000000001</v>
      </c>
    </row>
    <row r="272" spans="1:6" ht="14.25" thickBot="1">
      <c r="A272" s="830" t="s">
        <v>530</v>
      </c>
      <c r="B272" s="824" t="s">
        <v>448</v>
      </c>
      <c r="C272" s="1066"/>
      <c r="D272" s="1066"/>
      <c r="E272" s="1066"/>
      <c r="F272" s="1054">
        <v>0.14000000000000001</v>
      </c>
    </row>
    <row r="273" spans="1:6" ht="14.25" thickBot="1">
      <c r="A273" s="830" t="s">
        <v>530</v>
      </c>
      <c r="B273" s="824" t="s">
        <v>972</v>
      </c>
      <c r="C273" s="1053">
        <v>0.14199999999999999</v>
      </c>
      <c r="D273" s="1053">
        <v>0.14299999999999999</v>
      </c>
      <c r="E273" s="1053">
        <v>0.15</v>
      </c>
      <c r="F273" s="1054">
        <v>0.1</v>
      </c>
    </row>
    <row r="274" spans="1:6" ht="14.25" thickBot="1">
      <c r="A274" s="830" t="s">
        <v>530</v>
      </c>
      <c r="B274" s="824" t="s">
        <v>973</v>
      </c>
      <c r="C274" s="1053">
        <v>0.14799999999999999</v>
      </c>
      <c r="D274" s="1053">
        <v>0.14799999999999999</v>
      </c>
      <c r="E274" s="1053">
        <v>0.15</v>
      </c>
      <c r="F274" s="1054">
        <v>6.7000000000000004E-2</v>
      </c>
    </row>
    <row r="275" spans="1:6" ht="14.25" thickBot="1">
      <c r="A275" s="830" t="s">
        <v>530</v>
      </c>
      <c r="B275" s="824" t="s">
        <v>974</v>
      </c>
      <c r="C275" s="1053">
        <v>0.15</v>
      </c>
      <c r="D275" s="1053">
        <v>0.15</v>
      </c>
      <c r="E275" s="1053">
        <v>0.15</v>
      </c>
      <c r="F275" s="1054">
        <v>0.15</v>
      </c>
    </row>
    <row r="276" spans="1:6" ht="14.25" thickBot="1">
      <c r="A276" s="830" t="s">
        <v>530</v>
      </c>
      <c r="B276" s="824" t="s">
        <v>975</v>
      </c>
      <c r="C276" s="1053">
        <v>0.14499999999999999</v>
      </c>
      <c r="D276" s="1053">
        <v>0.14299999999999999</v>
      </c>
      <c r="E276" s="1053">
        <v>0.15</v>
      </c>
      <c r="F276" s="1054">
        <v>5.8999999999999997E-2</v>
      </c>
    </row>
    <row r="277" spans="1:6" ht="14.25" thickBot="1">
      <c r="A277" s="830" t="s">
        <v>530</v>
      </c>
      <c r="B277" s="824" t="s">
        <v>976</v>
      </c>
      <c r="C277" s="1053">
        <v>0.15</v>
      </c>
      <c r="D277" s="1053">
        <v>0.15</v>
      </c>
      <c r="E277" s="1053">
        <v>0.15</v>
      </c>
      <c r="F277" s="1054">
        <v>0.121</v>
      </c>
    </row>
    <row r="278" spans="1:6" ht="14.25" thickBot="1">
      <c r="A278" s="830" t="s">
        <v>530</v>
      </c>
      <c r="B278" s="824" t="s">
        <v>977</v>
      </c>
      <c r="C278" s="1053">
        <v>0.15</v>
      </c>
      <c r="D278" s="1053">
        <v>0.15</v>
      </c>
      <c r="E278" s="1053">
        <v>0.15</v>
      </c>
      <c r="F278" s="1054">
        <v>0.13800000000000001</v>
      </c>
    </row>
    <row r="279" spans="1:6" ht="24.75" thickBot="1">
      <c r="A279" s="830" t="s">
        <v>530</v>
      </c>
      <c r="B279" s="824" t="s">
        <v>978</v>
      </c>
      <c r="C279" s="1066"/>
      <c r="D279" s="1066"/>
      <c r="E279" s="1066"/>
      <c r="F279" s="1054">
        <v>0.05</v>
      </c>
    </row>
    <row r="280" spans="1:6" ht="24.75" thickBot="1">
      <c r="A280" s="830" t="s">
        <v>530</v>
      </c>
      <c r="B280" s="824" t="s">
        <v>979</v>
      </c>
      <c r="C280" s="1066"/>
      <c r="D280" s="1066"/>
      <c r="E280" s="1066"/>
      <c r="F280" s="1054">
        <v>0.05</v>
      </c>
    </row>
    <row r="281" spans="1:6" ht="24.75" thickBot="1">
      <c r="A281" s="830" t="s">
        <v>530</v>
      </c>
      <c r="B281" s="824" t="s">
        <v>980</v>
      </c>
      <c r="C281" s="1066"/>
      <c r="D281" s="1066"/>
      <c r="E281" s="1066"/>
      <c r="F281" s="1054">
        <v>0.05</v>
      </c>
    </row>
    <row r="282" spans="1:6" ht="24.75" thickBot="1">
      <c r="A282" s="830" t="s">
        <v>530</v>
      </c>
      <c r="B282" s="824" t="s">
        <v>981</v>
      </c>
      <c r="C282" s="1066"/>
      <c r="D282" s="1066"/>
      <c r="E282" s="1066"/>
      <c r="F282" s="1054">
        <v>0.05</v>
      </c>
    </row>
    <row r="283" spans="1:6" ht="24.75" thickBot="1">
      <c r="A283" s="830" t="s">
        <v>530</v>
      </c>
      <c r="B283" s="824" t="s">
        <v>982</v>
      </c>
      <c r="C283" s="1066"/>
      <c r="D283" s="1066"/>
      <c r="E283" s="1066"/>
      <c r="F283" s="1054">
        <v>0.05</v>
      </c>
    </row>
    <row r="284" spans="1:6" ht="24.75" thickBot="1">
      <c r="A284" s="830" t="s">
        <v>530</v>
      </c>
      <c r="B284" s="824" t="s">
        <v>983</v>
      </c>
      <c r="C284" s="1066"/>
      <c r="D284" s="1066"/>
      <c r="E284" s="1066"/>
      <c r="F284" s="1054">
        <v>0.05</v>
      </c>
    </row>
    <row r="285" spans="1:6" ht="24.75" thickBot="1">
      <c r="A285" s="830" t="s">
        <v>530</v>
      </c>
      <c r="B285" s="824" t="s">
        <v>984</v>
      </c>
      <c r="C285" s="1066"/>
      <c r="D285" s="1066"/>
      <c r="E285" s="1066"/>
      <c r="F285" s="1054">
        <v>0.05</v>
      </c>
    </row>
    <row r="286" spans="1:6" ht="24.75" thickBot="1">
      <c r="A286" s="830" t="s">
        <v>530</v>
      </c>
      <c r="B286" s="824" t="s">
        <v>985</v>
      </c>
      <c r="C286" s="1066"/>
      <c r="D286" s="1066"/>
      <c r="E286" s="1066"/>
      <c r="F286" s="1054">
        <v>0.05</v>
      </c>
    </row>
    <row r="287" spans="1:6" ht="24.75" thickBot="1">
      <c r="A287" s="830" t="s">
        <v>530</v>
      </c>
      <c r="B287" s="824" t="s">
        <v>986</v>
      </c>
      <c r="C287" s="1066"/>
      <c r="D287" s="1066"/>
      <c r="E287" s="1066"/>
      <c r="F287" s="1054">
        <v>0.05</v>
      </c>
    </row>
    <row r="288" spans="1:6" ht="24.75" thickBot="1">
      <c r="A288" s="830" t="s">
        <v>530</v>
      </c>
      <c r="B288" s="824" t="s">
        <v>987</v>
      </c>
      <c r="C288" s="1066"/>
      <c r="D288" s="1066"/>
      <c r="E288" s="1066"/>
      <c r="F288" s="1054">
        <v>0.05</v>
      </c>
    </row>
    <row r="289" spans="1:6" ht="24.75" thickBot="1">
      <c r="A289" s="840" t="s">
        <v>530</v>
      </c>
      <c r="B289" s="836" t="s">
        <v>988</v>
      </c>
      <c r="C289" s="1063"/>
      <c r="D289" s="1063"/>
      <c r="E289" s="1063"/>
      <c r="F289" s="1056">
        <v>0.05</v>
      </c>
    </row>
    <row r="290" spans="1:6" ht="14.25" thickBot="1">
      <c r="A290" s="830" t="s">
        <v>534</v>
      </c>
      <c r="B290" s="831" t="s">
        <v>989</v>
      </c>
      <c r="C290" s="1051">
        <v>0.15</v>
      </c>
      <c r="D290" s="1051">
        <v>0.15</v>
      </c>
      <c r="E290" s="1051">
        <v>0.15</v>
      </c>
      <c r="F290" s="1068"/>
    </row>
    <row r="291" spans="1:6" ht="14.25" thickBot="1">
      <c r="A291" s="830" t="s">
        <v>534</v>
      </c>
      <c r="B291" s="824" t="s">
        <v>196</v>
      </c>
      <c r="C291" s="1053">
        <v>0.15</v>
      </c>
      <c r="D291" s="1053">
        <v>0.15</v>
      </c>
      <c r="E291" s="1053">
        <v>0.15</v>
      </c>
      <c r="F291" s="1065"/>
    </row>
    <row r="292" spans="1:6" ht="14.25" thickBot="1">
      <c r="A292" s="830" t="s">
        <v>534</v>
      </c>
      <c r="B292" s="824" t="s">
        <v>990</v>
      </c>
      <c r="C292" s="1053">
        <v>0.15</v>
      </c>
      <c r="D292" s="1053">
        <v>0.15</v>
      </c>
      <c r="E292" s="1053">
        <v>0.15</v>
      </c>
      <c r="F292" s="1054">
        <v>0.14699999999999999</v>
      </c>
    </row>
    <row r="293" spans="1:6" ht="14.25" thickBot="1">
      <c r="A293" s="830" t="s">
        <v>534</v>
      </c>
      <c r="B293" s="824" t="s">
        <v>991</v>
      </c>
      <c r="C293" s="1066"/>
      <c r="D293" s="1066"/>
      <c r="E293" s="1066"/>
      <c r="F293" s="1054">
        <v>0.1</v>
      </c>
    </row>
    <row r="294" spans="1:6" ht="14.25" thickBot="1">
      <c r="A294" s="830" t="s">
        <v>534</v>
      </c>
      <c r="B294" s="824" t="s">
        <v>992</v>
      </c>
      <c r="C294" s="1053">
        <v>0.15</v>
      </c>
      <c r="D294" s="1053">
        <v>0.15</v>
      </c>
      <c r="E294" s="1053">
        <v>0.15</v>
      </c>
      <c r="F294" s="1054">
        <v>0.15</v>
      </c>
    </row>
    <row r="295" spans="1:6" ht="14.25" thickBot="1">
      <c r="A295" s="830" t="s">
        <v>534</v>
      </c>
      <c r="B295" s="824" t="s">
        <v>234</v>
      </c>
      <c r="C295" s="1053">
        <v>0.15</v>
      </c>
      <c r="D295" s="1053">
        <v>0.15</v>
      </c>
      <c r="E295" s="1053">
        <v>0.15</v>
      </c>
      <c r="F295" s="1054">
        <v>0.15</v>
      </c>
    </row>
    <row r="296" spans="1:6" ht="14.25" thickBot="1">
      <c r="A296" s="830" t="s">
        <v>534</v>
      </c>
      <c r="B296" s="824" t="s">
        <v>993</v>
      </c>
      <c r="C296" s="1053">
        <v>0.15</v>
      </c>
      <c r="D296" s="1053">
        <v>0.15</v>
      </c>
      <c r="E296" s="1053">
        <v>0.15</v>
      </c>
      <c r="F296" s="1054">
        <v>0.15</v>
      </c>
    </row>
    <row r="297" spans="1:6" ht="14.25" thickBot="1">
      <c r="A297" s="830" t="s">
        <v>534</v>
      </c>
      <c r="B297" s="824" t="s">
        <v>994</v>
      </c>
      <c r="C297" s="1053">
        <v>0.14799999999999999</v>
      </c>
      <c r="D297" s="1053">
        <v>0.14899999999999999</v>
      </c>
      <c r="E297" s="1053">
        <v>0.15</v>
      </c>
      <c r="F297" s="1054">
        <v>0.13700000000000001</v>
      </c>
    </row>
    <row r="298" spans="1:6" ht="14.25" thickBot="1">
      <c r="A298" s="830" t="s">
        <v>534</v>
      </c>
      <c r="B298" s="824" t="s">
        <v>267</v>
      </c>
      <c r="C298" s="1053">
        <v>0.13400000000000001</v>
      </c>
      <c r="D298" s="1053">
        <v>0.13400000000000001</v>
      </c>
      <c r="E298" s="1053">
        <v>0.14499999999999999</v>
      </c>
      <c r="F298" s="1054">
        <v>0.14799999999999999</v>
      </c>
    </row>
    <row r="299" spans="1:6" ht="14.25" thickBot="1">
      <c r="A299" s="830" t="s">
        <v>534</v>
      </c>
      <c r="B299" s="824" t="s">
        <v>279</v>
      </c>
      <c r="C299" s="1053">
        <v>0.15</v>
      </c>
      <c r="D299" s="1053">
        <v>0.15</v>
      </c>
      <c r="E299" s="1053">
        <v>0.15</v>
      </c>
      <c r="F299" s="1065"/>
    </row>
    <row r="300" spans="1:6" ht="14.25" thickBot="1">
      <c r="A300" s="830" t="s">
        <v>534</v>
      </c>
      <c r="B300" s="824" t="s">
        <v>995</v>
      </c>
      <c r="C300" s="1053">
        <v>0.15</v>
      </c>
      <c r="D300" s="1053">
        <v>0.15</v>
      </c>
      <c r="E300" s="1053">
        <v>0.15</v>
      </c>
      <c r="F300" s="1054">
        <v>0.15</v>
      </c>
    </row>
    <row r="301" spans="1:6" ht="14.25" thickBot="1">
      <c r="A301" s="830" t="s">
        <v>534</v>
      </c>
      <c r="B301" s="824" t="s">
        <v>299</v>
      </c>
      <c r="C301" s="1053">
        <v>0.15</v>
      </c>
      <c r="D301" s="1053">
        <v>0.15</v>
      </c>
      <c r="E301" s="1053">
        <v>0.15</v>
      </c>
      <c r="F301" s="1065"/>
    </row>
    <row r="302" spans="1:6" ht="14.25" thickBot="1">
      <c r="A302" s="830" t="s">
        <v>534</v>
      </c>
      <c r="B302" s="824" t="s">
        <v>996</v>
      </c>
      <c r="C302" s="1053">
        <v>0.15</v>
      </c>
      <c r="D302" s="1053">
        <v>0.15</v>
      </c>
      <c r="E302" s="1053">
        <v>0.15</v>
      </c>
      <c r="F302" s="1054">
        <v>0.15</v>
      </c>
    </row>
    <row r="303" spans="1:6" ht="14.25" thickBot="1">
      <c r="A303" s="830" t="s">
        <v>534</v>
      </c>
      <c r="B303" s="824" t="s">
        <v>319</v>
      </c>
      <c r="C303" s="1053">
        <v>0.15</v>
      </c>
      <c r="D303" s="1053">
        <v>0.15</v>
      </c>
      <c r="E303" s="1053">
        <v>0.15</v>
      </c>
      <c r="F303" s="1054">
        <v>0.15</v>
      </c>
    </row>
    <row r="304" spans="1:6" ht="14.25" thickBot="1">
      <c r="A304" s="830" t="s">
        <v>534</v>
      </c>
      <c r="B304" s="824" t="s">
        <v>330</v>
      </c>
      <c r="C304" s="1053">
        <v>0.15</v>
      </c>
      <c r="D304" s="1053">
        <v>0.15</v>
      </c>
      <c r="E304" s="1053">
        <v>0.15</v>
      </c>
      <c r="F304" s="1065"/>
    </row>
    <row r="305" spans="1:6" ht="14.25" thickBot="1">
      <c r="A305" s="830" t="s">
        <v>534</v>
      </c>
      <c r="B305" s="824" t="s">
        <v>997</v>
      </c>
      <c r="C305" s="1053">
        <v>0.15</v>
      </c>
      <c r="D305" s="1053">
        <v>0.15</v>
      </c>
      <c r="E305" s="1053">
        <v>0.15</v>
      </c>
      <c r="F305" s="1054">
        <v>0.14000000000000001</v>
      </c>
    </row>
    <row r="306" spans="1:6" ht="14.25" thickBot="1">
      <c r="A306" s="830" t="s">
        <v>534</v>
      </c>
      <c r="B306" s="824" t="s">
        <v>351</v>
      </c>
      <c r="C306" s="1053">
        <v>0.15</v>
      </c>
      <c r="D306" s="1053">
        <v>0.15</v>
      </c>
      <c r="E306" s="1053">
        <v>0.15</v>
      </c>
      <c r="F306" s="1065"/>
    </row>
    <row r="307" spans="1:6" ht="14.25" thickBot="1">
      <c r="A307" s="830" t="s">
        <v>534</v>
      </c>
      <c r="B307" s="824" t="s">
        <v>998</v>
      </c>
      <c r="C307" s="1053">
        <v>0.15</v>
      </c>
      <c r="D307" s="1053">
        <v>0.15</v>
      </c>
      <c r="E307" s="1053">
        <v>0.15</v>
      </c>
      <c r="F307" s="1054">
        <v>0.14299999999999999</v>
      </c>
    </row>
    <row r="308" spans="1:6" ht="14.25" thickBot="1">
      <c r="A308" s="830" t="s">
        <v>534</v>
      </c>
      <c r="B308" s="824" t="s">
        <v>371</v>
      </c>
      <c r="C308" s="1053">
        <v>0.15</v>
      </c>
      <c r="D308" s="1053">
        <v>0.15</v>
      </c>
      <c r="E308" s="1053">
        <v>0.15</v>
      </c>
      <c r="F308" s="1054">
        <v>0.15</v>
      </c>
    </row>
    <row r="309" spans="1:6" ht="14.25" thickBot="1">
      <c r="A309" s="830" t="s">
        <v>534</v>
      </c>
      <c r="B309" s="824" t="s">
        <v>381</v>
      </c>
      <c r="C309" s="1053">
        <v>0.15</v>
      </c>
      <c r="D309" s="1053">
        <v>0.15</v>
      </c>
      <c r="E309" s="1053">
        <v>0.15</v>
      </c>
      <c r="F309" s="1065"/>
    </row>
    <row r="310" spans="1:6" ht="14.25" thickBot="1">
      <c r="A310" s="830" t="s">
        <v>534</v>
      </c>
      <c r="B310" s="824" t="s">
        <v>999</v>
      </c>
      <c r="C310" s="1053">
        <v>0.15</v>
      </c>
      <c r="D310" s="1053">
        <v>0.15</v>
      </c>
      <c r="E310" s="1053">
        <v>0.15</v>
      </c>
      <c r="F310" s="1054">
        <v>0.13700000000000001</v>
      </c>
    </row>
    <row r="311" spans="1:6" ht="14.25" thickBot="1">
      <c r="A311" s="830" t="s">
        <v>534</v>
      </c>
      <c r="B311" s="824" t="s">
        <v>1000</v>
      </c>
      <c r="C311" s="1053">
        <v>0.15</v>
      </c>
      <c r="D311" s="1053">
        <v>0.15</v>
      </c>
      <c r="E311" s="1053">
        <v>0.15</v>
      </c>
      <c r="F311" s="1054">
        <v>0.15</v>
      </c>
    </row>
    <row r="312" spans="1:6" ht="14.25" thickBot="1">
      <c r="A312" s="830" t="s">
        <v>534</v>
      </c>
      <c r="B312" s="824" t="s">
        <v>407</v>
      </c>
      <c r="C312" s="1053">
        <v>0.15</v>
      </c>
      <c r="D312" s="1053">
        <v>0.15</v>
      </c>
      <c r="E312" s="1053">
        <v>0.15</v>
      </c>
      <c r="F312" s="1054">
        <v>0.1</v>
      </c>
    </row>
    <row r="313" spans="1:6" ht="14.25" thickBot="1">
      <c r="A313" s="830" t="s">
        <v>534</v>
      </c>
      <c r="B313" s="824" t="s">
        <v>1001</v>
      </c>
      <c r="C313" s="1053">
        <v>0.15</v>
      </c>
      <c r="D313" s="1053">
        <v>0.15</v>
      </c>
      <c r="E313" s="1053">
        <v>0.15</v>
      </c>
      <c r="F313" s="1054">
        <v>0.15</v>
      </c>
    </row>
    <row r="314" spans="1:6" ht="24.75" thickBot="1">
      <c r="A314" s="830" t="s">
        <v>534</v>
      </c>
      <c r="B314" s="824" t="s">
        <v>1002</v>
      </c>
      <c r="C314" s="1066"/>
      <c r="D314" s="1066"/>
      <c r="E314" s="1066"/>
      <c r="F314" s="1054">
        <v>0.05</v>
      </c>
    </row>
    <row r="315" spans="1:6" ht="24.75" thickBot="1">
      <c r="A315" s="830" t="s">
        <v>534</v>
      </c>
      <c r="B315" s="824" t="s">
        <v>1003</v>
      </c>
      <c r="C315" s="1066"/>
      <c r="D315" s="1066"/>
      <c r="E315" s="1066"/>
      <c r="F315" s="1054">
        <v>0.05</v>
      </c>
    </row>
    <row r="316" spans="1:6" ht="24.75" thickBot="1">
      <c r="A316" s="840" t="s">
        <v>534</v>
      </c>
      <c r="B316" s="836" t="s">
        <v>1004</v>
      </c>
      <c r="C316" s="1063"/>
      <c r="D316" s="1063"/>
      <c r="E316" s="1063"/>
      <c r="F316" s="1056">
        <v>0.05</v>
      </c>
    </row>
    <row r="317" spans="1:6" ht="14.25" thickBot="1">
      <c r="A317" s="830" t="s">
        <v>1005</v>
      </c>
      <c r="B317" s="831" t="s">
        <v>1006</v>
      </c>
      <c r="C317" s="1051">
        <v>0.15</v>
      </c>
      <c r="D317" s="1051">
        <v>0.15</v>
      </c>
      <c r="E317" s="1051">
        <v>0.15</v>
      </c>
      <c r="F317" s="1052">
        <v>0.15</v>
      </c>
    </row>
    <row r="318" spans="1:6" ht="14.25" thickBot="1">
      <c r="A318" s="830" t="s">
        <v>1005</v>
      </c>
      <c r="B318" s="824" t="s">
        <v>1007</v>
      </c>
      <c r="C318" s="1053">
        <v>0.107</v>
      </c>
      <c r="D318" s="1053">
        <v>0.11</v>
      </c>
      <c r="E318" s="1053">
        <v>0.112</v>
      </c>
      <c r="F318" s="1065"/>
    </row>
    <row r="319" spans="1:6" ht="14.25" thickBot="1">
      <c r="A319" s="830" t="s">
        <v>1005</v>
      </c>
      <c r="B319" s="824" t="s">
        <v>1008</v>
      </c>
      <c r="C319" s="1053">
        <v>0.15</v>
      </c>
      <c r="D319" s="1053">
        <v>0.15</v>
      </c>
      <c r="E319" s="1053">
        <v>0.15</v>
      </c>
      <c r="F319" s="1054">
        <v>0.15</v>
      </c>
    </row>
    <row r="320" spans="1:6" ht="14.25" thickBot="1">
      <c r="A320" s="830" t="s">
        <v>1005</v>
      </c>
      <c r="B320" s="824" t="s">
        <v>223</v>
      </c>
      <c r="C320" s="1053">
        <v>0.15</v>
      </c>
      <c r="D320" s="1053">
        <v>0.15</v>
      </c>
      <c r="E320" s="1053">
        <v>0.15</v>
      </c>
      <c r="F320" s="1065"/>
    </row>
    <row r="321" spans="1:6" ht="14.25" thickBot="1">
      <c r="A321" s="830" t="s">
        <v>1005</v>
      </c>
      <c r="B321" s="824" t="s">
        <v>1009</v>
      </c>
      <c r="C321" s="1053">
        <v>0.15</v>
      </c>
      <c r="D321" s="1053">
        <v>0.15</v>
      </c>
      <c r="E321" s="1053">
        <v>0.15</v>
      </c>
      <c r="F321" s="1065"/>
    </row>
    <row r="322" spans="1:6" ht="14.25" thickBot="1">
      <c r="A322" s="830" t="s">
        <v>1005</v>
      </c>
      <c r="B322" s="824" t="s">
        <v>1010</v>
      </c>
      <c r="C322" s="1053">
        <v>0.15</v>
      </c>
      <c r="D322" s="1053">
        <v>0.15</v>
      </c>
      <c r="E322" s="1053">
        <v>0.15</v>
      </c>
      <c r="F322" s="1054">
        <v>0.15</v>
      </c>
    </row>
    <row r="323" spans="1:6" ht="14.25" thickBot="1">
      <c r="A323" s="830" t="s">
        <v>1005</v>
      </c>
      <c r="B323" s="824" t="s">
        <v>1011</v>
      </c>
      <c r="C323" s="1053">
        <v>0.15</v>
      </c>
      <c r="D323" s="1053">
        <v>0.15</v>
      </c>
      <c r="E323" s="1053">
        <v>0.15</v>
      </c>
      <c r="F323" s="1065"/>
    </row>
    <row r="324" spans="1:6" ht="14.25" thickBot="1">
      <c r="A324" s="830" t="s">
        <v>1005</v>
      </c>
      <c r="B324" s="824" t="s">
        <v>1012</v>
      </c>
      <c r="C324" s="1053">
        <v>0.15</v>
      </c>
      <c r="D324" s="1053">
        <v>0.15</v>
      </c>
      <c r="E324" s="1053">
        <v>0.15</v>
      </c>
      <c r="F324" s="1065"/>
    </row>
    <row r="325" spans="1:6" ht="14.25" thickBot="1">
      <c r="A325" s="830" t="s">
        <v>1005</v>
      </c>
      <c r="B325" s="824" t="s">
        <v>1013</v>
      </c>
      <c r="C325" s="1053">
        <v>0.15</v>
      </c>
      <c r="D325" s="1053">
        <v>0.15</v>
      </c>
      <c r="E325" s="1053">
        <v>0.15</v>
      </c>
      <c r="F325" s="1054">
        <v>0.14699999999999999</v>
      </c>
    </row>
    <row r="326" spans="1:6" ht="14.25" thickBot="1">
      <c r="A326" s="830" t="s">
        <v>1005</v>
      </c>
      <c r="B326" s="824" t="s">
        <v>290</v>
      </c>
      <c r="C326" s="1053">
        <v>0.15</v>
      </c>
      <c r="D326" s="1053">
        <v>0.15</v>
      </c>
      <c r="E326" s="1053">
        <v>0.15</v>
      </c>
      <c r="F326" s="1065"/>
    </row>
    <row r="327" spans="1:6" ht="14.25" thickBot="1">
      <c r="A327" s="830" t="s">
        <v>1005</v>
      </c>
      <c r="B327" s="824" t="s">
        <v>1014</v>
      </c>
      <c r="C327" s="1053">
        <v>0.15</v>
      </c>
      <c r="D327" s="1053">
        <v>0.15</v>
      </c>
      <c r="E327" s="1053">
        <v>0.15</v>
      </c>
      <c r="F327" s="1054">
        <v>0.15</v>
      </c>
    </row>
    <row r="328" spans="1:6" ht="14.25" thickBot="1">
      <c r="A328" s="830" t="s">
        <v>1005</v>
      </c>
      <c r="B328" s="824" t="s">
        <v>310</v>
      </c>
      <c r="C328" s="1053">
        <v>0.15</v>
      </c>
      <c r="D328" s="1053">
        <v>0.15</v>
      </c>
      <c r="E328" s="1053">
        <v>0.15</v>
      </c>
      <c r="F328" s="1054">
        <v>0.14099999999999999</v>
      </c>
    </row>
    <row r="329" spans="1:6" ht="14.25" thickBot="1">
      <c r="A329" s="830" t="s">
        <v>1005</v>
      </c>
      <c r="B329" s="824" t="s">
        <v>320</v>
      </c>
      <c r="C329" s="1053">
        <v>0.15</v>
      </c>
      <c r="D329" s="1053">
        <v>0.15</v>
      </c>
      <c r="E329" s="1053">
        <v>0.15</v>
      </c>
      <c r="F329" s="1054">
        <v>0.15</v>
      </c>
    </row>
    <row r="330" spans="1:6" ht="14.25" thickBot="1">
      <c r="A330" s="830" t="s">
        <v>1005</v>
      </c>
      <c r="B330" s="824" t="s">
        <v>331</v>
      </c>
      <c r="C330" s="1053">
        <v>0.15</v>
      </c>
      <c r="D330" s="1053">
        <v>0.15</v>
      </c>
      <c r="E330" s="1053">
        <v>0.15</v>
      </c>
      <c r="F330" s="1065"/>
    </row>
    <row r="331" spans="1:6" ht="14.25" thickBot="1">
      <c r="A331" s="830" t="s">
        <v>1005</v>
      </c>
      <c r="B331" s="824" t="s">
        <v>1015</v>
      </c>
      <c r="C331" s="1053">
        <v>0.15</v>
      </c>
      <c r="D331" s="1053">
        <v>0.15</v>
      </c>
      <c r="E331" s="1053">
        <v>0.15</v>
      </c>
      <c r="F331" s="1054">
        <v>0.15</v>
      </c>
    </row>
    <row r="332" spans="1:6" ht="14.25" thickBot="1">
      <c r="A332" s="830" t="s">
        <v>1005</v>
      </c>
      <c r="B332" s="824" t="s">
        <v>352</v>
      </c>
      <c r="C332" s="1053">
        <v>0.15</v>
      </c>
      <c r="D332" s="1053">
        <v>0.15</v>
      </c>
      <c r="E332" s="1053">
        <v>0.15</v>
      </c>
      <c r="F332" s="1054">
        <v>0.15</v>
      </c>
    </row>
    <row r="333" spans="1:6" ht="14.25" thickBot="1">
      <c r="A333" s="830" t="s">
        <v>1005</v>
      </c>
      <c r="B333" s="824" t="s">
        <v>1016</v>
      </c>
      <c r="C333" s="1053">
        <v>0.15</v>
      </c>
      <c r="D333" s="1053">
        <v>0.15</v>
      </c>
      <c r="E333" s="1053">
        <v>0.15</v>
      </c>
      <c r="F333" s="1054">
        <v>0.14099999999999999</v>
      </c>
    </row>
    <row r="334" spans="1:6" ht="14.25" thickBot="1">
      <c r="A334" s="830" t="s">
        <v>1005</v>
      </c>
      <c r="B334" s="824" t="s">
        <v>372</v>
      </c>
      <c r="C334" s="1053">
        <v>0.15</v>
      </c>
      <c r="D334" s="1053">
        <v>0.15</v>
      </c>
      <c r="E334" s="1053">
        <v>0.15</v>
      </c>
      <c r="F334" s="1054">
        <v>0.15</v>
      </c>
    </row>
    <row r="335" spans="1:6" ht="14.25" thickBot="1">
      <c r="A335" s="830" t="s">
        <v>1005</v>
      </c>
      <c r="B335" s="824" t="s">
        <v>382</v>
      </c>
      <c r="C335" s="1053">
        <v>0.15</v>
      </c>
      <c r="D335" s="1053">
        <v>0.15</v>
      </c>
      <c r="E335" s="1053">
        <v>0.15</v>
      </c>
      <c r="F335" s="1065"/>
    </row>
    <row r="336" spans="1:6" ht="14.25" thickBot="1">
      <c r="A336" s="830" t="s">
        <v>1005</v>
      </c>
      <c r="B336" s="824" t="s">
        <v>1017</v>
      </c>
      <c r="C336" s="1053">
        <v>0.15</v>
      </c>
      <c r="D336" s="1053">
        <v>0.15</v>
      </c>
      <c r="E336" s="1053">
        <v>0.15</v>
      </c>
      <c r="F336" s="1054">
        <v>0.11799999999999999</v>
      </c>
    </row>
    <row r="337" spans="1:6" ht="14.25" thickBot="1">
      <c r="A337" s="840" t="s">
        <v>1005</v>
      </c>
      <c r="B337" s="836" t="s">
        <v>400</v>
      </c>
      <c r="C337" s="1063"/>
      <c r="D337" s="1063"/>
      <c r="E337" s="1063"/>
      <c r="F337" s="1056">
        <v>0.14299999999999999</v>
      </c>
    </row>
    <row r="338" spans="1:6" ht="14.25" thickBot="1">
      <c r="A338" s="830" t="s">
        <v>1018</v>
      </c>
      <c r="B338" s="831" t="s">
        <v>1019</v>
      </c>
      <c r="C338" s="1051">
        <v>0.15</v>
      </c>
      <c r="D338" s="1051">
        <v>0.15</v>
      </c>
      <c r="E338" s="1051">
        <v>0.15</v>
      </c>
      <c r="F338" s="1068"/>
    </row>
    <row r="339" spans="1:6" ht="14.25" thickBot="1">
      <c r="A339" s="830" t="s">
        <v>1018</v>
      </c>
      <c r="B339" s="824" t="s">
        <v>1020</v>
      </c>
      <c r="C339" s="1053">
        <v>0.15</v>
      </c>
      <c r="D339" s="1053">
        <v>0.15</v>
      </c>
      <c r="E339" s="1053">
        <v>0.15</v>
      </c>
      <c r="F339" s="1065"/>
    </row>
    <row r="340" spans="1:6" ht="14.25" thickBot="1">
      <c r="A340" s="830" t="s">
        <v>1018</v>
      </c>
      <c r="B340" s="824" t="s">
        <v>1021</v>
      </c>
      <c r="C340" s="1053">
        <v>0.15</v>
      </c>
      <c r="D340" s="1053">
        <v>0.15</v>
      </c>
      <c r="E340" s="1053">
        <v>0.15</v>
      </c>
      <c r="F340" s="1065"/>
    </row>
    <row r="341" spans="1:6" ht="14.25" thickBot="1">
      <c r="A341" s="830" t="s">
        <v>1018</v>
      </c>
      <c r="B341" s="824" t="s">
        <v>1022</v>
      </c>
      <c r="C341" s="1053">
        <v>0.15</v>
      </c>
      <c r="D341" s="1053">
        <v>0.15</v>
      </c>
      <c r="E341" s="1053">
        <v>0.15</v>
      </c>
      <c r="F341" s="1054">
        <v>0.15</v>
      </c>
    </row>
    <row r="342" spans="1:6" ht="14.25" thickBot="1">
      <c r="A342" s="830" t="s">
        <v>1018</v>
      </c>
      <c r="B342" s="824" t="s">
        <v>1023</v>
      </c>
      <c r="C342" s="1053">
        <v>0.15</v>
      </c>
      <c r="D342" s="1053">
        <v>0.15</v>
      </c>
      <c r="E342" s="1053">
        <v>0.15</v>
      </c>
      <c r="F342" s="1054">
        <v>0.15</v>
      </c>
    </row>
    <row r="343" spans="1:6" ht="14.25" thickBot="1">
      <c r="A343" s="830" t="s">
        <v>1018</v>
      </c>
      <c r="B343" s="824" t="s">
        <v>1024</v>
      </c>
      <c r="C343" s="1053">
        <v>0.15</v>
      </c>
      <c r="D343" s="1053">
        <v>0.15</v>
      </c>
      <c r="E343" s="1053">
        <v>0.15</v>
      </c>
      <c r="F343" s="1054">
        <v>0.15</v>
      </c>
    </row>
    <row r="344" spans="1:6" ht="14.25" thickBot="1">
      <c r="A344" s="840" t="s">
        <v>1018</v>
      </c>
      <c r="B344" s="836" t="s">
        <v>1025</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1296</v>
      </c>
      <c r="C1" s="1682">
        <f>项目基本情况!D3</f>
        <v>43970</v>
      </c>
      <c r="D1" s="1688" t="s">
        <v>1297</v>
      </c>
      <c r="E1" s="1683">
        <f>'数据-取费表'!B22</f>
        <v>3</v>
      </c>
      <c r="F1" s="1688" t="s">
        <v>1298</v>
      </c>
      <c r="G1" s="1684">
        <f ca="1">INDIRECT("d"&amp;$K$1)/100</f>
        <v>4.7500000000000001E-2</v>
      </c>
      <c r="H1" s="1688" t="s">
        <v>1328</v>
      </c>
      <c r="I1" s="1684">
        <f ca="1">F4/100</f>
        <v>1.4999999999999999E-2</v>
      </c>
      <c r="J1" s="1689">
        <f>IF(C1&gt;C13,0,MATCH(C1,C$13:C$100,-1))+IF(SUMIF(C13:C100,C1,D13:D100)=0,13,12)</f>
        <v>13</v>
      </c>
      <c r="K1" s="1689">
        <f ca="1">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1299</v>
      </c>
      <c r="E2" s="1624"/>
      <c r="F2" s="1624" t="s">
        <v>1300</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1301</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1302</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1303</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1304</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1305</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1306</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1307</v>
      </c>
      <c r="C10" s="1652"/>
      <c r="D10" s="1652"/>
      <c r="E10" s="1652"/>
      <c r="F10" s="1652"/>
      <c r="G10" s="1652"/>
      <c r="H10" s="1652"/>
      <c r="I10" s="1626"/>
      <c r="J10" s="1626"/>
      <c r="K10" s="1652"/>
      <c r="L10" s="1653" t="s">
        <v>1308</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1309</v>
      </c>
      <c r="C11" s="1657" t="s">
        <v>1310</v>
      </c>
      <c r="D11" s="1658" t="s">
        <v>1311</v>
      </c>
      <c r="E11" s="1659"/>
      <c r="F11" s="1658" t="s">
        <v>1312</v>
      </c>
      <c r="G11" s="1660"/>
      <c r="H11" s="1659"/>
      <c r="I11" s="1658" t="s">
        <v>1313</v>
      </c>
      <c r="J11" s="1659"/>
      <c r="K11" s="1655"/>
      <c r="L11" s="1656" t="s">
        <v>1309</v>
      </c>
      <c r="M11" s="1657" t="s">
        <v>1310</v>
      </c>
      <c r="N11" s="1656" t="s">
        <v>1314</v>
      </c>
      <c r="O11" s="1658" t="s">
        <v>1315</v>
      </c>
      <c r="P11" s="1660"/>
      <c r="Q11" s="1660"/>
      <c r="R11" s="1660"/>
      <c r="S11" s="1660"/>
      <c r="T11" s="1659"/>
      <c r="U11" s="1658" t="s">
        <v>1316</v>
      </c>
      <c r="V11" s="1660"/>
      <c r="W11" s="1659"/>
      <c r="X11" s="1656" t="s">
        <v>1317</v>
      </c>
      <c r="Y11" s="1656" t="s">
        <v>1318</v>
      </c>
      <c r="Z11" s="1656" t="s">
        <v>1319</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1320</v>
      </c>
      <c r="E12" s="1665" t="s">
        <v>1321</v>
      </c>
      <c r="F12" s="1665" t="s">
        <v>1322</v>
      </c>
      <c r="G12" s="1665" t="s">
        <v>1323</v>
      </c>
      <c r="H12" s="1665" t="s">
        <v>1305</v>
      </c>
      <c r="I12" s="1666" t="s">
        <v>1324</v>
      </c>
      <c r="J12" s="1666" t="s">
        <v>1324</v>
      </c>
      <c r="K12" s="1662"/>
      <c r="L12" s="1663"/>
      <c r="M12" s="1664"/>
      <c r="N12" s="1663"/>
      <c r="O12" s="1666" t="s">
        <v>1325</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1326</v>
      </c>
      <c r="C13" s="1670">
        <v>42301</v>
      </c>
      <c r="D13" s="1671">
        <v>4.3499999999999996</v>
      </c>
      <c r="E13" s="1671">
        <v>4.3499999999999996</v>
      </c>
      <c r="F13" s="1671">
        <v>4.75</v>
      </c>
      <c r="G13" s="1671">
        <v>4.75</v>
      </c>
      <c r="H13" s="1671">
        <v>4.9000000000000004</v>
      </c>
      <c r="I13" s="1671">
        <v>2.75</v>
      </c>
      <c r="J13" s="1671">
        <v>3.25</v>
      </c>
      <c r="K13" s="1668"/>
      <c r="L13" s="1669" t="s">
        <v>1326</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1327</v>
      </c>
      <c r="Y42" s="1675" t="s">
        <v>1327</v>
      </c>
      <c r="Z42" s="1675" t="s">
        <v>1327</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1327</v>
      </c>
      <c r="Y43" s="1675" t="s">
        <v>1327</v>
      </c>
      <c r="Z43" s="1675" t="s">
        <v>1327</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1327</v>
      </c>
      <c r="Y44" s="1675" t="s">
        <v>1327</v>
      </c>
      <c r="Z44" s="1675" t="s">
        <v>1327</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1327</v>
      </c>
      <c r="Y45" s="1675" t="s">
        <v>1327</v>
      </c>
      <c r="Z45" s="1675" t="s">
        <v>1327</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1327</v>
      </c>
      <c r="Y46" s="1675" t="s">
        <v>1327</v>
      </c>
      <c r="Z46" s="1675" t="s">
        <v>1327</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1327</v>
      </c>
      <c r="Y47" s="1675" t="s">
        <v>1327</v>
      </c>
      <c r="Z47" s="1675" t="s">
        <v>1327</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1327</v>
      </c>
      <c r="Y48" s="1675" t="s">
        <v>1327</v>
      </c>
      <c r="Z48" s="1675" t="s">
        <v>1327</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1327</v>
      </c>
      <c r="Y49" s="1675" t="s">
        <v>1327</v>
      </c>
      <c r="Z49" s="1675" t="s">
        <v>1327</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1327</v>
      </c>
      <c r="Y50" s="1675" t="s">
        <v>1327</v>
      </c>
      <c r="Z50" s="1675" t="s">
        <v>1327</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1327</v>
      </c>
      <c r="V51" s="1675" t="s">
        <v>1327</v>
      </c>
      <c r="W51" s="1675" t="s">
        <v>1327</v>
      </c>
      <c r="X51" s="1675" t="s">
        <v>1327</v>
      </c>
      <c r="Y51" s="1675" t="s">
        <v>1327</v>
      </c>
      <c r="Z51" s="1675" t="s">
        <v>1327</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1327</v>
      </c>
      <c r="J55" s="1675" t="s">
        <v>1327</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9" t="s">
        <v>1368</v>
      </c>
      <c r="E1" s="1763" t="s">
        <v>1372</v>
      </c>
      <c r="F1" s="1764" t="s">
        <v>1376</v>
      </c>
    </row>
    <row r="2" spans="1:13" ht="20.25">
      <c r="A2" s="1770" t="s">
        <v>1369</v>
      </c>
    </row>
    <row r="3" spans="1:13" ht="16.5">
      <c r="A3" s="1771" t="s">
        <v>1370</v>
      </c>
    </row>
    <row r="4" spans="1:13" ht="14.25">
      <c r="A4" s="1761" t="s">
        <v>1371</v>
      </c>
      <c r="B4" s="1766" t="s">
        <v>1373</v>
      </c>
      <c r="C4" s="1767"/>
      <c r="D4" s="1768"/>
      <c r="E4" s="1766" t="s">
        <v>27</v>
      </c>
      <c r="F4" s="1767"/>
      <c r="G4" s="1768"/>
      <c r="H4" s="1766" t="s">
        <v>1374</v>
      </c>
      <c r="I4" s="1767"/>
      <c r="J4" s="1768"/>
      <c r="K4" s="1766" t="s">
        <v>6</v>
      </c>
      <c r="L4" s="1767"/>
      <c r="M4" s="1768"/>
    </row>
    <row r="5" spans="1:13" ht="14.25">
      <c r="A5" s="1762" t="s">
        <v>1375</v>
      </c>
      <c r="B5" s="1761" t="s">
        <v>1377</v>
      </c>
      <c r="C5" s="1761" t="s">
        <v>1378</v>
      </c>
      <c r="D5" s="1761" t="s">
        <v>1379</v>
      </c>
      <c r="E5" s="1761" t="s">
        <v>1377</v>
      </c>
      <c r="F5" s="1761" t="s">
        <v>1378</v>
      </c>
      <c r="G5" s="1761" t="s">
        <v>1379</v>
      </c>
      <c r="H5" s="1761" t="s">
        <v>1377</v>
      </c>
      <c r="I5" s="1761" t="s">
        <v>1378</v>
      </c>
      <c r="J5" s="1761" t="s">
        <v>1379</v>
      </c>
      <c r="K5" s="1761" t="s">
        <v>1377</v>
      </c>
      <c r="L5" s="1761" t="s">
        <v>1378</v>
      </c>
      <c r="M5" s="1761" t="s">
        <v>1379</v>
      </c>
    </row>
    <row r="6" spans="1:13" ht="14.25">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ht="14.25">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ht="14.25">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ht="14.25">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ht="14.25">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ht="14.25">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ht="14.25">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ht="14.25">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ht="14.25">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ht="14.25">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ht="14.25">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ht="14.25">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96"/>
  <sheetViews>
    <sheetView topLeftCell="A472" zoomScale="80" zoomScaleNormal="80" workbookViewId="0">
      <selection activeCell="D482" sqref="D482"/>
    </sheetView>
  </sheetViews>
  <sheetFormatPr defaultColWidth="9" defaultRowHeight="13.5"/>
  <cols>
    <col min="1" max="2" width="9" style="2953"/>
    <col min="3" max="4" width="9.5" style="2953" bestFit="1" customWidth="1"/>
    <col min="5" max="10" width="9" style="2953"/>
    <col min="11" max="11" width="9" style="2962"/>
    <col min="12" max="21" width="9" style="2953"/>
    <col min="22" max="22" width="11.5" style="2953" customWidth="1"/>
    <col min="23" max="16384" width="9" style="2953"/>
  </cols>
  <sheetData>
    <row r="1" spans="1:32" ht="22.5">
      <c r="A1" s="2952" t="s">
        <v>3250</v>
      </c>
      <c r="B1" s="2952" t="s">
        <v>3251</v>
      </c>
      <c r="C1" s="2952" t="s">
        <v>3252</v>
      </c>
      <c r="D1" s="2952" t="s">
        <v>3253</v>
      </c>
      <c r="E1" s="2952" t="s">
        <v>3254</v>
      </c>
      <c r="F1" s="2952" t="s">
        <v>3255</v>
      </c>
      <c r="G1" s="2952" t="s">
        <v>3256</v>
      </c>
      <c r="H1" s="2952" t="s">
        <v>3257</v>
      </c>
      <c r="I1" s="2952" t="s">
        <v>3258</v>
      </c>
      <c r="J1" s="2952" t="s">
        <v>3259</v>
      </c>
      <c r="K1" s="2963" t="s">
        <v>3260</v>
      </c>
      <c r="L1" s="2952" t="s">
        <v>3261</v>
      </c>
      <c r="M1" s="2952" t="s">
        <v>3262</v>
      </c>
      <c r="N1" s="2952" t="s">
        <v>3263</v>
      </c>
      <c r="O1" s="2952" t="s">
        <v>3264</v>
      </c>
      <c r="P1" s="2952" t="s">
        <v>3265</v>
      </c>
      <c r="Q1" s="2952" t="s">
        <v>3266</v>
      </c>
      <c r="R1" s="2952" t="s">
        <v>3267</v>
      </c>
      <c r="S1" s="2952" t="s">
        <v>3268</v>
      </c>
      <c r="T1" s="2952" t="s">
        <v>3269</v>
      </c>
      <c r="U1" s="2952" t="s">
        <v>3270</v>
      </c>
      <c r="V1" s="2952" t="s">
        <v>3271</v>
      </c>
      <c r="W1" s="2952" t="s">
        <v>3272</v>
      </c>
      <c r="X1" s="2952" t="s">
        <v>3273</v>
      </c>
      <c r="Y1" s="2952" t="s">
        <v>3274</v>
      </c>
      <c r="Z1" s="2952" t="s">
        <v>3275</v>
      </c>
      <c r="AA1" s="2952" t="s">
        <v>3276</v>
      </c>
      <c r="AB1" s="2952" t="s">
        <v>3277</v>
      </c>
      <c r="AC1" s="2952" t="s">
        <v>3105</v>
      </c>
      <c r="AD1" s="2952" t="s">
        <v>3278</v>
      </c>
      <c r="AE1" s="2952" t="s">
        <v>3279</v>
      </c>
      <c r="AF1" s="2952" t="s">
        <v>3280</v>
      </c>
    </row>
    <row r="2" spans="1:32" ht="67.5">
      <c r="A2" s="2954">
        <v>4326</v>
      </c>
      <c r="B2" s="2954" t="s">
        <v>3281</v>
      </c>
      <c r="C2" s="2954" t="s">
        <v>3282</v>
      </c>
      <c r="D2" s="2954" t="s">
        <v>3283</v>
      </c>
      <c r="E2" s="2954" t="s">
        <v>3284</v>
      </c>
      <c r="F2" s="2954" t="s">
        <v>3285</v>
      </c>
      <c r="G2" s="2954" t="s">
        <v>3286</v>
      </c>
      <c r="H2" s="2955">
        <v>1565971</v>
      </c>
      <c r="I2" s="2955">
        <v>10611</v>
      </c>
      <c r="J2" s="2955">
        <v>14835</v>
      </c>
      <c r="K2" s="2959">
        <v>147.58000000000001</v>
      </c>
      <c r="L2" s="2955">
        <v>105.56</v>
      </c>
      <c r="M2" s="2954" t="s">
        <v>3233</v>
      </c>
      <c r="N2" s="2954" t="s">
        <v>3287</v>
      </c>
      <c r="O2" s="2954" t="s">
        <v>3288</v>
      </c>
      <c r="P2" s="2954" t="s">
        <v>3289</v>
      </c>
      <c r="Q2" s="2954" t="s">
        <v>3290</v>
      </c>
      <c r="R2" s="2954" t="s">
        <v>3291</v>
      </c>
      <c r="S2" s="2954">
        <v>1565971</v>
      </c>
      <c r="T2" s="2954" t="s">
        <v>3233</v>
      </c>
      <c r="U2" s="2954" t="s">
        <v>3244</v>
      </c>
      <c r="V2" s="2956">
        <v>44316</v>
      </c>
      <c r="W2" s="2954" t="s">
        <v>3051</v>
      </c>
      <c r="X2" s="2954" t="s">
        <v>3283</v>
      </c>
      <c r="Y2" s="2954" t="s">
        <v>3283</v>
      </c>
      <c r="Z2" s="2957">
        <v>43220.325266203698</v>
      </c>
      <c r="AA2" s="2954" t="s">
        <v>3292</v>
      </c>
      <c r="AB2" s="2954" t="s">
        <v>3293</v>
      </c>
      <c r="AC2" s="2954" t="s">
        <v>3294</v>
      </c>
      <c r="AD2" s="2954" t="s">
        <v>3295</v>
      </c>
      <c r="AE2" s="2954" t="s">
        <v>3050</v>
      </c>
      <c r="AF2" s="2954" t="s">
        <v>3283</v>
      </c>
    </row>
    <row r="3" spans="1:32" ht="67.5">
      <c r="A3" s="2954">
        <v>4328</v>
      </c>
      <c r="B3" s="2954" t="s">
        <v>3281</v>
      </c>
      <c r="C3" s="2954" t="s">
        <v>3282</v>
      </c>
      <c r="D3" s="2954" t="s">
        <v>3283</v>
      </c>
      <c r="E3" s="2954" t="s">
        <v>3296</v>
      </c>
      <c r="F3" s="2954" t="s">
        <v>3297</v>
      </c>
      <c r="G3" s="2954" t="s">
        <v>3298</v>
      </c>
      <c r="H3" s="2955">
        <v>1709059</v>
      </c>
      <c r="I3" s="2955">
        <v>11631</v>
      </c>
      <c r="J3" s="2955">
        <v>16261</v>
      </c>
      <c r="K3" s="2959">
        <v>146.94</v>
      </c>
      <c r="L3" s="2955">
        <v>105.1</v>
      </c>
      <c r="M3" s="2954" t="s">
        <v>3233</v>
      </c>
      <c r="N3" s="2954" t="s">
        <v>3287</v>
      </c>
      <c r="O3" s="2954" t="s">
        <v>3288</v>
      </c>
      <c r="P3" s="2954" t="s">
        <v>3289</v>
      </c>
      <c r="Q3" s="2954" t="s">
        <v>3290</v>
      </c>
      <c r="R3" s="2954" t="s">
        <v>3291</v>
      </c>
      <c r="S3" s="2954">
        <v>1709059</v>
      </c>
      <c r="T3" s="2954" t="s">
        <v>3233</v>
      </c>
      <c r="U3" s="2954" t="s">
        <v>3299</v>
      </c>
      <c r="V3" s="2956">
        <v>44316</v>
      </c>
      <c r="W3" s="2954" t="s">
        <v>3051</v>
      </c>
      <c r="X3" s="2954" t="s">
        <v>3283</v>
      </c>
      <c r="Y3" s="2954" t="s">
        <v>3283</v>
      </c>
      <c r="Z3" s="2957">
        <v>43220.325266203698</v>
      </c>
      <c r="AA3" s="2954" t="s">
        <v>3292</v>
      </c>
      <c r="AB3" s="2954" t="s">
        <v>3300</v>
      </c>
      <c r="AC3" s="2954" t="s">
        <v>3294</v>
      </c>
      <c r="AD3" s="2954" t="s">
        <v>3295</v>
      </c>
      <c r="AE3" s="2954" t="s">
        <v>3050</v>
      </c>
      <c r="AF3" s="2954" t="s">
        <v>3283</v>
      </c>
    </row>
    <row r="4" spans="1:32" ht="67.5">
      <c r="A4" s="2954">
        <v>4329</v>
      </c>
      <c r="B4" s="2954" t="s">
        <v>3281</v>
      </c>
      <c r="C4" s="2954" t="s">
        <v>3282</v>
      </c>
      <c r="D4" s="2954" t="s">
        <v>3283</v>
      </c>
      <c r="E4" s="2954" t="s">
        <v>3301</v>
      </c>
      <c r="F4" s="2954" t="s">
        <v>3302</v>
      </c>
      <c r="G4" s="2954" t="s">
        <v>3303</v>
      </c>
      <c r="H4" s="2955">
        <v>1709059</v>
      </c>
      <c r="I4" s="2955">
        <v>11631</v>
      </c>
      <c r="J4" s="2955">
        <v>16261</v>
      </c>
      <c r="K4" s="2959">
        <v>146.94</v>
      </c>
      <c r="L4" s="2955">
        <v>105.1</v>
      </c>
      <c r="M4" s="2954" t="s">
        <v>3233</v>
      </c>
      <c r="N4" s="2954" t="s">
        <v>3304</v>
      </c>
      <c r="O4" s="2954" t="s">
        <v>3288</v>
      </c>
      <c r="P4" s="2954" t="s">
        <v>3289</v>
      </c>
      <c r="Q4" s="2954" t="s">
        <v>3290</v>
      </c>
      <c r="R4" s="2954" t="s">
        <v>3291</v>
      </c>
      <c r="S4" s="2954">
        <v>1709059</v>
      </c>
      <c r="T4" s="2954" t="s">
        <v>3233</v>
      </c>
      <c r="U4" s="2954" t="s">
        <v>3299</v>
      </c>
      <c r="V4" s="2956">
        <v>44316</v>
      </c>
      <c r="W4" s="2954" t="s">
        <v>3051</v>
      </c>
      <c r="X4" s="2954" t="s">
        <v>3283</v>
      </c>
      <c r="Y4" s="2954" t="s">
        <v>3283</v>
      </c>
      <c r="Z4" s="2957">
        <v>43220.325266203698</v>
      </c>
      <c r="AA4" s="2954" t="s">
        <v>3292</v>
      </c>
      <c r="AB4" s="2954" t="s">
        <v>3300</v>
      </c>
      <c r="AC4" s="2954" t="s">
        <v>3294</v>
      </c>
      <c r="AD4" s="2954" t="s">
        <v>3295</v>
      </c>
      <c r="AE4" s="2954" t="s">
        <v>3050</v>
      </c>
      <c r="AF4" s="2954" t="s">
        <v>3283</v>
      </c>
    </row>
    <row r="5" spans="1:32" ht="67.5">
      <c r="A5" s="2954">
        <v>4330</v>
      </c>
      <c r="B5" s="2954" t="s">
        <v>3281</v>
      </c>
      <c r="C5" s="2954" t="s">
        <v>3282</v>
      </c>
      <c r="D5" s="2954" t="s">
        <v>3283</v>
      </c>
      <c r="E5" s="2954" t="s">
        <v>3305</v>
      </c>
      <c r="F5" s="2954" t="s">
        <v>3306</v>
      </c>
      <c r="G5" s="2954" t="s">
        <v>3307</v>
      </c>
      <c r="H5" s="2955">
        <v>1711998</v>
      </c>
      <c r="I5" s="2955">
        <v>11651</v>
      </c>
      <c r="J5" s="2955">
        <v>16289</v>
      </c>
      <c r="K5" s="2959">
        <v>146.94</v>
      </c>
      <c r="L5" s="2955">
        <v>105.1</v>
      </c>
      <c r="M5" s="2954" t="s">
        <v>3233</v>
      </c>
      <c r="N5" s="2954" t="s">
        <v>3287</v>
      </c>
      <c r="O5" s="2954" t="s">
        <v>3288</v>
      </c>
      <c r="P5" s="2954" t="s">
        <v>3289</v>
      </c>
      <c r="Q5" s="2954" t="s">
        <v>3290</v>
      </c>
      <c r="R5" s="2954" t="s">
        <v>3291</v>
      </c>
      <c r="S5" s="2954">
        <v>1711998</v>
      </c>
      <c r="T5" s="2954" t="s">
        <v>3233</v>
      </c>
      <c r="U5" s="2954" t="s">
        <v>3299</v>
      </c>
      <c r="V5" s="2956">
        <v>44316</v>
      </c>
      <c r="W5" s="2954" t="s">
        <v>3051</v>
      </c>
      <c r="X5" s="2954" t="s">
        <v>3283</v>
      </c>
      <c r="Y5" s="2954" t="s">
        <v>3283</v>
      </c>
      <c r="Z5" s="2957">
        <v>43220.325266203698</v>
      </c>
      <c r="AA5" s="2954" t="s">
        <v>3292</v>
      </c>
      <c r="AB5" s="2954" t="s">
        <v>3300</v>
      </c>
      <c r="AC5" s="2954" t="s">
        <v>3294</v>
      </c>
      <c r="AD5" s="2954" t="s">
        <v>3295</v>
      </c>
      <c r="AE5" s="2954" t="s">
        <v>3050</v>
      </c>
      <c r="AF5" s="2954" t="s">
        <v>3283</v>
      </c>
    </row>
    <row r="6" spans="1:32" ht="67.5">
      <c r="A6" s="2954">
        <v>4331</v>
      </c>
      <c r="B6" s="2954" t="s">
        <v>3281</v>
      </c>
      <c r="C6" s="2954" t="s">
        <v>3282</v>
      </c>
      <c r="D6" s="2954" t="s">
        <v>3283</v>
      </c>
      <c r="E6" s="2954" t="s">
        <v>3308</v>
      </c>
      <c r="F6" s="2954" t="s">
        <v>3309</v>
      </c>
      <c r="G6" s="2954" t="s">
        <v>3310</v>
      </c>
      <c r="H6" s="2955">
        <v>1711998</v>
      </c>
      <c r="I6" s="2955">
        <v>11651</v>
      </c>
      <c r="J6" s="2955">
        <v>16289</v>
      </c>
      <c r="K6" s="2959">
        <v>146.94</v>
      </c>
      <c r="L6" s="2955">
        <v>105.1</v>
      </c>
      <c r="M6" s="2954" t="s">
        <v>3233</v>
      </c>
      <c r="N6" s="2954" t="s">
        <v>3304</v>
      </c>
      <c r="O6" s="2954" t="s">
        <v>3288</v>
      </c>
      <c r="P6" s="2954" t="s">
        <v>3289</v>
      </c>
      <c r="Q6" s="2954" t="s">
        <v>3290</v>
      </c>
      <c r="R6" s="2954" t="s">
        <v>3291</v>
      </c>
      <c r="S6" s="2954">
        <v>1711998</v>
      </c>
      <c r="T6" s="2954" t="s">
        <v>3233</v>
      </c>
      <c r="U6" s="2954" t="s">
        <v>3299</v>
      </c>
      <c r="V6" s="2956">
        <v>44316</v>
      </c>
      <c r="W6" s="2954" t="s">
        <v>3051</v>
      </c>
      <c r="X6" s="2954" t="s">
        <v>3283</v>
      </c>
      <c r="Y6" s="2954" t="s">
        <v>3283</v>
      </c>
      <c r="Z6" s="2957">
        <v>43220.325266203698</v>
      </c>
      <c r="AA6" s="2954" t="s">
        <v>3292</v>
      </c>
      <c r="AB6" s="2954" t="s">
        <v>3300</v>
      </c>
      <c r="AC6" s="2954" t="s">
        <v>3294</v>
      </c>
      <c r="AD6" s="2954" t="s">
        <v>3295</v>
      </c>
      <c r="AE6" s="2954" t="s">
        <v>3050</v>
      </c>
      <c r="AF6" s="2954" t="s">
        <v>3283</v>
      </c>
    </row>
    <row r="7" spans="1:32" ht="67.5">
      <c r="A7" s="2954">
        <v>4332</v>
      </c>
      <c r="B7" s="2954" t="s">
        <v>3281</v>
      </c>
      <c r="C7" s="2954" t="s">
        <v>3282</v>
      </c>
      <c r="D7" s="2954" t="s">
        <v>3283</v>
      </c>
      <c r="E7" s="2954" t="s">
        <v>3311</v>
      </c>
      <c r="F7" s="2954" t="s">
        <v>3312</v>
      </c>
      <c r="G7" s="2954" t="s">
        <v>3313</v>
      </c>
      <c r="H7" s="2955">
        <v>1714937</v>
      </c>
      <c r="I7" s="2955">
        <v>11671</v>
      </c>
      <c r="J7" s="2955">
        <v>16317</v>
      </c>
      <c r="K7" s="2959">
        <v>146.94</v>
      </c>
      <c r="L7" s="2955">
        <v>105.1</v>
      </c>
      <c r="M7" s="2954" t="s">
        <v>3233</v>
      </c>
      <c r="N7" s="2954" t="s">
        <v>3287</v>
      </c>
      <c r="O7" s="2954" t="s">
        <v>3288</v>
      </c>
      <c r="P7" s="2954" t="s">
        <v>3289</v>
      </c>
      <c r="Q7" s="2954" t="s">
        <v>3290</v>
      </c>
      <c r="R7" s="2954" t="s">
        <v>3291</v>
      </c>
      <c r="S7" s="2954">
        <v>1714937</v>
      </c>
      <c r="T7" s="2954" t="s">
        <v>3233</v>
      </c>
      <c r="U7" s="2954" t="s">
        <v>3299</v>
      </c>
      <c r="V7" s="2956">
        <v>44316</v>
      </c>
      <c r="W7" s="2954" t="s">
        <v>3051</v>
      </c>
      <c r="X7" s="2954" t="s">
        <v>3283</v>
      </c>
      <c r="Y7" s="2954" t="s">
        <v>3283</v>
      </c>
      <c r="Z7" s="2957">
        <v>43220.325266203698</v>
      </c>
      <c r="AA7" s="2954" t="s">
        <v>3292</v>
      </c>
      <c r="AB7" s="2954" t="s">
        <v>3300</v>
      </c>
      <c r="AC7" s="2954" t="s">
        <v>3294</v>
      </c>
      <c r="AD7" s="2954" t="s">
        <v>3295</v>
      </c>
      <c r="AE7" s="2954" t="s">
        <v>3050</v>
      </c>
      <c r="AF7" s="2954" t="s">
        <v>3283</v>
      </c>
    </row>
    <row r="8" spans="1:32" ht="67.5">
      <c r="A8" s="2954">
        <v>4333</v>
      </c>
      <c r="B8" s="2954" t="s">
        <v>3281</v>
      </c>
      <c r="C8" s="2954" t="s">
        <v>3282</v>
      </c>
      <c r="D8" s="2954" t="s">
        <v>3283</v>
      </c>
      <c r="E8" s="2954" t="s">
        <v>3314</v>
      </c>
      <c r="F8" s="2954" t="s">
        <v>3315</v>
      </c>
      <c r="G8" s="2954" t="s">
        <v>3316</v>
      </c>
      <c r="H8" s="2955">
        <v>1714937</v>
      </c>
      <c r="I8" s="2955">
        <v>11671</v>
      </c>
      <c r="J8" s="2955">
        <v>16317</v>
      </c>
      <c r="K8" s="2959">
        <v>146.94</v>
      </c>
      <c r="L8" s="2955">
        <v>105.1</v>
      </c>
      <c r="M8" s="2954" t="s">
        <v>3233</v>
      </c>
      <c r="N8" s="2954" t="s">
        <v>3304</v>
      </c>
      <c r="O8" s="2954" t="s">
        <v>3288</v>
      </c>
      <c r="P8" s="2954" t="s">
        <v>3289</v>
      </c>
      <c r="Q8" s="2954" t="s">
        <v>3290</v>
      </c>
      <c r="R8" s="2954" t="s">
        <v>3291</v>
      </c>
      <c r="S8" s="2954">
        <v>1714937</v>
      </c>
      <c r="T8" s="2954" t="s">
        <v>3233</v>
      </c>
      <c r="U8" s="2954" t="s">
        <v>3299</v>
      </c>
      <c r="V8" s="2956">
        <v>44316</v>
      </c>
      <c r="W8" s="2954" t="s">
        <v>3051</v>
      </c>
      <c r="X8" s="2954" t="s">
        <v>3283</v>
      </c>
      <c r="Y8" s="2954" t="s">
        <v>3283</v>
      </c>
      <c r="Z8" s="2957">
        <v>43220.325266203698</v>
      </c>
      <c r="AA8" s="2954" t="s">
        <v>3292</v>
      </c>
      <c r="AB8" s="2954" t="s">
        <v>3300</v>
      </c>
      <c r="AC8" s="2954" t="s">
        <v>3294</v>
      </c>
      <c r="AD8" s="2954" t="s">
        <v>3295</v>
      </c>
      <c r="AE8" s="2954" t="s">
        <v>3050</v>
      </c>
      <c r="AF8" s="2954" t="s">
        <v>3283</v>
      </c>
    </row>
    <row r="9" spans="1:32" ht="67.5">
      <c r="A9" s="2954">
        <v>4334</v>
      </c>
      <c r="B9" s="2954" t="s">
        <v>3281</v>
      </c>
      <c r="C9" s="2954" t="s">
        <v>3282</v>
      </c>
      <c r="D9" s="2954" t="s">
        <v>3283</v>
      </c>
      <c r="E9" s="2954" t="s">
        <v>3317</v>
      </c>
      <c r="F9" s="2954" t="s">
        <v>3318</v>
      </c>
      <c r="G9" s="2954" t="s">
        <v>3319</v>
      </c>
      <c r="H9" s="2955">
        <v>1717876</v>
      </c>
      <c r="I9" s="2955">
        <v>11691</v>
      </c>
      <c r="J9" s="2955">
        <v>16345</v>
      </c>
      <c r="K9" s="2959">
        <v>146.94</v>
      </c>
      <c r="L9" s="2955">
        <v>105.1</v>
      </c>
      <c r="M9" s="2954" t="s">
        <v>3233</v>
      </c>
      <c r="N9" s="2954" t="s">
        <v>3287</v>
      </c>
      <c r="O9" s="2954" t="s">
        <v>3288</v>
      </c>
      <c r="P9" s="2954" t="s">
        <v>3289</v>
      </c>
      <c r="Q9" s="2954" t="s">
        <v>3290</v>
      </c>
      <c r="R9" s="2954" t="s">
        <v>3291</v>
      </c>
      <c r="S9" s="2954">
        <v>1717876</v>
      </c>
      <c r="T9" s="2954" t="s">
        <v>3233</v>
      </c>
      <c r="U9" s="2954" t="s">
        <v>3299</v>
      </c>
      <c r="V9" s="2956">
        <v>44316</v>
      </c>
      <c r="W9" s="2954" t="s">
        <v>3051</v>
      </c>
      <c r="X9" s="2954" t="s">
        <v>3283</v>
      </c>
      <c r="Y9" s="2954" t="s">
        <v>3283</v>
      </c>
      <c r="Z9" s="2957">
        <v>43220.325266203698</v>
      </c>
      <c r="AA9" s="2954" t="s">
        <v>3292</v>
      </c>
      <c r="AB9" s="2954" t="s">
        <v>3300</v>
      </c>
      <c r="AC9" s="2954" t="s">
        <v>3294</v>
      </c>
      <c r="AD9" s="2954" t="s">
        <v>3295</v>
      </c>
      <c r="AE9" s="2954" t="s">
        <v>3050</v>
      </c>
      <c r="AF9" s="2954" t="s">
        <v>3283</v>
      </c>
    </row>
    <row r="10" spans="1:32" ht="67.5">
      <c r="A10" s="2954">
        <v>4336</v>
      </c>
      <c r="B10" s="2954" t="s">
        <v>3281</v>
      </c>
      <c r="C10" s="2954" t="s">
        <v>3282</v>
      </c>
      <c r="D10" s="2954" t="s">
        <v>3283</v>
      </c>
      <c r="E10" s="2954" t="s">
        <v>3320</v>
      </c>
      <c r="F10" s="2954" t="s">
        <v>3321</v>
      </c>
      <c r="G10" s="2954" t="s">
        <v>3322</v>
      </c>
      <c r="H10" s="2955">
        <v>1720814</v>
      </c>
      <c r="I10" s="2955">
        <v>11711</v>
      </c>
      <c r="J10" s="2955">
        <v>16373</v>
      </c>
      <c r="K10" s="2959">
        <v>146.94</v>
      </c>
      <c r="L10" s="2955">
        <v>105.1</v>
      </c>
      <c r="M10" s="2954" t="s">
        <v>3233</v>
      </c>
      <c r="N10" s="2954" t="s">
        <v>3287</v>
      </c>
      <c r="O10" s="2954" t="s">
        <v>3288</v>
      </c>
      <c r="P10" s="2954" t="s">
        <v>3289</v>
      </c>
      <c r="Q10" s="2954" t="s">
        <v>3290</v>
      </c>
      <c r="R10" s="2954" t="s">
        <v>3291</v>
      </c>
      <c r="S10" s="2954">
        <v>1720814</v>
      </c>
      <c r="T10" s="2954" t="s">
        <v>3233</v>
      </c>
      <c r="U10" s="2954" t="s">
        <v>3299</v>
      </c>
      <c r="V10" s="2956">
        <v>44316</v>
      </c>
      <c r="W10" s="2954" t="s">
        <v>3051</v>
      </c>
      <c r="X10" s="2954" t="s">
        <v>3283</v>
      </c>
      <c r="Y10" s="2954" t="s">
        <v>3283</v>
      </c>
      <c r="Z10" s="2957">
        <v>43220.325266203698</v>
      </c>
      <c r="AA10" s="2954" t="s">
        <v>3292</v>
      </c>
      <c r="AB10" s="2954" t="s">
        <v>3300</v>
      </c>
      <c r="AC10" s="2954" t="s">
        <v>3294</v>
      </c>
      <c r="AD10" s="2954" t="s">
        <v>3295</v>
      </c>
      <c r="AE10" s="2954" t="s">
        <v>3050</v>
      </c>
      <c r="AF10" s="2954" t="s">
        <v>3283</v>
      </c>
    </row>
    <row r="11" spans="1:32" ht="67.5">
      <c r="A11" s="2954">
        <v>4337</v>
      </c>
      <c r="B11" s="2954" t="s">
        <v>3281</v>
      </c>
      <c r="C11" s="2954" t="s">
        <v>3282</v>
      </c>
      <c r="D11" s="2954" t="s">
        <v>3283</v>
      </c>
      <c r="E11" s="2954" t="s">
        <v>3323</v>
      </c>
      <c r="F11" s="2954" t="s">
        <v>3324</v>
      </c>
      <c r="G11" s="2954" t="s">
        <v>3325</v>
      </c>
      <c r="H11" s="2955">
        <v>1720814</v>
      </c>
      <c r="I11" s="2955">
        <v>11711</v>
      </c>
      <c r="J11" s="2955">
        <v>16373</v>
      </c>
      <c r="K11" s="2959">
        <v>146.94</v>
      </c>
      <c r="L11" s="2955">
        <v>105.1</v>
      </c>
      <c r="M11" s="2954" t="s">
        <v>3233</v>
      </c>
      <c r="N11" s="2954" t="s">
        <v>3304</v>
      </c>
      <c r="O11" s="2954" t="s">
        <v>3288</v>
      </c>
      <c r="P11" s="2954" t="s">
        <v>3289</v>
      </c>
      <c r="Q11" s="2954" t="s">
        <v>3290</v>
      </c>
      <c r="R11" s="2954" t="s">
        <v>3291</v>
      </c>
      <c r="S11" s="2954">
        <v>1720814</v>
      </c>
      <c r="T11" s="2954" t="s">
        <v>3233</v>
      </c>
      <c r="U11" s="2954" t="s">
        <v>3299</v>
      </c>
      <c r="V11" s="2956">
        <v>44316</v>
      </c>
      <c r="W11" s="2954" t="s">
        <v>3051</v>
      </c>
      <c r="X11" s="2954" t="s">
        <v>3283</v>
      </c>
      <c r="Y11" s="2954" t="s">
        <v>3283</v>
      </c>
      <c r="Z11" s="2957">
        <v>43220.325266203698</v>
      </c>
      <c r="AA11" s="2954" t="s">
        <v>3292</v>
      </c>
      <c r="AB11" s="2954" t="s">
        <v>3300</v>
      </c>
      <c r="AC11" s="2954" t="s">
        <v>3294</v>
      </c>
      <c r="AD11" s="2954" t="s">
        <v>3295</v>
      </c>
      <c r="AE11" s="2954" t="s">
        <v>3050</v>
      </c>
      <c r="AF11" s="2954" t="s">
        <v>3283</v>
      </c>
    </row>
    <row r="12" spans="1:32" ht="67.5">
      <c r="A12" s="2954">
        <v>4338</v>
      </c>
      <c r="B12" s="2954" t="s">
        <v>3281</v>
      </c>
      <c r="C12" s="2954" t="s">
        <v>3282</v>
      </c>
      <c r="D12" s="2954" t="s">
        <v>3283</v>
      </c>
      <c r="E12" s="2954" t="s">
        <v>3326</v>
      </c>
      <c r="F12" s="2954" t="s">
        <v>3327</v>
      </c>
      <c r="G12" s="2954" t="s">
        <v>3328</v>
      </c>
      <c r="H12" s="2955">
        <v>1723753</v>
      </c>
      <c r="I12" s="2955">
        <v>11731</v>
      </c>
      <c r="J12" s="2955">
        <v>16401</v>
      </c>
      <c r="K12" s="2959">
        <v>146.94</v>
      </c>
      <c r="L12" s="2955">
        <v>105.1</v>
      </c>
      <c r="M12" s="2954" t="s">
        <v>3233</v>
      </c>
      <c r="N12" s="2954" t="s">
        <v>3287</v>
      </c>
      <c r="O12" s="2954" t="s">
        <v>3288</v>
      </c>
      <c r="P12" s="2954" t="s">
        <v>3289</v>
      </c>
      <c r="Q12" s="2954" t="s">
        <v>3290</v>
      </c>
      <c r="R12" s="2954" t="s">
        <v>3291</v>
      </c>
      <c r="S12" s="2954">
        <v>1723753</v>
      </c>
      <c r="T12" s="2954" t="s">
        <v>3233</v>
      </c>
      <c r="U12" s="2954" t="s">
        <v>3299</v>
      </c>
      <c r="V12" s="2956">
        <v>44316</v>
      </c>
      <c r="W12" s="2954" t="s">
        <v>3051</v>
      </c>
      <c r="X12" s="2954" t="s">
        <v>3283</v>
      </c>
      <c r="Y12" s="2954" t="s">
        <v>3283</v>
      </c>
      <c r="Z12" s="2957">
        <v>43220.325266203698</v>
      </c>
      <c r="AA12" s="2954" t="s">
        <v>3292</v>
      </c>
      <c r="AB12" s="2954" t="s">
        <v>3300</v>
      </c>
      <c r="AC12" s="2954" t="s">
        <v>3294</v>
      </c>
      <c r="AD12" s="2954" t="s">
        <v>3295</v>
      </c>
      <c r="AE12" s="2954" t="s">
        <v>3050</v>
      </c>
      <c r="AF12" s="2954" t="s">
        <v>3283</v>
      </c>
    </row>
    <row r="13" spans="1:32" ht="67.5">
      <c r="A13" s="2954">
        <v>4340</v>
      </c>
      <c r="B13" s="2954" t="s">
        <v>3281</v>
      </c>
      <c r="C13" s="2954" t="s">
        <v>3282</v>
      </c>
      <c r="D13" s="2954" t="s">
        <v>3283</v>
      </c>
      <c r="E13" s="2954" t="s">
        <v>3329</v>
      </c>
      <c r="F13" s="2954" t="s">
        <v>3330</v>
      </c>
      <c r="G13" s="2954" t="s">
        <v>3331</v>
      </c>
      <c r="H13" s="2955">
        <v>1726692</v>
      </c>
      <c r="I13" s="2955">
        <v>11751</v>
      </c>
      <c r="J13" s="2955">
        <v>16429</v>
      </c>
      <c r="K13" s="2959">
        <v>146.94</v>
      </c>
      <c r="L13" s="2955">
        <v>105.1</v>
      </c>
      <c r="M13" s="2954" t="s">
        <v>3233</v>
      </c>
      <c r="N13" s="2954" t="s">
        <v>3287</v>
      </c>
      <c r="O13" s="2954" t="s">
        <v>3288</v>
      </c>
      <c r="P13" s="2954" t="s">
        <v>3289</v>
      </c>
      <c r="Q13" s="2954" t="s">
        <v>3290</v>
      </c>
      <c r="R13" s="2954" t="s">
        <v>3291</v>
      </c>
      <c r="S13" s="2954">
        <v>1726692</v>
      </c>
      <c r="T13" s="2954" t="s">
        <v>3233</v>
      </c>
      <c r="U13" s="2954" t="s">
        <v>3299</v>
      </c>
      <c r="V13" s="2956">
        <v>44316</v>
      </c>
      <c r="W13" s="2954" t="s">
        <v>3051</v>
      </c>
      <c r="X13" s="2954" t="s">
        <v>3283</v>
      </c>
      <c r="Y13" s="2954" t="s">
        <v>3283</v>
      </c>
      <c r="Z13" s="2957">
        <v>43220.325266203698</v>
      </c>
      <c r="AA13" s="2954" t="s">
        <v>3292</v>
      </c>
      <c r="AB13" s="2954" t="s">
        <v>3300</v>
      </c>
      <c r="AC13" s="2954" t="s">
        <v>3294</v>
      </c>
      <c r="AD13" s="2954" t="s">
        <v>3295</v>
      </c>
      <c r="AE13" s="2954" t="s">
        <v>3050</v>
      </c>
      <c r="AF13" s="2954" t="s">
        <v>3283</v>
      </c>
    </row>
    <row r="14" spans="1:32" ht="67.5">
      <c r="A14" s="2954">
        <v>4341</v>
      </c>
      <c r="B14" s="2954" t="s">
        <v>3281</v>
      </c>
      <c r="C14" s="2954" t="s">
        <v>3282</v>
      </c>
      <c r="D14" s="2954" t="s">
        <v>3283</v>
      </c>
      <c r="E14" s="2954" t="s">
        <v>3332</v>
      </c>
      <c r="F14" s="2954" t="s">
        <v>3333</v>
      </c>
      <c r="G14" s="2954" t="s">
        <v>3334</v>
      </c>
      <c r="H14" s="2955">
        <v>1726692</v>
      </c>
      <c r="I14" s="2955">
        <v>11751</v>
      </c>
      <c r="J14" s="2955">
        <v>16429</v>
      </c>
      <c r="K14" s="2959">
        <v>146.94</v>
      </c>
      <c r="L14" s="2955">
        <v>105.1</v>
      </c>
      <c r="M14" s="2954" t="s">
        <v>3233</v>
      </c>
      <c r="N14" s="2954" t="s">
        <v>3304</v>
      </c>
      <c r="O14" s="2954" t="s">
        <v>3288</v>
      </c>
      <c r="P14" s="2954" t="s">
        <v>3289</v>
      </c>
      <c r="Q14" s="2954" t="s">
        <v>3290</v>
      </c>
      <c r="R14" s="2954" t="s">
        <v>3291</v>
      </c>
      <c r="S14" s="2954">
        <v>1726692</v>
      </c>
      <c r="T14" s="2954" t="s">
        <v>3233</v>
      </c>
      <c r="U14" s="2954" t="s">
        <v>3299</v>
      </c>
      <c r="V14" s="2956">
        <v>44316</v>
      </c>
      <c r="W14" s="2954" t="s">
        <v>3051</v>
      </c>
      <c r="X14" s="2954" t="s">
        <v>3283</v>
      </c>
      <c r="Y14" s="2954" t="s">
        <v>3283</v>
      </c>
      <c r="Z14" s="2957">
        <v>43220.325266203698</v>
      </c>
      <c r="AA14" s="2954" t="s">
        <v>3292</v>
      </c>
      <c r="AB14" s="2954" t="s">
        <v>3300</v>
      </c>
      <c r="AC14" s="2954" t="s">
        <v>3294</v>
      </c>
      <c r="AD14" s="2954" t="s">
        <v>3295</v>
      </c>
      <c r="AE14" s="2954" t="s">
        <v>3050</v>
      </c>
      <c r="AF14" s="2954" t="s">
        <v>3283</v>
      </c>
    </row>
    <row r="15" spans="1:32" ht="67.5">
      <c r="A15" s="2954">
        <v>4343</v>
      </c>
      <c r="B15" s="2954" t="s">
        <v>3281</v>
      </c>
      <c r="C15" s="2954" t="s">
        <v>3282</v>
      </c>
      <c r="D15" s="2954" t="s">
        <v>3283</v>
      </c>
      <c r="E15" s="2954" t="s">
        <v>3335</v>
      </c>
      <c r="F15" s="2954" t="s">
        <v>3336</v>
      </c>
      <c r="G15" s="2954" t="s">
        <v>3337</v>
      </c>
      <c r="H15" s="2955">
        <v>1729631</v>
      </c>
      <c r="I15" s="2955">
        <v>11771</v>
      </c>
      <c r="J15" s="2955">
        <v>16457</v>
      </c>
      <c r="K15" s="2959">
        <v>146.94</v>
      </c>
      <c r="L15" s="2955">
        <v>105.1</v>
      </c>
      <c r="M15" s="2954" t="s">
        <v>3233</v>
      </c>
      <c r="N15" s="2954" t="s">
        <v>3304</v>
      </c>
      <c r="O15" s="2954" t="s">
        <v>3288</v>
      </c>
      <c r="P15" s="2954" t="s">
        <v>3289</v>
      </c>
      <c r="Q15" s="2954" t="s">
        <v>3290</v>
      </c>
      <c r="R15" s="2954" t="s">
        <v>3291</v>
      </c>
      <c r="S15" s="2954">
        <v>1729631</v>
      </c>
      <c r="T15" s="2954" t="s">
        <v>3233</v>
      </c>
      <c r="U15" s="2954" t="s">
        <v>3299</v>
      </c>
      <c r="V15" s="2956">
        <v>44316</v>
      </c>
      <c r="W15" s="2954" t="s">
        <v>3051</v>
      </c>
      <c r="X15" s="2954" t="s">
        <v>3283</v>
      </c>
      <c r="Y15" s="2954" t="s">
        <v>3283</v>
      </c>
      <c r="Z15" s="2957">
        <v>43220.325266203698</v>
      </c>
      <c r="AA15" s="2954" t="s">
        <v>3292</v>
      </c>
      <c r="AB15" s="2954" t="s">
        <v>3300</v>
      </c>
      <c r="AC15" s="2954" t="s">
        <v>3294</v>
      </c>
      <c r="AD15" s="2954" t="s">
        <v>3295</v>
      </c>
      <c r="AE15" s="2954" t="s">
        <v>3050</v>
      </c>
      <c r="AF15" s="2954" t="s">
        <v>3283</v>
      </c>
    </row>
    <row r="16" spans="1:32" ht="67.5">
      <c r="A16" s="2954">
        <v>4344</v>
      </c>
      <c r="B16" s="2954" t="s">
        <v>3281</v>
      </c>
      <c r="C16" s="2954" t="s">
        <v>3282</v>
      </c>
      <c r="D16" s="2954" t="s">
        <v>3283</v>
      </c>
      <c r="E16" s="2954" t="s">
        <v>3338</v>
      </c>
      <c r="F16" s="2954" t="s">
        <v>3339</v>
      </c>
      <c r="G16" s="2954" t="s">
        <v>3340</v>
      </c>
      <c r="H16" s="2955">
        <v>1732570</v>
      </c>
      <c r="I16" s="2955">
        <v>11791</v>
      </c>
      <c r="J16" s="2955">
        <v>16485</v>
      </c>
      <c r="K16" s="2959">
        <v>146.94</v>
      </c>
      <c r="L16" s="2955">
        <v>105.1</v>
      </c>
      <c r="M16" s="2954" t="s">
        <v>3233</v>
      </c>
      <c r="N16" s="2954" t="s">
        <v>3287</v>
      </c>
      <c r="O16" s="2954" t="s">
        <v>3288</v>
      </c>
      <c r="P16" s="2954" t="s">
        <v>3289</v>
      </c>
      <c r="Q16" s="2954" t="s">
        <v>3290</v>
      </c>
      <c r="R16" s="2954" t="s">
        <v>3291</v>
      </c>
      <c r="S16" s="2954">
        <v>1732570</v>
      </c>
      <c r="T16" s="2954" t="s">
        <v>3233</v>
      </c>
      <c r="U16" s="2954" t="s">
        <v>3299</v>
      </c>
      <c r="V16" s="2956">
        <v>44316</v>
      </c>
      <c r="W16" s="2954" t="s">
        <v>3051</v>
      </c>
      <c r="X16" s="2954" t="s">
        <v>3283</v>
      </c>
      <c r="Y16" s="2954" t="s">
        <v>3283</v>
      </c>
      <c r="Z16" s="2957">
        <v>43220.325266203698</v>
      </c>
      <c r="AA16" s="2954" t="s">
        <v>3292</v>
      </c>
      <c r="AB16" s="2954" t="s">
        <v>3300</v>
      </c>
      <c r="AC16" s="2954" t="s">
        <v>3294</v>
      </c>
      <c r="AD16" s="2954" t="s">
        <v>3295</v>
      </c>
      <c r="AE16" s="2954" t="s">
        <v>3050</v>
      </c>
      <c r="AF16" s="2954" t="s">
        <v>3283</v>
      </c>
    </row>
    <row r="17" spans="1:32" ht="67.5">
      <c r="A17" s="2954">
        <v>4345</v>
      </c>
      <c r="B17" s="2954" t="s">
        <v>3281</v>
      </c>
      <c r="C17" s="2954" t="s">
        <v>3282</v>
      </c>
      <c r="D17" s="2954" t="s">
        <v>3283</v>
      </c>
      <c r="E17" s="2954" t="s">
        <v>3341</v>
      </c>
      <c r="F17" s="2954" t="s">
        <v>3342</v>
      </c>
      <c r="G17" s="2954" t="s">
        <v>3343</v>
      </c>
      <c r="H17" s="2955">
        <v>1732570</v>
      </c>
      <c r="I17" s="2955">
        <v>11791</v>
      </c>
      <c r="J17" s="2955">
        <v>16485</v>
      </c>
      <c r="K17" s="2959">
        <v>146.94</v>
      </c>
      <c r="L17" s="2955">
        <v>105.1</v>
      </c>
      <c r="M17" s="2954" t="s">
        <v>3233</v>
      </c>
      <c r="N17" s="2954" t="s">
        <v>3304</v>
      </c>
      <c r="O17" s="2954" t="s">
        <v>3288</v>
      </c>
      <c r="P17" s="2954" t="s">
        <v>3289</v>
      </c>
      <c r="Q17" s="2954" t="s">
        <v>3290</v>
      </c>
      <c r="R17" s="2954" t="s">
        <v>3291</v>
      </c>
      <c r="S17" s="2954">
        <v>1732570</v>
      </c>
      <c r="T17" s="2954" t="s">
        <v>3233</v>
      </c>
      <c r="U17" s="2954" t="s">
        <v>3299</v>
      </c>
      <c r="V17" s="2956">
        <v>44316</v>
      </c>
      <c r="W17" s="2954" t="s">
        <v>3051</v>
      </c>
      <c r="X17" s="2954" t="s">
        <v>3283</v>
      </c>
      <c r="Y17" s="2954" t="s">
        <v>3283</v>
      </c>
      <c r="Z17" s="2957">
        <v>43220.325266203698</v>
      </c>
      <c r="AA17" s="2954" t="s">
        <v>3292</v>
      </c>
      <c r="AB17" s="2954" t="s">
        <v>3300</v>
      </c>
      <c r="AC17" s="2954" t="s">
        <v>3294</v>
      </c>
      <c r="AD17" s="2954" t="s">
        <v>3295</v>
      </c>
      <c r="AE17" s="2954" t="s">
        <v>3050</v>
      </c>
      <c r="AF17" s="2954" t="s">
        <v>3283</v>
      </c>
    </row>
    <row r="18" spans="1:32" ht="67.5">
      <c r="A18" s="2954">
        <v>4346</v>
      </c>
      <c r="B18" s="2954" t="s">
        <v>3281</v>
      </c>
      <c r="C18" s="2954" t="s">
        <v>3282</v>
      </c>
      <c r="D18" s="2954" t="s">
        <v>3283</v>
      </c>
      <c r="E18" s="2954" t="s">
        <v>3344</v>
      </c>
      <c r="F18" s="2954" t="s">
        <v>3345</v>
      </c>
      <c r="G18" s="2954" t="s">
        <v>3346</v>
      </c>
      <c r="H18" s="2955">
        <v>1735508</v>
      </c>
      <c r="I18" s="2955">
        <v>11811</v>
      </c>
      <c r="J18" s="2955">
        <v>16513</v>
      </c>
      <c r="K18" s="2959">
        <v>146.94</v>
      </c>
      <c r="L18" s="2955">
        <v>105.1</v>
      </c>
      <c r="M18" s="2954" t="s">
        <v>3233</v>
      </c>
      <c r="N18" s="2954" t="s">
        <v>3287</v>
      </c>
      <c r="O18" s="2954" t="s">
        <v>3288</v>
      </c>
      <c r="P18" s="2954" t="s">
        <v>3289</v>
      </c>
      <c r="Q18" s="2954" t="s">
        <v>3290</v>
      </c>
      <c r="R18" s="2954" t="s">
        <v>3291</v>
      </c>
      <c r="S18" s="2954">
        <v>1735508</v>
      </c>
      <c r="T18" s="2954" t="s">
        <v>3233</v>
      </c>
      <c r="U18" s="2954" t="s">
        <v>3299</v>
      </c>
      <c r="V18" s="2956">
        <v>44316</v>
      </c>
      <c r="W18" s="2954" t="s">
        <v>3051</v>
      </c>
      <c r="X18" s="2954" t="s">
        <v>3283</v>
      </c>
      <c r="Y18" s="2954" t="s">
        <v>3283</v>
      </c>
      <c r="Z18" s="2957">
        <v>43220.325266203698</v>
      </c>
      <c r="AA18" s="2954" t="s">
        <v>3292</v>
      </c>
      <c r="AB18" s="2954" t="s">
        <v>3300</v>
      </c>
      <c r="AC18" s="2954" t="s">
        <v>3294</v>
      </c>
      <c r="AD18" s="2954" t="s">
        <v>3295</v>
      </c>
      <c r="AE18" s="2954" t="s">
        <v>3050</v>
      </c>
      <c r="AF18" s="2954" t="s">
        <v>3283</v>
      </c>
    </row>
    <row r="19" spans="1:32" ht="67.5">
      <c r="A19" s="2954">
        <v>4347</v>
      </c>
      <c r="B19" s="2954" t="s">
        <v>3281</v>
      </c>
      <c r="C19" s="2954" t="s">
        <v>3282</v>
      </c>
      <c r="D19" s="2954" t="s">
        <v>3283</v>
      </c>
      <c r="E19" s="2954" t="s">
        <v>3347</v>
      </c>
      <c r="F19" s="2954" t="s">
        <v>3348</v>
      </c>
      <c r="G19" s="2954" t="s">
        <v>3349</v>
      </c>
      <c r="H19" s="2955">
        <v>1735508</v>
      </c>
      <c r="I19" s="2955">
        <v>11811</v>
      </c>
      <c r="J19" s="2955">
        <v>16513</v>
      </c>
      <c r="K19" s="2959">
        <v>146.94</v>
      </c>
      <c r="L19" s="2955">
        <v>105.1</v>
      </c>
      <c r="M19" s="2954" t="s">
        <v>3233</v>
      </c>
      <c r="N19" s="2954" t="s">
        <v>3304</v>
      </c>
      <c r="O19" s="2954" t="s">
        <v>3288</v>
      </c>
      <c r="P19" s="2954" t="s">
        <v>3289</v>
      </c>
      <c r="Q19" s="2954" t="s">
        <v>3290</v>
      </c>
      <c r="R19" s="2954" t="s">
        <v>3291</v>
      </c>
      <c r="S19" s="2954">
        <v>1735508</v>
      </c>
      <c r="T19" s="2954" t="s">
        <v>3233</v>
      </c>
      <c r="U19" s="2954" t="s">
        <v>3299</v>
      </c>
      <c r="V19" s="2956">
        <v>44316</v>
      </c>
      <c r="W19" s="2954" t="s">
        <v>3051</v>
      </c>
      <c r="X19" s="2954" t="s">
        <v>3283</v>
      </c>
      <c r="Y19" s="2954" t="s">
        <v>3283</v>
      </c>
      <c r="Z19" s="2957">
        <v>43220.325266203698</v>
      </c>
      <c r="AA19" s="2954" t="s">
        <v>3292</v>
      </c>
      <c r="AB19" s="2954" t="s">
        <v>3300</v>
      </c>
      <c r="AC19" s="2954" t="s">
        <v>3294</v>
      </c>
      <c r="AD19" s="2954" t="s">
        <v>3295</v>
      </c>
      <c r="AE19" s="2954" t="s">
        <v>3050</v>
      </c>
      <c r="AF19" s="2954" t="s">
        <v>3283</v>
      </c>
    </row>
    <row r="20" spans="1:32" ht="67.5">
      <c r="A20" s="2954">
        <v>4348</v>
      </c>
      <c r="B20" s="2954" t="s">
        <v>3281</v>
      </c>
      <c r="C20" s="2954" t="s">
        <v>3282</v>
      </c>
      <c r="D20" s="2954" t="s">
        <v>3283</v>
      </c>
      <c r="E20" s="2954" t="s">
        <v>3350</v>
      </c>
      <c r="F20" s="2954" t="s">
        <v>3351</v>
      </c>
      <c r="G20" s="2954" t="s">
        <v>3352</v>
      </c>
      <c r="H20" s="2955">
        <v>1738447</v>
      </c>
      <c r="I20" s="2955">
        <v>11831</v>
      </c>
      <c r="J20" s="2955">
        <v>16541</v>
      </c>
      <c r="K20" s="2959">
        <v>146.94</v>
      </c>
      <c r="L20" s="2955">
        <v>105.1</v>
      </c>
      <c r="M20" s="2954" t="s">
        <v>3233</v>
      </c>
      <c r="N20" s="2954" t="s">
        <v>3287</v>
      </c>
      <c r="O20" s="2954" t="s">
        <v>3288</v>
      </c>
      <c r="P20" s="2954" t="s">
        <v>3289</v>
      </c>
      <c r="Q20" s="2954" t="s">
        <v>3290</v>
      </c>
      <c r="R20" s="2954" t="s">
        <v>3291</v>
      </c>
      <c r="S20" s="2954">
        <v>1738447</v>
      </c>
      <c r="T20" s="2954" t="s">
        <v>3233</v>
      </c>
      <c r="U20" s="2954" t="s">
        <v>3299</v>
      </c>
      <c r="V20" s="2956">
        <v>44316</v>
      </c>
      <c r="W20" s="2954" t="s">
        <v>3051</v>
      </c>
      <c r="X20" s="2954" t="s">
        <v>3283</v>
      </c>
      <c r="Y20" s="2954" t="s">
        <v>3283</v>
      </c>
      <c r="Z20" s="2957">
        <v>43220.325266203698</v>
      </c>
      <c r="AA20" s="2954" t="s">
        <v>3292</v>
      </c>
      <c r="AB20" s="2954" t="s">
        <v>3300</v>
      </c>
      <c r="AC20" s="2954" t="s">
        <v>3294</v>
      </c>
      <c r="AD20" s="2954" t="s">
        <v>3295</v>
      </c>
      <c r="AE20" s="2954" t="s">
        <v>3050</v>
      </c>
      <c r="AF20" s="2954" t="s">
        <v>3283</v>
      </c>
    </row>
    <row r="21" spans="1:32" ht="67.5">
      <c r="A21" s="2954">
        <v>4349</v>
      </c>
      <c r="B21" s="2954" t="s">
        <v>3281</v>
      </c>
      <c r="C21" s="2954" t="s">
        <v>3282</v>
      </c>
      <c r="D21" s="2954" t="s">
        <v>3283</v>
      </c>
      <c r="E21" s="2954" t="s">
        <v>3353</v>
      </c>
      <c r="F21" s="2954" t="s">
        <v>3354</v>
      </c>
      <c r="G21" s="2954" t="s">
        <v>3355</v>
      </c>
      <c r="H21" s="2955">
        <v>1738447</v>
      </c>
      <c r="I21" s="2955">
        <v>11831</v>
      </c>
      <c r="J21" s="2955">
        <v>16541</v>
      </c>
      <c r="K21" s="2959">
        <v>146.94</v>
      </c>
      <c r="L21" s="2955">
        <v>105.1</v>
      </c>
      <c r="M21" s="2954" t="s">
        <v>3233</v>
      </c>
      <c r="N21" s="2954" t="s">
        <v>3304</v>
      </c>
      <c r="O21" s="2954" t="s">
        <v>3288</v>
      </c>
      <c r="P21" s="2954" t="s">
        <v>3289</v>
      </c>
      <c r="Q21" s="2954" t="s">
        <v>3290</v>
      </c>
      <c r="R21" s="2954" t="s">
        <v>3291</v>
      </c>
      <c r="S21" s="2954">
        <v>1738447</v>
      </c>
      <c r="T21" s="2954" t="s">
        <v>3233</v>
      </c>
      <c r="U21" s="2954" t="s">
        <v>3299</v>
      </c>
      <c r="V21" s="2956">
        <v>44316</v>
      </c>
      <c r="W21" s="2954" t="s">
        <v>3051</v>
      </c>
      <c r="X21" s="2954" t="s">
        <v>3283</v>
      </c>
      <c r="Y21" s="2954" t="s">
        <v>3283</v>
      </c>
      <c r="Z21" s="2957">
        <v>43220.325266203698</v>
      </c>
      <c r="AA21" s="2954" t="s">
        <v>3292</v>
      </c>
      <c r="AB21" s="2954" t="s">
        <v>3300</v>
      </c>
      <c r="AC21" s="2954" t="s">
        <v>3294</v>
      </c>
      <c r="AD21" s="2954" t="s">
        <v>3295</v>
      </c>
      <c r="AE21" s="2954" t="s">
        <v>3050</v>
      </c>
      <c r="AF21" s="2954" t="s">
        <v>3283</v>
      </c>
    </row>
    <row r="22" spans="1:32" ht="67.5">
      <c r="A22" s="2954">
        <v>4350</v>
      </c>
      <c r="B22" s="2954" t="s">
        <v>3281</v>
      </c>
      <c r="C22" s="2954" t="s">
        <v>3282</v>
      </c>
      <c r="D22" s="2954" t="s">
        <v>3283</v>
      </c>
      <c r="E22" s="2954" t="s">
        <v>3356</v>
      </c>
      <c r="F22" s="2954" t="s">
        <v>3357</v>
      </c>
      <c r="G22" s="2954" t="s">
        <v>3358</v>
      </c>
      <c r="H22" s="2955">
        <v>1741386</v>
      </c>
      <c r="I22" s="2955">
        <v>11851</v>
      </c>
      <c r="J22" s="2955">
        <v>16569</v>
      </c>
      <c r="K22" s="2959">
        <v>146.94</v>
      </c>
      <c r="L22" s="2955">
        <v>105.1</v>
      </c>
      <c r="M22" s="2954" t="s">
        <v>3233</v>
      </c>
      <c r="N22" s="2954" t="s">
        <v>3287</v>
      </c>
      <c r="O22" s="2954" t="s">
        <v>3288</v>
      </c>
      <c r="P22" s="2954" t="s">
        <v>3289</v>
      </c>
      <c r="Q22" s="2954" t="s">
        <v>3290</v>
      </c>
      <c r="R22" s="2954" t="s">
        <v>3291</v>
      </c>
      <c r="S22" s="2954">
        <v>1741386</v>
      </c>
      <c r="T22" s="2954" t="s">
        <v>3233</v>
      </c>
      <c r="U22" s="2954" t="s">
        <v>3299</v>
      </c>
      <c r="V22" s="2956">
        <v>44316</v>
      </c>
      <c r="W22" s="2954" t="s">
        <v>3051</v>
      </c>
      <c r="X22" s="2954" t="s">
        <v>3283</v>
      </c>
      <c r="Y22" s="2954" t="s">
        <v>3283</v>
      </c>
      <c r="Z22" s="2957">
        <v>43220.325266203698</v>
      </c>
      <c r="AA22" s="2954" t="s">
        <v>3292</v>
      </c>
      <c r="AB22" s="2954" t="s">
        <v>3300</v>
      </c>
      <c r="AC22" s="2954" t="s">
        <v>3294</v>
      </c>
      <c r="AD22" s="2954" t="s">
        <v>3295</v>
      </c>
      <c r="AE22" s="2954" t="s">
        <v>3050</v>
      </c>
      <c r="AF22" s="2954" t="s">
        <v>3283</v>
      </c>
    </row>
    <row r="23" spans="1:32" ht="67.5">
      <c r="A23" s="2954">
        <v>4351</v>
      </c>
      <c r="B23" s="2954" t="s">
        <v>3281</v>
      </c>
      <c r="C23" s="2954" t="s">
        <v>3282</v>
      </c>
      <c r="D23" s="2954" t="s">
        <v>3283</v>
      </c>
      <c r="E23" s="2954" t="s">
        <v>3359</v>
      </c>
      <c r="F23" s="2954" t="s">
        <v>3360</v>
      </c>
      <c r="G23" s="2954" t="s">
        <v>3361</v>
      </c>
      <c r="H23" s="2955">
        <v>1741386</v>
      </c>
      <c r="I23" s="2955">
        <v>11851</v>
      </c>
      <c r="J23" s="2955">
        <v>16569</v>
      </c>
      <c r="K23" s="2959">
        <v>146.94</v>
      </c>
      <c r="L23" s="2955">
        <v>105.1</v>
      </c>
      <c r="M23" s="2954" t="s">
        <v>3233</v>
      </c>
      <c r="N23" s="2954" t="s">
        <v>3304</v>
      </c>
      <c r="O23" s="2954" t="s">
        <v>3288</v>
      </c>
      <c r="P23" s="2954" t="s">
        <v>3289</v>
      </c>
      <c r="Q23" s="2954" t="s">
        <v>3290</v>
      </c>
      <c r="R23" s="2954" t="s">
        <v>3291</v>
      </c>
      <c r="S23" s="2954">
        <v>1741386</v>
      </c>
      <c r="T23" s="2954" t="s">
        <v>3233</v>
      </c>
      <c r="U23" s="2954" t="s">
        <v>3299</v>
      </c>
      <c r="V23" s="2956">
        <v>44316</v>
      </c>
      <c r="W23" s="2954" t="s">
        <v>3051</v>
      </c>
      <c r="X23" s="2954" t="s">
        <v>3283</v>
      </c>
      <c r="Y23" s="2954" t="s">
        <v>3283</v>
      </c>
      <c r="Z23" s="2957">
        <v>43220.325266203698</v>
      </c>
      <c r="AA23" s="2954" t="s">
        <v>3292</v>
      </c>
      <c r="AB23" s="2954" t="s">
        <v>3300</v>
      </c>
      <c r="AC23" s="2954" t="s">
        <v>3294</v>
      </c>
      <c r="AD23" s="2954" t="s">
        <v>3295</v>
      </c>
      <c r="AE23" s="2954" t="s">
        <v>3050</v>
      </c>
      <c r="AF23" s="2954" t="s">
        <v>3283</v>
      </c>
    </row>
    <row r="24" spans="1:32" ht="67.5">
      <c r="A24" s="2954">
        <v>4352</v>
      </c>
      <c r="B24" s="2954" t="s">
        <v>3281</v>
      </c>
      <c r="C24" s="2954" t="s">
        <v>3282</v>
      </c>
      <c r="D24" s="2954" t="s">
        <v>3283</v>
      </c>
      <c r="E24" s="2954" t="s">
        <v>3362</v>
      </c>
      <c r="F24" s="2954" t="s">
        <v>3363</v>
      </c>
      <c r="G24" s="2954" t="s">
        <v>3364</v>
      </c>
      <c r="H24" s="2955">
        <v>1744325</v>
      </c>
      <c r="I24" s="2955">
        <v>11871</v>
      </c>
      <c r="J24" s="2955">
        <v>16597</v>
      </c>
      <c r="K24" s="2959">
        <v>146.94</v>
      </c>
      <c r="L24" s="2955">
        <v>105.1</v>
      </c>
      <c r="M24" s="2954" t="s">
        <v>3233</v>
      </c>
      <c r="N24" s="2954" t="s">
        <v>3287</v>
      </c>
      <c r="O24" s="2954" t="s">
        <v>3288</v>
      </c>
      <c r="P24" s="2954" t="s">
        <v>3289</v>
      </c>
      <c r="Q24" s="2954" t="s">
        <v>3290</v>
      </c>
      <c r="R24" s="2954" t="s">
        <v>3291</v>
      </c>
      <c r="S24" s="2954">
        <v>1744325</v>
      </c>
      <c r="T24" s="2954" t="s">
        <v>3233</v>
      </c>
      <c r="U24" s="2954" t="s">
        <v>3299</v>
      </c>
      <c r="V24" s="2956">
        <v>44316</v>
      </c>
      <c r="W24" s="2954" t="s">
        <v>3051</v>
      </c>
      <c r="X24" s="2954" t="s">
        <v>3283</v>
      </c>
      <c r="Y24" s="2954" t="s">
        <v>3283</v>
      </c>
      <c r="Z24" s="2957">
        <v>43220.325266203698</v>
      </c>
      <c r="AA24" s="2954" t="s">
        <v>3292</v>
      </c>
      <c r="AB24" s="2954" t="s">
        <v>3300</v>
      </c>
      <c r="AC24" s="2954" t="s">
        <v>3294</v>
      </c>
      <c r="AD24" s="2954" t="s">
        <v>3295</v>
      </c>
      <c r="AE24" s="2954" t="s">
        <v>3050</v>
      </c>
      <c r="AF24" s="2954" t="s">
        <v>3283</v>
      </c>
    </row>
    <row r="25" spans="1:32" ht="67.5">
      <c r="A25" s="2954">
        <v>4353</v>
      </c>
      <c r="B25" s="2954" t="s">
        <v>3281</v>
      </c>
      <c r="C25" s="2954" t="s">
        <v>3282</v>
      </c>
      <c r="D25" s="2954" t="s">
        <v>3283</v>
      </c>
      <c r="E25" s="2954" t="s">
        <v>3365</v>
      </c>
      <c r="F25" s="2954" t="s">
        <v>3366</v>
      </c>
      <c r="G25" s="2954" t="s">
        <v>3367</v>
      </c>
      <c r="H25" s="2955">
        <v>1744325</v>
      </c>
      <c r="I25" s="2955">
        <v>11871</v>
      </c>
      <c r="J25" s="2955">
        <v>16597</v>
      </c>
      <c r="K25" s="2959">
        <v>146.94</v>
      </c>
      <c r="L25" s="2955">
        <v>105.1</v>
      </c>
      <c r="M25" s="2954" t="s">
        <v>3233</v>
      </c>
      <c r="N25" s="2954" t="s">
        <v>3304</v>
      </c>
      <c r="O25" s="2954" t="s">
        <v>3288</v>
      </c>
      <c r="P25" s="2954" t="s">
        <v>3289</v>
      </c>
      <c r="Q25" s="2954" t="s">
        <v>3290</v>
      </c>
      <c r="R25" s="2954" t="s">
        <v>3291</v>
      </c>
      <c r="S25" s="2954">
        <v>1744325</v>
      </c>
      <c r="T25" s="2954" t="s">
        <v>3233</v>
      </c>
      <c r="U25" s="2954" t="s">
        <v>3299</v>
      </c>
      <c r="V25" s="2956">
        <v>44316</v>
      </c>
      <c r="W25" s="2954" t="s">
        <v>3051</v>
      </c>
      <c r="X25" s="2954" t="s">
        <v>3283</v>
      </c>
      <c r="Y25" s="2954" t="s">
        <v>3283</v>
      </c>
      <c r="Z25" s="2957">
        <v>43220.325266203698</v>
      </c>
      <c r="AA25" s="2954" t="s">
        <v>3292</v>
      </c>
      <c r="AB25" s="2954" t="s">
        <v>3300</v>
      </c>
      <c r="AC25" s="2954" t="s">
        <v>3294</v>
      </c>
      <c r="AD25" s="2954" t="s">
        <v>3295</v>
      </c>
      <c r="AE25" s="2954" t="s">
        <v>3050</v>
      </c>
      <c r="AF25" s="2954" t="s">
        <v>3283</v>
      </c>
    </row>
    <row r="26" spans="1:32" ht="67.5">
      <c r="A26" s="2954">
        <v>4355</v>
      </c>
      <c r="B26" s="2954" t="s">
        <v>3281</v>
      </c>
      <c r="C26" s="2954" t="s">
        <v>3282</v>
      </c>
      <c r="D26" s="2954" t="s">
        <v>3283</v>
      </c>
      <c r="E26" s="2954" t="s">
        <v>3368</v>
      </c>
      <c r="F26" s="2954" t="s">
        <v>3369</v>
      </c>
      <c r="G26" s="2954" t="s">
        <v>3370</v>
      </c>
      <c r="H26" s="2955">
        <v>1747264</v>
      </c>
      <c r="I26" s="2955">
        <v>11891</v>
      </c>
      <c r="J26" s="2955">
        <v>16625</v>
      </c>
      <c r="K26" s="2959">
        <v>146.94</v>
      </c>
      <c r="L26" s="2955">
        <v>105.1</v>
      </c>
      <c r="M26" s="2954" t="s">
        <v>3233</v>
      </c>
      <c r="N26" s="2954" t="s">
        <v>3304</v>
      </c>
      <c r="O26" s="2954" t="s">
        <v>3288</v>
      </c>
      <c r="P26" s="2954" t="s">
        <v>3289</v>
      </c>
      <c r="Q26" s="2954" t="s">
        <v>3290</v>
      </c>
      <c r="R26" s="2954" t="s">
        <v>3291</v>
      </c>
      <c r="S26" s="2954">
        <v>1747264</v>
      </c>
      <c r="T26" s="2954" t="s">
        <v>3233</v>
      </c>
      <c r="U26" s="2954" t="s">
        <v>3299</v>
      </c>
      <c r="V26" s="2956">
        <v>44316</v>
      </c>
      <c r="W26" s="2954" t="s">
        <v>3051</v>
      </c>
      <c r="X26" s="2954" t="s">
        <v>3283</v>
      </c>
      <c r="Y26" s="2954" t="s">
        <v>3283</v>
      </c>
      <c r="Z26" s="2957">
        <v>43220.325266203698</v>
      </c>
      <c r="AA26" s="2954" t="s">
        <v>3292</v>
      </c>
      <c r="AB26" s="2954" t="s">
        <v>3300</v>
      </c>
      <c r="AC26" s="2954" t="s">
        <v>3294</v>
      </c>
      <c r="AD26" s="2954" t="s">
        <v>3295</v>
      </c>
      <c r="AE26" s="2954" t="s">
        <v>3050</v>
      </c>
      <c r="AF26" s="2954" t="s">
        <v>3283</v>
      </c>
    </row>
    <row r="27" spans="1:32" ht="67.5">
      <c r="A27" s="2954">
        <v>4357</v>
      </c>
      <c r="B27" s="2954" t="s">
        <v>3281</v>
      </c>
      <c r="C27" s="2954" t="s">
        <v>3282</v>
      </c>
      <c r="D27" s="2954" t="s">
        <v>3283</v>
      </c>
      <c r="E27" s="2954" t="s">
        <v>3371</v>
      </c>
      <c r="F27" s="2954" t="s">
        <v>4397</v>
      </c>
      <c r="G27" s="2954" t="s">
        <v>3372</v>
      </c>
      <c r="H27" s="2955">
        <v>1750202</v>
      </c>
      <c r="I27" s="2955">
        <v>11911</v>
      </c>
      <c r="J27" s="2955">
        <v>16653</v>
      </c>
      <c r="K27" s="2959">
        <v>146.94</v>
      </c>
      <c r="L27" s="2955">
        <v>105.1</v>
      </c>
      <c r="M27" s="2954" t="s">
        <v>3233</v>
      </c>
      <c r="N27" s="2954" t="s">
        <v>3304</v>
      </c>
      <c r="O27" s="2954" t="s">
        <v>3288</v>
      </c>
      <c r="P27" s="2954" t="s">
        <v>3289</v>
      </c>
      <c r="Q27" s="2954" t="s">
        <v>3290</v>
      </c>
      <c r="R27" s="2954" t="s">
        <v>3291</v>
      </c>
      <c r="S27" s="2954">
        <v>1750202</v>
      </c>
      <c r="T27" s="2954" t="s">
        <v>3233</v>
      </c>
      <c r="U27" s="2954" t="s">
        <v>3299</v>
      </c>
      <c r="V27" s="2956">
        <v>44316</v>
      </c>
      <c r="W27" s="2954" t="s">
        <v>3051</v>
      </c>
      <c r="X27" s="2954" t="s">
        <v>3283</v>
      </c>
      <c r="Y27" s="2954" t="s">
        <v>3283</v>
      </c>
      <c r="Z27" s="2957">
        <v>43220.325266203698</v>
      </c>
      <c r="AA27" s="2954" t="s">
        <v>3292</v>
      </c>
      <c r="AB27" s="2954" t="s">
        <v>3300</v>
      </c>
      <c r="AC27" s="2954" t="s">
        <v>3294</v>
      </c>
      <c r="AD27" s="2954" t="s">
        <v>3295</v>
      </c>
      <c r="AE27" s="2954" t="s">
        <v>3050</v>
      </c>
      <c r="AF27" s="2954" t="s">
        <v>3283</v>
      </c>
    </row>
    <row r="28" spans="1:32" s="2968" customFormat="1">
      <c r="A28" s="2964"/>
      <c r="B28" s="2964"/>
      <c r="C28" s="2964"/>
      <c r="D28" s="2964"/>
      <c r="E28" s="2964"/>
      <c r="F28" s="2964" t="s">
        <v>4398</v>
      </c>
      <c r="G28" s="2964"/>
      <c r="H28" s="2965"/>
      <c r="I28" s="2965"/>
      <c r="J28" s="2965"/>
      <c r="K28" s="2965">
        <f>SUM(K2:K27)</f>
        <v>3821.0800000000008</v>
      </c>
      <c r="L28" s="2965"/>
      <c r="M28" s="2964"/>
      <c r="N28" s="2964"/>
      <c r="O28" s="2964"/>
      <c r="P28" s="2964"/>
      <c r="Q28" s="2964"/>
      <c r="R28" s="2964"/>
      <c r="S28" s="2964"/>
      <c r="T28" s="2964"/>
      <c r="U28" s="2964"/>
      <c r="V28" s="2966"/>
      <c r="W28" s="2964"/>
      <c r="X28" s="2964"/>
      <c r="Y28" s="2964"/>
      <c r="Z28" s="2967"/>
      <c r="AA28" s="2964"/>
      <c r="AB28" s="2964"/>
      <c r="AC28" s="2964" t="str">
        <f>AC27</f>
        <v>'06'</v>
      </c>
      <c r="AD28" s="2964"/>
      <c r="AE28" s="2964"/>
      <c r="AF28" s="2964"/>
    </row>
    <row r="29" spans="1:32" ht="67.5">
      <c r="A29" s="2954">
        <v>4391</v>
      </c>
      <c r="B29" s="2954" t="s">
        <v>3281</v>
      </c>
      <c r="C29" s="2954" t="s">
        <v>3373</v>
      </c>
      <c r="D29" s="2954" t="s">
        <v>3283</v>
      </c>
      <c r="E29" s="2954" t="s">
        <v>3374</v>
      </c>
      <c r="F29" s="2954" t="s">
        <v>3375</v>
      </c>
      <c r="G29" s="2954" t="s">
        <v>3376</v>
      </c>
      <c r="H29" s="2955">
        <v>1565971</v>
      </c>
      <c r="I29" s="2955">
        <v>10611</v>
      </c>
      <c r="J29" s="2955">
        <v>14835</v>
      </c>
      <c r="K29" s="2959">
        <v>147.58000000000001</v>
      </c>
      <c r="L29" s="2955">
        <v>105.56</v>
      </c>
      <c r="M29" s="2954" t="s">
        <v>3233</v>
      </c>
      <c r="N29" s="2954" t="s">
        <v>3304</v>
      </c>
      <c r="O29" s="2954" t="s">
        <v>3288</v>
      </c>
      <c r="P29" s="2954" t="s">
        <v>3289</v>
      </c>
      <c r="Q29" s="2954" t="s">
        <v>3377</v>
      </c>
      <c r="R29" s="2954" t="s">
        <v>3291</v>
      </c>
      <c r="S29" s="2954">
        <v>1565971</v>
      </c>
      <c r="T29" s="2954" t="s">
        <v>3233</v>
      </c>
      <c r="U29" s="2954" t="s">
        <v>3244</v>
      </c>
      <c r="V29" s="2956">
        <v>44316</v>
      </c>
      <c r="W29" s="2954" t="s">
        <v>3051</v>
      </c>
      <c r="X29" s="2954" t="s">
        <v>3283</v>
      </c>
      <c r="Y29" s="2954" t="s">
        <v>3283</v>
      </c>
      <c r="Z29" s="2957">
        <v>43221.2963773148</v>
      </c>
      <c r="AA29" s="2954" t="s">
        <v>3292</v>
      </c>
      <c r="AB29" s="2954" t="s">
        <v>3293</v>
      </c>
      <c r="AC29" s="2954" t="s">
        <v>3294</v>
      </c>
      <c r="AD29" s="2954" t="s">
        <v>3295</v>
      </c>
      <c r="AE29" s="2954" t="s">
        <v>3051</v>
      </c>
      <c r="AF29" s="2954" t="s">
        <v>3283</v>
      </c>
    </row>
    <row r="30" spans="1:32" ht="67.5">
      <c r="A30" s="2954">
        <v>4392</v>
      </c>
      <c r="B30" s="2954" t="s">
        <v>3281</v>
      </c>
      <c r="C30" s="2954" t="s">
        <v>3373</v>
      </c>
      <c r="D30" s="2954" t="s">
        <v>3283</v>
      </c>
      <c r="E30" s="2954" t="s">
        <v>3296</v>
      </c>
      <c r="F30" s="2954" t="s">
        <v>3378</v>
      </c>
      <c r="G30" s="2954" t="s">
        <v>3379</v>
      </c>
      <c r="H30" s="2955">
        <v>1709059</v>
      </c>
      <c r="I30" s="2955">
        <v>11631</v>
      </c>
      <c r="J30" s="2955">
        <v>16261</v>
      </c>
      <c r="K30" s="2959">
        <v>146.94</v>
      </c>
      <c r="L30" s="2955">
        <v>105.1</v>
      </c>
      <c r="M30" s="2954" t="s">
        <v>3233</v>
      </c>
      <c r="N30" s="2954" t="s">
        <v>3287</v>
      </c>
      <c r="O30" s="2954" t="s">
        <v>3288</v>
      </c>
      <c r="P30" s="2954" t="s">
        <v>3289</v>
      </c>
      <c r="Q30" s="2954" t="s">
        <v>3377</v>
      </c>
      <c r="R30" s="2954" t="s">
        <v>3291</v>
      </c>
      <c r="S30" s="2954">
        <v>1709059</v>
      </c>
      <c r="T30" s="2954" t="s">
        <v>3233</v>
      </c>
      <c r="U30" s="2954" t="s">
        <v>3299</v>
      </c>
      <c r="V30" s="2956">
        <v>44316</v>
      </c>
      <c r="W30" s="2954" t="s">
        <v>3051</v>
      </c>
      <c r="X30" s="2954" t="s">
        <v>3283</v>
      </c>
      <c r="Y30" s="2954" t="s">
        <v>3283</v>
      </c>
      <c r="Z30" s="2957">
        <v>43221.2963773148</v>
      </c>
      <c r="AA30" s="2954" t="s">
        <v>3292</v>
      </c>
      <c r="AB30" s="2954" t="s">
        <v>3300</v>
      </c>
      <c r="AC30" s="2954" t="s">
        <v>3294</v>
      </c>
      <c r="AD30" s="2954" t="s">
        <v>3295</v>
      </c>
      <c r="AE30" s="2954" t="s">
        <v>3051</v>
      </c>
      <c r="AF30" s="2954" t="s">
        <v>3283</v>
      </c>
    </row>
    <row r="31" spans="1:32" ht="67.5">
      <c r="A31" s="2954">
        <v>4393</v>
      </c>
      <c r="B31" s="2954" t="s">
        <v>3281</v>
      </c>
      <c r="C31" s="2954" t="s">
        <v>3373</v>
      </c>
      <c r="D31" s="2954" t="s">
        <v>3283</v>
      </c>
      <c r="E31" s="2954" t="s">
        <v>3301</v>
      </c>
      <c r="F31" s="2954" t="s">
        <v>3380</v>
      </c>
      <c r="G31" s="2954" t="s">
        <v>3381</v>
      </c>
      <c r="H31" s="2955">
        <v>1709059</v>
      </c>
      <c r="I31" s="2955">
        <v>11631</v>
      </c>
      <c r="J31" s="2955">
        <v>16261</v>
      </c>
      <c r="K31" s="2959">
        <v>146.94</v>
      </c>
      <c r="L31" s="2955">
        <v>105.1</v>
      </c>
      <c r="M31" s="2954" t="s">
        <v>3233</v>
      </c>
      <c r="N31" s="2954" t="s">
        <v>3304</v>
      </c>
      <c r="O31" s="2954" t="s">
        <v>3288</v>
      </c>
      <c r="P31" s="2954" t="s">
        <v>3289</v>
      </c>
      <c r="Q31" s="2954" t="s">
        <v>3377</v>
      </c>
      <c r="R31" s="2954" t="s">
        <v>3291</v>
      </c>
      <c r="S31" s="2954">
        <v>1709059</v>
      </c>
      <c r="T31" s="2954" t="s">
        <v>3233</v>
      </c>
      <c r="U31" s="2954" t="s">
        <v>3299</v>
      </c>
      <c r="V31" s="2956">
        <v>44316</v>
      </c>
      <c r="W31" s="2954" t="s">
        <v>3051</v>
      </c>
      <c r="X31" s="2954" t="s">
        <v>3283</v>
      </c>
      <c r="Y31" s="2954" t="s">
        <v>3283</v>
      </c>
      <c r="Z31" s="2957">
        <v>43221.2963773148</v>
      </c>
      <c r="AA31" s="2954" t="s">
        <v>3292</v>
      </c>
      <c r="AB31" s="2954" t="s">
        <v>3300</v>
      </c>
      <c r="AC31" s="2954" t="s">
        <v>3294</v>
      </c>
      <c r="AD31" s="2954" t="s">
        <v>3295</v>
      </c>
      <c r="AE31" s="2954" t="s">
        <v>3051</v>
      </c>
      <c r="AF31" s="2954" t="s">
        <v>3283</v>
      </c>
    </row>
    <row r="32" spans="1:32" ht="67.5">
      <c r="A32" s="2954">
        <v>4394</v>
      </c>
      <c r="B32" s="2954" t="s">
        <v>3281</v>
      </c>
      <c r="C32" s="2954" t="s">
        <v>3373</v>
      </c>
      <c r="D32" s="2954" t="s">
        <v>3283</v>
      </c>
      <c r="E32" s="2954" t="s">
        <v>3305</v>
      </c>
      <c r="F32" s="2954" t="s">
        <v>3382</v>
      </c>
      <c r="G32" s="2954" t="s">
        <v>3383</v>
      </c>
      <c r="H32" s="2955">
        <v>1711998</v>
      </c>
      <c r="I32" s="2955">
        <v>11651</v>
      </c>
      <c r="J32" s="2955">
        <v>16289</v>
      </c>
      <c r="K32" s="2959">
        <v>146.94</v>
      </c>
      <c r="L32" s="2955">
        <v>105.1</v>
      </c>
      <c r="M32" s="2954" t="s">
        <v>3233</v>
      </c>
      <c r="N32" s="2954" t="s">
        <v>3287</v>
      </c>
      <c r="O32" s="2954" t="s">
        <v>3288</v>
      </c>
      <c r="P32" s="2954" t="s">
        <v>3289</v>
      </c>
      <c r="Q32" s="2954" t="s">
        <v>3377</v>
      </c>
      <c r="R32" s="2954" t="s">
        <v>3291</v>
      </c>
      <c r="S32" s="2954">
        <v>1711998</v>
      </c>
      <c r="T32" s="2954" t="s">
        <v>3233</v>
      </c>
      <c r="U32" s="2954" t="s">
        <v>3299</v>
      </c>
      <c r="V32" s="2956">
        <v>44316</v>
      </c>
      <c r="W32" s="2954" t="s">
        <v>3051</v>
      </c>
      <c r="X32" s="2954" t="s">
        <v>3283</v>
      </c>
      <c r="Y32" s="2954" t="s">
        <v>3283</v>
      </c>
      <c r="Z32" s="2957">
        <v>43221.2963773148</v>
      </c>
      <c r="AA32" s="2954" t="s">
        <v>3292</v>
      </c>
      <c r="AB32" s="2954" t="s">
        <v>3300</v>
      </c>
      <c r="AC32" s="2954" t="s">
        <v>3294</v>
      </c>
      <c r="AD32" s="2954" t="s">
        <v>3295</v>
      </c>
      <c r="AE32" s="2954" t="s">
        <v>3051</v>
      </c>
      <c r="AF32" s="2954" t="s">
        <v>3283</v>
      </c>
    </row>
    <row r="33" spans="1:32" ht="67.5">
      <c r="A33" s="2954">
        <v>4395</v>
      </c>
      <c r="B33" s="2954" t="s">
        <v>3281</v>
      </c>
      <c r="C33" s="2954" t="s">
        <v>3373</v>
      </c>
      <c r="D33" s="2954" t="s">
        <v>3283</v>
      </c>
      <c r="E33" s="2954" t="s">
        <v>3308</v>
      </c>
      <c r="F33" s="2954" t="s">
        <v>3384</v>
      </c>
      <c r="G33" s="2954" t="s">
        <v>3385</v>
      </c>
      <c r="H33" s="2955">
        <v>1711998</v>
      </c>
      <c r="I33" s="2955">
        <v>11651</v>
      </c>
      <c r="J33" s="2955">
        <v>16289</v>
      </c>
      <c r="K33" s="2959">
        <v>146.94</v>
      </c>
      <c r="L33" s="2955">
        <v>105.1</v>
      </c>
      <c r="M33" s="2954" t="s">
        <v>3233</v>
      </c>
      <c r="N33" s="2954" t="s">
        <v>3304</v>
      </c>
      <c r="O33" s="2954" t="s">
        <v>3288</v>
      </c>
      <c r="P33" s="2954" t="s">
        <v>3289</v>
      </c>
      <c r="Q33" s="2954" t="s">
        <v>3377</v>
      </c>
      <c r="R33" s="2954" t="s">
        <v>3291</v>
      </c>
      <c r="S33" s="2954">
        <v>1711998</v>
      </c>
      <c r="T33" s="2954" t="s">
        <v>3233</v>
      </c>
      <c r="U33" s="2954" t="s">
        <v>3299</v>
      </c>
      <c r="V33" s="2956">
        <v>44316</v>
      </c>
      <c r="W33" s="2954" t="s">
        <v>3051</v>
      </c>
      <c r="X33" s="2954" t="s">
        <v>3283</v>
      </c>
      <c r="Y33" s="2954" t="s">
        <v>3283</v>
      </c>
      <c r="Z33" s="2957">
        <v>43221.2963773148</v>
      </c>
      <c r="AA33" s="2954" t="s">
        <v>3292</v>
      </c>
      <c r="AB33" s="2954" t="s">
        <v>3300</v>
      </c>
      <c r="AC33" s="2954" t="s">
        <v>3294</v>
      </c>
      <c r="AD33" s="2954" t="s">
        <v>3295</v>
      </c>
      <c r="AE33" s="2954" t="s">
        <v>3051</v>
      </c>
      <c r="AF33" s="2954" t="s">
        <v>3283</v>
      </c>
    </row>
    <row r="34" spans="1:32" ht="67.5">
      <c r="A34" s="2954">
        <v>4396</v>
      </c>
      <c r="B34" s="2954" t="s">
        <v>3281</v>
      </c>
      <c r="C34" s="2954" t="s">
        <v>3373</v>
      </c>
      <c r="D34" s="2954" t="s">
        <v>3283</v>
      </c>
      <c r="E34" s="2954" t="s">
        <v>3311</v>
      </c>
      <c r="F34" s="2954" t="s">
        <v>3386</v>
      </c>
      <c r="G34" s="2954" t="s">
        <v>3387</v>
      </c>
      <c r="H34" s="2955">
        <v>1714937</v>
      </c>
      <c r="I34" s="2955">
        <v>11671</v>
      </c>
      <c r="J34" s="2955">
        <v>16317</v>
      </c>
      <c r="K34" s="2959">
        <v>146.94</v>
      </c>
      <c r="L34" s="2955">
        <v>105.1</v>
      </c>
      <c r="M34" s="2954" t="s">
        <v>3233</v>
      </c>
      <c r="N34" s="2954" t="s">
        <v>3287</v>
      </c>
      <c r="O34" s="2954" t="s">
        <v>3288</v>
      </c>
      <c r="P34" s="2954" t="s">
        <v>3289</v>
      </c>
      <c r="Q34" s="2954" t="s">
        <v>3377</v>
      </c>
      <c r="R34" s="2954" t="s">
        <v>3291</v>
      </c>
      <c r="S34" s="2954">
        <v>1714937</v>
      </c>
      <c r="T34" s="2954" t="s">
        <v>3233</v>
      </c>
      <c r="U34" s="2954" t="s">
        <v>3299</v>
      </c>
      <c r="V34" s="2956">
        <v>44316</v>
      </c>
      <c r="W34" s="2954" t="s">
        <v>3051</v>
      </c>
      <c r="X34" s="2954" t="s">
        <v>3283</v>
      </c>
      <c r="Y34" s="2954" t="s">
        <v>3283</v>
      </c>
      <c r="Z34" s="2957">
        <v>43221.2963773148</v>
      </c>
      <c r="AA34" s="2954" t="s">
        <v>3292</v>
      </c>
      <c r="AB34" s="2954" t="s">
        <v>3300</v>
      </c>
      <c r="AC34" s="2954" t="s">
        <v>3294</v>
      </c>
      <c r="AD34" s="2954" t="s">
        <v>3295</v>
      </c>
      <c r="AE34" s="2954" t="s">
        <v>3051</v>
      </c>
      <c r="AF34" s="2954" t="s">
        <v>3283</v>
      </c>
    </row>
    <row r="35" spans="1:32" ht="67.5">
      <c r="A35" s="2954">
        <v>4397</v>
      </c>
      <c r="B35" s="2954" t="s">
        <v>3281</v>
      </c>
      <c r="C35" s="2954" t="s">
        <v>3373</v>
      </c>
      <c r="D35" s="2954" t="s">
        <v>3283</v>
      </c>
      <c r="E35" s="2954" t="s">
        <v>3314</v>
      </c>
      <c r="F35" s="2954" t="s">
        <v>3388</v>
      </c>
      <c r="G35" s="2954" t="s">
        <v>3389</v>
      </c>
      <c r="H35" s="2955">
        <v>1714937</v>
      </c>
      <c r="I35" s="2955">
        <v>11671</v>
      </c>
      <c r="J35" s="2955">
        <v>16317</v>
      </c>
      <c r="K35" s="2959">
        <v>146.94</v>
      </c>
      <c r="L35" s="2955">
        <v>105.1</v>
      </c>
      <c r="M35" s="2954" t="s">
        <v>3233</v>
      </c>
      <c r="N35" s="2954" t="s">
        <v>3304</v>
      </c>
      <c r="O35" s="2954" t="s">
        <v>3288</v>
      </c>
      <c r="P35" s="2954" t="s">
        <v>3289</v>
      </c>
      <c r="Q35" s="2954" t="s">
        <v>3377</v>
      </c>
      <c r="R35" s="2954" t="s">
        <v>3291</v>
      </c>
      <c r="S35" s="2954">
        <v>1714937</v>
      </c>
      <c r="T35" s="2954" t="s">
        <v>3233</v>
      </c>
      <c r="U35" s="2954" t="s">
        <v>3299</v>
      </c>
      <c r="V35" s="2956">
        <v>44316</v>
      </c>
      <c r="W35" s="2954" t="s">
        <v>3051</v>
      </c>
      <c r="X35" s="2954" t="s">
        <v>3283</v>
      </c>
      <c r="Y35" s="2954" t="s">
        <v>3283</v>
      </c>
      <c r="Z35" s="2957">
        <v>43221.2963773148</v>
      </c>
      <c r="AA35" s="2954" t="s">
        <v>3292</v>
      </c>
      <c r="AB35" s="2954" t="s">
        <v>3300</v>
      </c>
      <c r="AC35" s="2954" t="s">
        <v>3294</v>
      </c>
      <c r="AD35" s="2954" t="s">
        <v>3295</v>
      </c>
      <c r="AE35" s="2954" t="s">
        <v>3051</v>
      </c>
      <c r="AF35" s="2954" t="s">
        <v>3283</v>
      </c>
    </row>
    <row r="36" spans="1:32" ht="67.5">
      <c r="A36" s="2954">
        <v>4398</v>
      </c>
      <c r="B36" s="2954" t="s">
        <v>3281</v>
      </c>
      <c r="C36" s="2954" t="s">
        <v>3373</v>
      </c>
      <c r="D36" s="2954" t="s">
        <v>3283</v>
      </c>
      <c r="E36" s="2954" t="s">
        <v>3317</v>
      </c>
      <c r="F36" s="2954" t="s">
        <v>3390</v>
      </c>
      <c r="G36" s="2954" t="s">
        <v>3391</v>
      </c>
      <c r="H36" s="2955">
        <v>1717876</v>
      </c>
      <c r="I36" s="2955">
        <v>11691</v>
      </c>
      <c r="J36" s="2955">
        <v>16345</v>
      </c>
      <c r="K36" s="2959">
        <v>146.94</v>
      </c>
      <c r="L36" s="2955">
        <v>105.1</v>
      </c>
      <c r="M36" s="2954" t="s">
        <v>3233</v>
      </c>
      <c r="N36" s="2954" t="s">
        <v>3287</v>
      </c>
      <c r="O36" s="2954" t="s">
        <v>3288</v>
      </c>
      <c r="P36" s="2954" t="s">
        <v>3289</v>
      </c>
      <c r="Q36" s="2954" t="s">
        <v>3377</v>
      </c>
      <c r="R36" s="2954" t="s">
        <v>3291</v>
      </c>
      <c r="S36" s="2954">
        <v>1717876</v>
      </c>
      <c r="T36" s="2954" t="s">
        <v>3233</v>
      </c>
      <c r="U36" s="2954" t="s">
        <v>3299</v>
      </c>
      <c r="V36" s="2956">
        <v>44316</v>
      </c>
      <c r="W36" s="2954" t="s">
        <v>3051</v>
      </c>
      <c r="X36" s="2954" t="s">
        <v>3283</v>
      </c>
      <c r="Y36" s="2954" t="s">
        <v>3283</v>
      </c>
      <c r="Z36" s="2957">
        <v>43221.2963773148</v>
      </c>
      <c r="AA36" s="2954" t="s">
        <v>3292</v>
      </c>
      <c r="AB36" s="2954" t="s">
        <v>3300</v>
      </c>
      <c r="AC36" s="2954" t="s">
        <v>3294</v>
      </c>
      <c r="AD36" s="2954" t="s">
        <v>3295</v>
      </c>
      <c r="AE36" s="2954" t="s">
        <v>3051</v>
      </c>
      <c r="AF36" s="2954" t="s">
        <v>3283</v>
      </c>
    </row>
    <row r="37" spans="1:32" ht="67.5">
      <c r="A37" s="2954">
        <v>4399</v>
      </c>
      <c r="B37" s="2954" t="s">
        <v>3281</v>
      </c>
      <c r="C37" s="2954" t="s">
        <v>3373</v>
      </c>
      <c r="D37" s="2954" t="s">
        <v>3283</v>
      </c>
      <c r="E37" s="2954" t="s">
        <v>3392</v>
      </c>
      <c r="F37" s="2954" t="s">
        <v>3393</v>
      </c>
      <c r="G37" s="2954" t="s">
        <v>3394</v>
      </c>
      <c r="H37" s="2955">
        <v>1717876</v>
      </c>
      <c r="I37" s="2955">
        <v>11691</v>
      </c>
      <c r="J37" s="2955">
        <v>16345</v>
      </c>
      <c r="K37" s="2959">
        <v>146.94</v>
      </c>
      <c r="L37" s="2955">
        <v>105.1</v>
      </c>
      <c r="M37" s="2954" t="s">
        <v>3233</v>
      </c>
      <c r="N37" s="2954" t="s">
        <v>3304</v>
      </c>
      <c r="O37" s="2954" t="s">
        <v>3288</v>
      </c>
      <c r="P37" s="2954" t="s">
        <v>3289</v>
      </c>
      <c r="Q37" s="2954" t="s">
        <v>3377</v>
      </c>
      <c r="R37" s="2954" t="s">
        <v>3291</v>
      </c>
      <c r="S37" s="2954">
        <v>1717876</v>
      </c>
      <c r="T37" s="2954" t="s">
        <v>3233</v>
      </c>
      <c r="U37" s="2954" t="s">
        <v>3299</v>
      </c>
      <c r="V37" s="2956">
        <v>44316</v>
      </c>
      <c r="W37" s="2954" t="s">
        <v>3051</v>
      </c>
      <c r="X37" s="2954" t="s">
        <v>3283</v>
      </c>
      <c r="Y37" s="2954" t="s">
        <v>3283</v>
      </c>
      <c r="Z37" s="2957">
        <v>43221.2963773148</v>
      </c>
      <c r="AA37" s="2954" t="s">
        <v>3292</v>
      </c>
      <c r="AB37" s="2954" t="s">
        <v>3300</v>
      </c>
      <c r="AC37" s="2954" t="s">
        <v>3294</v>
      </c>
      <c r="AD37" s="2954" t="s">
        <v>3295</v>
      </c>
      <c r="AE37" s="2954" t="s">
        <v>3051</v>
      </c>
      <c r="AF37" s="2954" t="s">
        <v>3283</v>
      </c>
    </row>
    <row r="38" spans="1:32" ht="67.5">
      <c r="A38" s="2954">
        <v>4400</v>
      </c>
      <c r="B38" s="2954" t="s">
        <v>3281</v>
      </c>
      <c r="C38" s="2954" t="s">
        <v>3373</v>
      </c>
      <c r="D38" s="2954" t="s">
        <v>3283</v>
      </c>
      <c r="E38" s="2954" t="s">
        <v>3320</v>
      </c>
      <c r="F38" s="2954" t="s">
        <v>3395</v>
      </c>
      <c r="G38" s="2954" t="s">
        <v>3396</v>
      </c>
      <c r="H38" s="2955">
        <v>1720814</v>
      </c>
      <c r="I38" s="2955">
        <v>11711</v>
      </c>
      <c r="J38" s="2955">
        <v>16373</v>
      </c>
      <c r="K38" s="2959">
        <v>146.94</v>
      </c>
      <c r="L38" s="2955">
        <v>105.1</v>
      </c>
      <c r="M38" s="2954" t="s">
        <v>3233</v>
      </c>
      <c r="N38" s="2954" t="s">
        <v>3287</v>
      </c>
      <c r="O38" s="2954" t="s">
        <v>3288</v>
      </c>
      <c r="P38" s="2954" t="s">
        <v>3289</v>
      </c>
      <c r="Q38" s="2954" t="s">
        <v>3377</v>
      </c>
      <c r="R38" s="2954" t="s">
        <v>3291</v>
      </c>
      <c r="S38" s="2954">
        <v>1720814</v>
      </c>
      <c r="T38" s="2954" t="s">
        <v>3233</v>
      </c>
      <c r="U38" s="2954" t="s">
        <v>3299</v>
      </c>
      <c r="V38" s="2956">
        <v>44316</v>
      </c>
      <c r="W38" s="2954" t="s">
        <v>3051</v>
      </c>
      <c r="X38" s="2954" t="s">
        <v>3283</v>
      </c>
      <c r="Y38" s="2954" t="s">
        <v>3283</v>
      </c>
      <c r="Z38" s="2957">
        <v>43221.2963773148</v>
      </c>
      <c r="AA38" s="2954" t="s">
        <v>3292</v>
      </c>
      <c r="AB38" s="2954" t="s">
        <v>3300</v>
      </c>
      <c r="AC38" s="2954" t="s">
        <v>3294</v>
      </c>
      <c r="AD38" s="2954" t="s">
        <v>3295</v>
      </c>
      <c r="AE38" s="2954" t="s">
        <v>3051</v>
      </c>
      <c r="AF38" s="2954" t="s">
        <v>3283</v>
      </c>
    </row>
    <row r="39" spans="1:32" ht="67.5">
      <c r="A39" s="2954">
        <v>4401</v>
      </c>
      <c r="B39" s="2954" t="s">
        <v>3281</v>
      </c>
      <c r="C39" s="2954" t="s">
        <v>3373</v>
      </c>
      <c r="D39" s="2954" t="s">
        <v>3283</v>
      </c>
      <c r="E39" s="2954" t="s">
        <v>3323</v>
      </c>
      <c r="F39" s="2954" t="s">
        <v>3397</v>
      </c>
      <c r="G39" s="2954" t="s">
        <v>3398</v>
      </c>
      <c r="H39" s="2955">
        <v>1720814</v>
      </c>
      <c r="I39" s="2955">
        <v>11711</v>
      </c>
      <c r="J39" s="2955">
        <v>16373</v>
      </c>
      <c r="K39" s="2959">
        <v>146.94</v>
      </c>
      <c r="L39" s="2955">
        <v>105.1</v>
      </c>
      <c r="M39" s="2954" t="s">
        <v>3233</v>
      </c>
      <c r="N39" s="2954" t="s">
        <v>3304</v>
      </c>
      <c r="O39" s="2954" t="s">
        <v>3288</v>
      </c>
      <c r="P39" s="2954" t="s">
        <v>3289</v>
      </c>
      <c r="Q39" s="2954" t="s">
        <v>3377</v>
      </c>
      <c r="R39" s="2954" t="s">
        <v>3291</v>
      </c>
      <c r="S39" s="2954">
        <v>1720814</v>
      </c>
      <c r="T39" s="2954" t="s">
        <v>3233</v>
      </c>
      <c r="U39" s="2954" t="s">
        <v>3299</v>
      </c>
      <c r="V39" s="2956">
        <v>44316</v>
      </c>
      <c r="W39" s="2954" t="s">
        <v>3051</v>
      </c>
      <c r="X39" s="2954" t="s">
        <v>3283</v>
      </c>
      <c r="Y39" s="2954" t="s">
        <v>3283</v>
      </c>
      <c r="Z39" s="2957">
        <v>43221.2963773148</v>
      </c>
      <c r="AA39" s="2954" t="s">
        <v>3292</v>
      </c>
      <c r="AB39" s="2954" t="s">
        <v>3300</v>
      </c>
      <c r="AC39" s="2954" t="s">
        <v>3294</v>
      </c>
      <c r="AD39" s="2954" t="s">
        <v>3295</v>
      </c>
      <c r="AE39" s="2954" t="s">
        <v>3051</v>
      </c>
      <c r="AF39" s="2954" t="s">
        <v>3283</v>
      </c>
    </row>
    <row r="40" spans="1:32" ht="67.5">
      <c r="A40" s="2954">
        <v>4402</v>
      </c>
      <c r="B40" s="2954" t="s">
        <v>3281</v>
      </c>
      <c r="C40" s="2954" t="s">
        <v>3373</v>
      </c>
      <c r="D40" s="2954" t="s">
        <v>3283</v>
      </c>
      <c r="E40" s="2954" t="s">
        <v>3326</v>
      </c>
      <c r="F40" s="2954" t="s">
        <v>3399</v>
      </c>
      <c r="G40" s="2954" t="s">
        <v>3400</v>
      </c>
      <c r="H40" s="2955">
        <v>1723753</v>
      </c>
      <c r="I40" s="2955">
        <v>11731</v>
      </c>
      <c r="J40" s="2955">
        <v>16401</v>
      </c>
      <c r="K40" s="2959">
        <v>146.94</v>
      </c>
      <c r="L40" s="2955">
        <v>105.1</v>
      </c>
      <c r="M40" s="2954" t="s">
        <v>3233</v>
      </c>
      <c r="N40" s="2954" t="s">
        <v>3287</v>
      </c>
      <c r="O40" s="2954" t="s">
        <v>3288</v>
      </c>
      <c r="P40" s="2954" t="s">
        <v>3289</v>
      </c>
      <c r="Q40" s="2954" t="s">
        <v>3377</v>
      </c>
      <c r="R40" s="2954" t="s">
        <v>3291</v>
      </c>
      <c r="S40" s="2954">
        <v>1723753</v>
      </c>
      <c r="T40" s="2954" t="s">
        <v>3233</v>
      </c>
      <c r="U40" s="2954" t="s">
        <v>3299</v>
      </c>
      <c r="V40" s="2956">
        <v>44316</v>
      </c>
      <c r="W40" s="2954" t="s">
        <v>3051</v>
      </c>
      <c r="X40" s="2954" t="s">
        <v>3283</v>
      </c>
      <c r="Y40" s="2954" t="s">
        <v>3283</v>
      </c>
      <c r="Z40" s="2957">
        <v>43221.2963773148</v>
      </c>
      <c r="AA40" s="2954" t="s">
        <v>3292</v>
      </c>
      <c r="AB40" s="2954" t="s">
        <v>3300</v>
      </c>
      <c r="AC40" s="2954" t="s">
        <v>3294</v>
      </c>
      <c r="AD40" s="2954" t="s">
        <v>3295</v>
      </c>
      <c r="AE40" s="2954" t="s">
        <v>3051</v>
      </c>
      <c r="AF40" s="2954" t="s">
        <v>3283</v>
      </c>
    </row>
    <row r="41" spans="1:32" ht="67.5">
      <c r="A41" s="2954">
        <v>4403</v>
      </c>
      <c r="B41" s="2954" t="s">
        <v>3281</v>
      </c>
      <c r="C41" s="2954" t="s">
        <v>3373</v>
      </c>
      <c r="D41" s="2954" t="s">
        <v>3283</v>
      </c>
      <c r="E41" s="2954" t="s">
        <v>3401</v>
      </c>
      <c r="F41" s="2954" t="s">
        <v>3402</v>
      </c>
      <c r="G41" s="2954" t="s">
        <v>3403</v>
      </c>
      <c r="H41" s="2955">
        <v>1723753</v>
      </c>
      <c r="I41" s="2955">
        <v>11731</v>
      </c>
      <c r="J41" s="2955">
        <v>16401</v>
      </c>
      <c r="K41" s="2959">
        <v>146.94</v>
      </c>
      <c r="L41" s="2955">
        <v>105.1</v>
      </c>
      <c r="M41" s="2954" t="s">
        <v>3233</v>
      </c>
      <c r="N41" s="2954" t="s">
        <v>3304</v>
      </c>
      <c r="O41" s="2954" t="s">
        <v>3288</v>
      </c>
      <c r="P41" s="2954" t="s">
        <v>3289</v>
      </c>
      <c r="Q41" s="2954" t="s">
        <v>3377</v>
      </c>
      <c r="R41" s="2954" t="s">
        <v>3291</v>
      </c>
      <c r="S41" s="2954">
        <v>1723753</v>
      </c>
      <c r="T41" s="2954" t="s">
        <v>3233</v>
      </c>
      <c r="U41" s="2954" t="s">
        <v>3299</v>
      </c>
      <c r="V41" s="2956">
        <v>44316</v>
      </c>
      <c r="W41" s="2954" t="s">
        <v>3051</v>
      </c>
      <c r="X41" s="2954" t="s">
        <v>3283</v>
      </c>
      <c r="Y41" s="2954" t="s">
        <v>3283</v>
      </c>
      <c r="Z41" s="2957">
        <v>43221.2963773148</v>
      </c>
      <c r="AA41" s="2954" t="s">
        <v>3292</v>
      </c>
      <c r="AB41" s="2954" t="s">
        <v>3300</v>
      </c>
      <c r="AC41" s="2954" t="s">
        <v>3294</v>
      </c>
      <c r="AD41" s="2954" t="s">
        <v>3295</v>
      </c>
      <c r="AE41" s="2954" t="s">
        <v>3051</v>
      </c>
      <c r="AF41" s="2954" t="s">
        <v>3283</v>
      </c>
    </row>
    <row r="42" spans="1:32" ht="67.5">
      <c r="A42" s="2954">
        <v>4404</v>
      </c>
      <c r="B42" s="2954" t="s">
        <v>3281</v>
      </c>
      <c r="C42" s="2954" t="s">
        <v>3373</v>
      </c>
      <c r="D42" s="2954" t="s">
        <v>3283</v>
      </c>
      <c r="E42" s="2954" t="s">
        <v>3329</v>
      </c>
      <c r="F42" s="2954" t="s">
        <v>3404</v>
      </c>
      <c r="G42" s="2954" t="s">
        <v>3405</v>
      </c>
      <c r="H42" s="2955">
        <v>1726692</v>
      </c>
      <c r="I42" s="2955">
        <v>11751</v>
      </c>
      <c r="J42" s="2955">
        <v>16429</v>
      </c>
      <c r="K42" s="2959">
        <v>146.94</v>
      </c>
      <c r="L42" s="2955">
        <v>105.1</v>
      </c>
      <c r="M42" s="2954" t="s">
        <v>3233</v>
      </c>
      <c r="N42" s="2954" t="s">
        <v>3287</v>
      </c>
      <c r="O42" s="2954" t="s">
        <v>3288</v>
      </c>
      <c r="P42" s="2954" t="s">
        <v>3289</v>
      </c>
      <c r="Q42" s="2954" t="s">
        <v>3377</v>
      </c>
      <c r="R42" s="2954" t="s">
        <v>3291</v>
      </c>
      <c r="S42" s="2954">
        <v>1726692</v>
      </c>
      <c r="T42" s="2954" t="s">
        <v>3233</v>
      </c>
      <c r="U42" s="2954" t="s">
        <v>3299</v>
      </c>
      <c r="V42" s="2956">
        <v>44316</v>
      </c>
      <c r="W42" s="2954" t="s">
        <v>3051</v>
      </c>
      <c r="X42" s="2954" t="s">
        <v>3283</v>
      </c>
      <c r="Y42" s="2954" t="s">
        <v>3283</v>
      </c>
      <c r="Z42" s="2957">
        <v>43221.2963773148</v>
      </c>
      <c r="AA42" s="2954" t="s">
        <v>3292</v>
      </c>
      <c r="AB42" s="2954" t="s">
        <v>3300</v>
      </c>
      <c r="AC42" s="2954" t="s">
        <v>3294</v>
      </c>
      <c r="AD42" s="2954" t="s">
        <v>3295</v>
      </c>
      <c r="AE42" s="2954" t="s">
        <v>3051</v>
      </c>
      <c r="AF42" s="2954" t="s">
        <v>3283</v>
      </c>
    </row>
    <row r="43" spans="1:32" ht="67.5">
      <c r="A43" s="2954">
        <v>4406</v>
      </c>
      <c r="B43" s="2954" t="s">
        <v>3281</v>
      </c>
      <c r="C43" s="2954" t="s">
        <v>3373</v>
      </c>
      <c r="D43" s="2954" t="s">
        <v>3283</v>
      </c>
      <c r="E43" s="2954" t="s">
        <v>3406</v>
      </c>
      <c r="F43" s="2954" t="s">
        <v>3407</v>
      </c>
      <c r="G43" s="2954" t="s">
        <v>3408</v>
      </c>
      <c r="H43" s="2955">
        <v>1729631</v>
      </c>
      <c r="I43" s="2955">
        <v>11771</v>
      </c>
      <c r="J43" s="2955">
        <v>16457</v>
      </c>
      <c r="K43" s="2959">
        <v>146.94</v>
      </c>
      <c r="L43" s="2955">
        <v>105.1</v>
      </c>
      <c r="M43" s="2954" t="s">
        <v>3233</v>
      </c>
      <c r="N43" s="2954" t="s">
        <v>3287</v>
      </c>
      <c r="O43" s="2954" t="s">
        <v>3288</v>
      </c>
      <c r="P43" s="2954" t="s">
        <v>3289</v>
      </c>
      <c r="Q43" s="2954" t="s">
        <v>3377</v>
      </c>
      <c r="R43" s="2954" t="s">
        <v>3291</v>
      </c>
      <c r="S43" s="2954">
        <v>1729631</v>
      </c>
      <c r="T43" s="2954" t="s">
        <v>3233</v>
      </c>
      <c r="U43" s="2954" t="s">
        <v>3299</v>
      </c>
      <c r="V43" s="2956">
        <v>44316</v>
      </c>
      <c r="W43" s="2954" t="s">
        <v>3051</v>
      </c>
      <c r="X43" s="2954" t="s">
        <v>3283</v>
      </c>
      <c r="Y43" s="2954" t="s">
        <v>3283</v>
      </c>
      <c r="Z43" s="2957">
        <v>43221.2963773148</v>
      </c>
      <c r="AA43" s="2954" t="s">
        <v>3292</v>
      </c>
      <c r="AB43" s="2954" t="s">
        <v>3300</v>
      </c>
      <c r="AC43" s="2954" t="s">
        <v>3294</v>
      </c>
      <c r="AD43" s="2954" t="s">
        <v>3295</v>
      </c>
      <c r="AE43" s="2954" t="s">
        <v>3051</v>
      </c>
      <c r="AF43" s="2954" t="s">
        <v>3283</v>
      </c>
    </row>
    <row r="44" spans="1:32" ht="67.5">
      <c r="A44" s="2954">
        <v>4407</v>
      </c>
      <c r="B44" s="2954" t="s">
        <v>3281</v>
      </c>
      <c r="C44" s="2954" t="s">
        <v>3373</v>
      </c>
      <c r="D44" s="2954" t="s">
        <v>3283</v>
      </c>
      <c r="E44" s="2954" t="s">
        <v>3335</v>
      </c>
      <c r="F44" s="2954" t="s">
        <v>3409</v>
      </c>
      <c r="G44" s="2954" t="s">
        <v>3410</v>
      </c>
      <c r="H44" s="2955">
        <v>1729631</v>
      </c>
      <c r="I44" s="2955">
        <v>11771</v>
      </c>
      <c r="J44" s="2955">
        <v>16457</v>
      </c>
      <c r="K44" s="2959">
        <v>146.94</v>
      </c>
      <c r="L44" s="2955">
        <v>105.1</v>
      </c>
      <c r="M44" s="2954" t="s">
        <v>3233</v>
      </c>
      <c r="N44" s="2954" t="s">
        <v>3304</v>
      </c>
      <c r="O44" s="2954" t="s">
        <v>3288</v>
      </c>
      <c r="P44" s="2954" t="s">
        <v>3289</v>
      </c>
      <c r="Q44" s="2954" t="s">
        <v>3377</v>
      </c>
      <c r="R44" s="2954" t="s">
        <v>3291</v>
      </c>
      <c r="S44" s="2954">
        <v>1729631</v>
      </c>
      <c r="T44" s="2954" t="s">
        <v>3233</v>
      </c>
      <c r="U44" s="2954" t="s">
        <v>3299</v>
      </c>
      <c r="V44" s="2956">
        <v>44316</v>
      </c>
      <c r="W44" s="2954" t="s">
        <v>3051</v>
      </c>
      <c r="X44" s="2954" t="s">
        <v>3283</v>
      </c>
      <c r="Y44" s="2954" t="s">
        <v>3283</v>
      </c>
      <c r="Z44" s="2957">
        <v>43221.2963773148</v>
      </c>
      <c r="AA44" s="2954" t="s">
        <v>3292</v>
      </c>
      <c r="AB44" s="2954" t="s">
        <v>3300</v>
      </c>
      <c r="AC44" s="2954" t="s">
        <v>3294</v>
      </c>
      <c r="AD44" s="2954" t="s">
        <v>3295</v>
      </c>
      <c r="AE44" s="2954" t="s">
        <v>3051</v>
      </c>
      <c r="AF44" s="2954" t="s">
        <v>3283</v>
      </c>
    </row>
    <row r="45" spans="1:32" ht="67.5">
      <c r="A45" s="2954">
        <v>4408</v>
      </c>
      <c r="B45" s="2954" t="s">
        <v>3281</v>
      </c>
      <c r="C45" s="2954" t="s">
        <v>3373</v>
      </c>
      <c r="D45" s="2954" t="s">
        <v>3283</v>
      </c>
      <c r="E45" s="2954" t="s">
        <v>3338</v>
      </c>
      <c r="F45" s="2954" t="s">
        <v>3411</v>
      </c>
      <c r="G45" s="2954" t="s">
        <v>3412</v>
      </c>
      <c r="H45" s="2955">
        <v>1732570</v>
      </c>
      <c r="I45" s="2955">
        <v>11791</v>
      </c>
      <c r="J45" s="2955">
        <v>16485</v>
      </c>
      <c r="K45" s="2959">
        <v>146.94</v>
      </c>
      <c r="L45" s="2955">
        <v>105.1</v>
      </c>
      <c r="M45" s="2954" t="s">
        <v>3233</v>
      </c>
      <c r="N45" s="2954" t="s">
        <v>3287</v>
      </c>
      <c r="O45" s="2954" t="s">
        <v>3288</v>
      </c>
      <c r="P45" s="2954" t="s">
        <v>3289</v>
      </c>
      <c r="Q45" s="2954" t="s">
        <v>3377</v>
      </c>
      <c r="R45" s="2954" t="s">
        <v>3291</v>
      </c>
      <c r="S45" s="2954">
        <v>1732570</v>
      </c>
      <c r="T45" s="2954" t="s">
        <v>3233</v>
      </c>
      <c r="U45" s="2954" t="s">
        <v>3299</v>
      </c>
      <c r="V45" s="2956">
        <v>44316</v>
      </c>
      <c r="W45" s="2954" t="s">
        <v>3051</v>
      </c>
      <c r="X45" s="2954" t="s">
        <v>3283</v>
      </c>
      <c r="Y45" s="2954" t="s">
        <v>3283</v>
      </c>
      <c r="Z45" s="2957">
        <v>43221.2963773148</v>
      </c>
      <c r="AA45" s="2954" t="s">
        <v>3292</v>
      </c>
      <c r="AB45" s="2954" t="s">
        <v>3300</v>
      </c>
      <c r="AC45" s="2954" t="s">
        <v>3294</v>
      </c>
      <c r="AD45" s="2954" t="s">
        <v>3295</v>
      </c>
      <c r="AE45" s="2954" t="s">
        <v>3051</v>
      </c>
      <c r="AF45" s="2954" t="s">
        <v>3283</v>
      </c>
    </row>
    <row r="46" spans="1:32" ht="67.5">
      <c r="A46" s="2954">
        <v>4409</v>
      </c>
      <c r="B46" s="2954" t="s">
        <v>3281</v>
      </c>
      <c r="C46" s="2954" t="s">
        <v>3373</v>
      </c>
      <c r="D46" s="2954" t="s">
        <v>3283</v>
      </c>
      <c r="E46" s="2954" t="s">
        <v>3341</v>
      </c>
      <c r="F46" s="2954" t="s">
        <v>3413</v>
      </c>
      <c r="G46" s="2954" t="s">
        <v>3414</v>
      </c>
      <c r="H46" s="2955">
        <v>1732570</v>
      </c>
      <c r="I46" s="2955">
        <v>11791</v>
      </c>
      <c r="J46" s="2955">
        <v>16485</v>
      </c>
      <c r="K46" s="2959">
        <v>146.94</v>
      </c>
      <c r="L46" s="2955">
        <v>105.1</v>
      </c>
      <c r="M46" s="2954" t="s">
        <v>3233</v>
      </c>
      <c r="N46" s="2954" t="s">
        <v>3304</v>
      </c>
      <c r="O46" s="2954" t="s">
        <v>3288</v>
      </c>
      <c r="P46" s="2954" t="s">
        <v>3289</v>
      </c>
      <c r="Q46" s="2954" t="s">
        <v>3377</v>
      </c>
      <c r="R46" s="2954" t="s">
        <v>3291</v>
      </c>
      <c r="S46" s="2954">
        <v>1732570</v>
      </c>
      <c r="T46" s="2954" t="s">
        <v>3233</v>
      </c>
      <c r="U46" s="2954" t="s">
        <v>3299</v>
      </c>
      <c r="V46" s="2956">
        <v>44316</v>
      </c>
      <c r="W46" s="2954" t="s">
        <v>3051</v>
      </c>
      <c r="X46" s="2954" t="s">
        <v>3283</v>
      </c>
      <c r="Y46" s="2954" t="s">
        <v>3283</v>
      </c>
      <c r="Z46" s="2957">
        <v>43221.2963773148</v>
      </c>
      <c r="AA46" s="2954" t="s">
        <v>3292</v>
      </c>
      <c r="AB46" s="2954" t="s">
        <v>3300</v>
      </c>
      <c r="AC46" s="2954" t="s">
        <v>3294</v>
      </c>
      <c r="AD46" s="2954" t="s">
        <v>3295</v>
      </c>
      <c r="AE46" s="2954" t="s">
        <v>3051</v>
      </c>
      <c r="AF46" s="2954" t="s">
        <v>3283</v>
      </c>
    </row>
    <row r="47" spans="1:32" ht="67.5">
      <c r="A47" s="2954">
        <v>4411</v>
      </c>
      <c r="B47" s="2954" t="s">
        <v>3281</v>
      </c>
      <c r="C47" s="2954" t="s">
        <v>3373</v>
      </c>
      <c r="D47" s="2954" t="s">
        <v>3283</v>
      </c>
      <c r="E47" s="2954" t="s">
        <v>3347</v>
      </c>
      <c r="F47" s="2954" t="s">
        <v>3415</v>
      </c>
      <c r="G47" s="2954" t="s">
        <v>3416</v>
      </c>
      <c r="H47" s="2955">
        <v>1735508</v>
      </c>
      <c r="I47" s="2955">
        <v>11811</v>
      </c>
      <c r="J47" s="2955">
        <v>16513</v>
      </c>
      <c r="K47" s="2959">
        <v>146.94</v>
      </c>
      <c r="L47" s="2955">
        <v>105.1</v>
      </c>
      <c r="M47" s="2954" t="s">
        <v>3233</v>
      </c>
      <c r="N47" s="2954" t="s">
        <v>3304</v>
      </c>
      <c r="O47" s="2954" t="s">
        <v>3288</v>
      </c>
      <c r="P47" s="2954" t="s">
        <v>3289</v>
      </c>
      <c r="Q47" s="2954" t="s">
        <v>3377</v>
      </c>
      <c r="R47" s="2954" t="s">
        <v>3291</v>
      </c>
      <c r="S47" s="2954">
        <v>1735508</v>
      </c>
      <c r="T47" s="2954" t="s">
        <v>3233</v>
      </c>
      <c r="U47" s="2954" t="s">
        <v>3299</v>
      </c>
      <c r="V47" s="2956">
        <v>44316</v>
      </c>
      <c r="W47" s="2954" t="s">
        <v>3051</v>
      </c>
      <c r="X47" s="2954" t="s">
        <v>3283</v>
      </c>
      <c r="Y47" s="2954" t="s">
        <v>3283</v>
      </c>
      <c r="Z47" s="2957">
        <v>43221.2963773148</v>
      </c>
      <c r="AA47" s="2954" t="s">
        <v>3292</v>
      </c>
      <c r="AB47" s="2954" t="s">
        <v>3300</v>
      </c>
      <c r="AC47" s="2954" t="s">
        <v>3294</v>
      </c>
      <c r="AD47" s="2954" t="s">
        <v>3295</v>
      </c>
      <c r="AE47" s="2954" t="s">
        <v>3051</v>
      </c>
      <c r="AF47" s="2954" t="s">
        <v>3283</v>
      </c>
    </row>
    <row r="48" spans="1:32" ht="67.5">
      <c r="A48" s="2954">
        <v>4412</v>
      </c>
      <c r="B48" s="2954" t="s">
        <v>3281</v>
      </c>
      <c r="C48" s="2954" t="s">
        <v>3373</v>
      </c>
      <c r="D48" s="2954" t="s">
        <v>3283</v>
      </c>
      <c r="E48" s="2954" t="s">
        <v>3350</v>
      </c>
      <c r="F48" s="2954" t="s">
        <v>3417</v>
      </c>
      <c r="G48" s="2954" t="s">
        <v>3418</v>
      </c>
      <c r="H48" s="2955">
        <v>1738447</v>
      </c>
      <c r="I48" s="2955">
        <v>11831</v>
      </c>
      <c r="J48" s="2955">
        <v>16541</v>
      </c>
      <c r="K48" s="2959">
        <v>146.94</v>
      </c>
      <c r="L48" s="2955">
        <v>105.1</v>
      </c>
      <c r="M48" s="2954" t="s">
        <v>3233</v>
      </c>
      <c r="N48" s="2954" t="s">
        <v>3287</v>
      </c>
      <c r="O48" s="2954" t="s">
        <v>3288</v>
      </c>
      <c r="P48" s="2954" t="s">
        <v>3289</v>
      </c>
      <c r="Q48" s="2954" t="s">
        <v>3377</v>
      </c>
      <c r="R48" s="2954" t="s">
        <v>3291</v>
      </c>
      <c r="S48" s="2954">
        <v>1738447</v>
      </c>
      <c r="T48" s="2954" t="s">
        <v>3233</v>
      </c>
      <c r="U48" s="2954" t="s">
        <v>3299</v>
      </c>
      <c r="V48" s="2956">
        <v>44316</v>
      </c>
      <c r="W48" s="2954" t="s">
        <v>3051</v>
      </c>
      <c r="X48" s="2954" t="s">
        <v>3283</v>
      </c>
      <c r="Y48" s="2954" t="s">
        <v>3283</v>
      </c>
      <c r="Z48" s="2957">
        <v>43221.2963773148</v>
      </c>
      <c r="AA48" s="2954" t="s">
        <v>3292</v>
      </c>
      <c r="AB48" s="2954" t="s">
        <v>3300</v>
      </c>
      <c r="AC48" s="2954" t="s">
        <v>3294</v>
      </c>
      <c r="AD48" s="2954" t="s">
        <v>3295</v>
      </c>
      <c r="AE48" s="2954" t="s">
        <v>3051</v>
      </c>
      <c r="AF48" s="2954" t="s">
        <v>3283</v>
      </c>
    </row>
    <row r="49" spans="1:32" ht="67.5">
      <c r="A49" s="2954">
        <v>4413</v>
      </c>
      <c r="B49" s="2954" t="s">
        <v>3281</v>
      </c>
      <c r="C49" s="2954" t="s">
        <v>3373</v>
      </c>
      <c r="D49" s="2954" t="s">
        <v>3283</v>
      </c>
      <c r="E49" s="2954" t="s">
        <v>3353</v>
      </c>
      <c r="F49" s="2954" t="s">
        <v>3419</v>
      </c>
      <c r="G49" s="2954" t="s">
        <v>3420</v>
      </c>
      <c r="H49" s="2955">
        <v>1738447</v>
      </c>
      <c r="I49" s="2955">
        <v>11831</v>
      </c>
      <c r="J49" s="2955">
        <v>16541</v>
      </c>
      <c r="K49" s="2959">
        <v>146.94</v>
      </c>
      <c r="L49" s="2955">
        <v>105.1</v>
      </c>
      <c r="M49" s="2954" t="s">
        <v>3233</v>
      </c>
      <c r="N49" s="2954" t="s">
        <v>3304</v>
      </c>
      <c r="O49" s="2954" t="s">
        <v>3288</v>
      </c>
      <c r="P49" s="2954" t="s">
        <v>3289</v>
      </c>
      <c r="Q49" s="2954" t="s">
        <v>3377</v>
      </c>
      <c r="R49" s="2954" t="s">
        <v>3291</v>
      </c>
      <c r="S49" s="2954">
        <v>1738447</v>
      </c>
      <c r="T49" s="2954" t="s">
        <v>3233</v>
      </c>
      <c r="U49" s="2954" t="s">
        <v>3299</v>
      </c>
      <c r="V49" s="2956">
        <v>44316</v>
      </c>
      <c r="W49" s="2954" t="s">
        <v>3051</v>
      </c>
      <c r="X49" s="2954" t="s">
        <v>3283</v>
      </c>
      <c r="Y49" s="2954" t="s">
        <v>3283</v>
      </c>
      <c r="Z49" s="2957">
        <v>43221.2963773148</v>
      </c>
      <c r="AA49" s="2954" t="s">
        <v>3292</v>
      </c>
      <c r="AB49" s="2954" t="s">
        <v>3300</v>
      </c>
      <c r="AC49" s="2954" t="s">
        <v>3294</v>
      </c>
      <c r="AD49" s="2954" t="s">
        <v>3295</v>
      </c>
      <c r="AE49" s="2954" t="s">
        <v>3051</v>
      </c>
      <c r="AF49" s="2954" t="s">
        <v>3283</v>
      </c>
    </row>
    <row r="50" spans="1:32" ht="67.5">
      <c r="A50" s="2954">
        <v>4414</v>
      </c>
      <c r="B50" s="2954" t="s">
        <v>3281</v>
      </c>
      <c r="C50" s="2954" t="s">
        <v>3373</v>
      </c>
      <c r="D50" s="2954" t="s">
        <v>3283</v>
      </c>
      <c r="E50" s="2954" t="s">
        <v>3356</v>
      </c>
      <c r="F50" s="2954" t="s">
        <v>3421</v>
      </c>
      <c r="G50" s="2954" t="s">
        <v>3422</v>
      </c>
      <c r="H50" s="2955">
        <v>1741386</v>
      </c>
      <c r="I50" s="2955">
        <v>11851</v>
      </c>
      <c r="J50" s="2955">
        <v>16569</v>
      </c>
      <c r="K50" s="2959">
        <v>146.94</v>
      </c>
      <c r="L50" s="2955">
        <v>105.1</v>
      </c>
      <c r="M50" s="2954" t="s">
        <v>3233</v>
      </c>
      <c r="N50" s="2954" t="s">
        <v>3287</v>
      </c>
      <c r="O50" s="2954" t="s">
        <v>3288</v>
      </c>
      <c r="P50" s="2954" t="s">
        <v>3289</v>
      </c>
      <c r="Q50" s="2954" t="s">
        <v>3377</v>
      </c>
      <c r="R50" s="2954" t="s">
        <v>3291</v>
      </c>
      <c r="S50" s="2954">
        <v>1741386</v>
      </c>
      <c r="T50" s="2954" t="s">
        <v>3233</v>
      </c>
      <c r="U50" s="2954" t="s">
        <v>3299</v>
      </c>
      <c r="V50" s="2956">
        <v>44316</v>
      </c>
      <c r="W50" s="2954" t="s">
        <v>3051</v>
      </c>
      <c r="X50" s="2954" t="s">
        <v>3283</v>
      </c>
      <c r="Y50" s="2954" t="s">
        <v>3283</v>
      </c>
      <c r="Z50" s="2957">
        <v>43221.2963773148</v>
      </c>
      <c r="AA50" s="2954" t="s">
        <v>3292</v>
      </c>
      <c r="AB50" s="2954" t="s">
        <v>3300</v>
      </c>
      <c r="AC50" s="2954" t="s">
        <v>3294</v>
      </c>
      <c r="AD50" s="2954" t="s">
        <v>3295</v>
      </c>
      <c r="AE50" s="2954" t="s">
        <v>3051</v>
      </c>
      <c r="AF50" s="2954" t="s">
        <v>3283</v>
      </c>
    </row>
    <row r="51" spans="1:32" ht="67.5">
      <c r="A51" s="2954">
        <v>4418</v>
      </c>
      <c r="B51" s="2954" t="s">
        <v>3281</v>
      </c>
      <c r="C51" s="2954" t="s">
        <v>3373</v>
      </c>
      <c r="D51" s="2954" t="s">
        <v>3283</v>
      </c>
      <c r="E51" s="2954" t="s">
        <v>3423</v>
      </c>
      <c r="F51" s="2954" t="s">
        <v>3424</v>
      </c>
      <c r="G51" s="2954" t="s">
        <v>3425</v>
      </c>
      <c r="H51" s="2955">
        <v>1747264</v>
      </c>
      <c r="I51" s="2955">
        <v>11891</v>
      </c>
      <c r="J51" s="2955">
        <v>16625</v>
      </c>
      <c r="K51" s="2959">
        <v>146.94</v>
      </c>
      <c r="L51" s="2955">
        <v>105.1</v>
      </c>
      <c r="M51" s="2954" t="s">
        <v>3233</v>
      </c>
      <c r="N51" s="2954" t="s">
        <v>3287</v>
      </c>
      <c r="O51" s="2954" t="s">
        <v>3288</v>
      </c>
      <c r="P51" s="2954" t="s">
        <v>3289</v>
      </c>
      <c r="Q51" s="2954" t="s">
        <v>3377</v>
      </c>
      <c r="R51" s="2954" t="s">
        <v>3291</v>
      </c>
      <c r="S51" s="2954">
        <v>1747264</v>
      </c>
      <c r="T51" s="2954" t="s">
        <v>3233</v>
      </c>
      <c r="U51" s="2954" t="s">
        <v>3299</v>
      </c>
      <c r="V51" s="2956">
        <v>44316</v>
      </c>
      <c r="W51" s="2954" t="s">
        <v>3051</v>
      </c>
      <c r="X51" s="2954" t="s">
        <v>3283</v>
      </c>
      <c r="Y51" s="2954" t="s">
        <v>3283</v>
      </c>
      <c r="Z51" s="2957">
        <v>43221.2963773148</v>
      </c>
      <c r="AA51" s="2954" t="s">
        <v>3292</v>
      </c>
      <c r="AB51" s="2954" t="s">
        <v>3300</v>
      </c>
      <c r="AC51" s="2954" t="s">
        <v>3294</v>
      </c>
      <c r="AD51" s="2954" t="s">
        <v>3295</v>
      </c>
      <c r="AE51" s="2954" t="s">
        <v>3051</v>
      </c>
      <c r="AF51" s="2954" t="s">
        <v>3283</v>
      </c>
    </row>
    <row r="52" spans="1:32" ht="67.5">
      <c r="A52" s="2954">
        <v>4419</v>
      </c>
      <c r="B52" s="2954" t="s">
        <v>3281</v>
      </c>
      <c r="C52" s="2954" t="s">
        <v>3373</v>
      </c>
      <c r="D52" s="2954" t="s">
        <v>3283</v>
      </c>
      <c r="E52" s="2954" t="s">
        <v>3368</v>
      </c>
      <c r="F52" s="2954" t="s">
        <v>3426</v>
      </c>
      <c r="G52" s="2954" t="s">
        <v>3427</v>
      </c>
      <c r="H52" s="2955">
        <v>1747264</v>
      </c>
      <c r="I52" s="2955">
        <v>11891</v>
      </c>
      <c r="J52" s="2955">
        <v>16625</v>
      </c>
      <c r="K52" s="2959">
        <v>146.94</v>
      </c>
      <c r="L52" s="2955">
        <v>105.1</v>
      </c>
      <c r="M52" s="2954" t="s">
        <v>3233</v>
      </c>
      <c r="N52" s="2954" t="s">
        <v>3304</v>
      </c>
      <c r="O52" s="2954" t="s">
        <v>3288</v>
      </c>
      <c r="P52" s="2954" t="s">
        <v>3289</v>
      </c>
      <c r="Q52" s="2954" t="s">
        <v>3377</v>
      </c>
      <c r="R52" s="2954" t="s">
        <v>3291</v>
      </c>
      <c r="S52" s="2954">
        <v>1747264</v>
      </c>
      <c r="T52" s="2954" t="s">
        <v>3233</v>
      </c>
      <c r="U52" s="2954" t="s">
        <v>3299</v>
      </c>
      <c r="V52" s="2956">
        <v>44316</v>
      </c>
      <c r="W52" s="2954" t="s">
        <v>3051</v>
      </c>
      <c r="X52" s="2954" t="s">
        <v>3283</v>
      </c>
      <c r="Y52" s="2954" t="s">
        <v>3283</v>
      </c>
      <c r="Z52" s="2957">
        <v>43221.2963773148</v>
      </c>
      <c r="AA52" s="2954" t="s">
        <v>3292</v>
      </c>
      <c r="AB52" s="2954" t="s">
        <v>3300</v>
      </c>
      <c r="AC52" s="2954" t="s">
        <v>3294</v>
      </c>
      <c r="AD52" s="2954" t="s">
        <v>3295</v>
      </c>
      <c r="AE52" s="2954" t="s">
        <v>3051</v>
      </c>
      <c r="AF52" s="2954" t="s">
        <v>3283</v>
      </c>
    </row>
    <row r="53" spans="1:32" ht="67.5">
      <c r="A53" s="2954">
        <v>4421</v>
      </c>
      <c r="B53" s="2954" t="s">
        <v>3281</v>
      </c>
      <c r="C53" s="2954" t="s">
        <v>3373</v>
      </c>
      <c r="D53" s="2954" t="s">
        <v>3283</v>
      </c>
      <c r="E53" s="2954" t="s">
        <v>3371</v>
      </c>
      <c r="F53" s="2954" t="s">
        <v>3428</v>
      </c>
      <c r="G53" s="2954" t="s">
        <v>3429</v>
      </c>
      <c r="H53" s="2955">
        <v>1750202</v>
      </c>
      <c r="I53" s="2955">
        <v>11911</v>
      </c>
      <c r="J53" s="2955">
        <v>16653</v>
      </c>
      <c r="K53" s="2959">
        <v>146.94</v>
      </c>
      <c r="L53" s="2955">
        <v>105.1</v>
      </c>
      <c r="M53" s="2954" t="s">
        <v>3233</v>
      </c>
      <c r="N53" s="2954" t="s">
        <v>3304</v>
      </c>
      <c r="O53" s="2954" t="s">
        <v>3288</v>
      </c>
      <c r="P53" s="2954" t="s">
        <v>3289</v>
      </c>
      <c r="Q53" s="2954" t="s">
        <v>3377</v>
      </c>
      <c r="R53" s="2954" t="s">
        <v>3291</v>
      </c>
      <c r="S53" s="2954">
        <v>1750202</v>
      </c>
      <c r="T53" s="2954" t="s">
        <v>3233</v>
      </c>
      <c r="U53" s="2954" t="s">
        <v>3299</v>
      </c>
      <c r="V53" s="2956">
        <v>44316</v>
      </c>
      <c r="W53" s="2954" t="s">
        <v>3051</v>
      </c>
      <c r="X53" s="2954" t="s">
        <v>3283</v>
      </c>
      <c r="Y53" s="2954" t="s">
        <v>3283</v>
      </c>
      <c r="Z53" s="2957">
        <v>43221.2963773148</v>
      </c>
      <c r="AA53" s="2954" t="s">
        <v>3292</v>
      </c>
      <c r="AB53" s="2954" t="s">
        <v>3300</v>
      </c>
      <c r="AC53" s="2954" t="s">
        <v>3294</v>
      </c>
      <c r="AD53" s="2954" t="s">
        <v>3295</v>
      </c>
      <c r="AE53" s="2954" t="s">
        <v>3051</v>
      </c>
      <c r="AF53" s="2954" t="s">
        <v>3283</v>
      </c>
    </row>
    <row r="54" spans="1:32" ht="67.5">
      <c r="A54" s="2954">
        <v>4422</v>
      </c>
      <c r="B54" s="2954" t="s">
        <v>3281</v>
      </c>
      <c r="C54" s="2954" t="s">
        <v>3373</v>
      </c>
      <c r="D54" s="2954" t="s">
        <v>3283</v>
      </c>
      <c r="E54" s="2954" t="s">
        <v>3430</v>
      </c>
      <c r="F54" s="2954" t="s">
        <v>3431</v>
      </c>
      <c r="G54" s="2954" t="s">
        <v>3432</v>
      </c>
      <c r="H54" s="2955">
        <v>1753141</v>
      </c>
      <c r="I54" s="2955">
        <v>11931</v>
      </c>
      <c r="J54" s="2955">
        <v>16681</v>
      </c>
      <c r="K54" s="2959">
        <v>146.94</v>
      </c>
      <c r="L54" s="2955">
        <v>105.1</v>
      </c>
      <c r="M54" s="2954" t="s">
        <v>3233</v>
      </c>
      <c r="N54" s="2954" t="s">
        <v>3287</v>
      </c>
      <c r="O54" s="2954" t="s">
        <v>3288</v>
      </c>
      <c r="P54" s="2954" t="s">
        <v>3289</v>
      </c>
      <c r="Q54" s="2954" t="s">
        <v>3377</v>
      </c>
      <c r="R54" s="2954" t="s">
        <v>3291</v>
      </c>
      <c r="S54" s="2954">
        <v>1753141</v>
      </c>
      <c r="T54" s="2954" t="s">
        <v>3233</v>
      </c>
      <c r="U54" s="2954" t="s">
        <v>3299</v>
      </c>
      <c r="V54" s="2956">
        <v>44316</v>
      </c>
      <c r="W54" s="2954" t="s">
        <v>3051</v>
      </c>
      <c r="X54" s="2954" t="s">
        <v>3283</v>
      </c>
      <c r="Y54" s="2954" t="s">
        <v>3283</v>
      </c>
      <c r="Z54" s="2957">
        <v>43221.2963773148</v>
      </c>
      <c r="AA54" s="2954" t="s">
        <v>3292</v>
      </c>
      <c r="AB54" s="2954" t="s">
        <v>3300</v>
      </c>
      <c r="AC54" s="2954" t="s">
        <v>3294</v>
      </c>
      <c r="AD54" s="2954" t="s">
        <v>3295</v>
      </c>
      <c r="AE54" s="2954" t="s">
        <v>3051</v>
      </c>
      <c r="AF54" s="2954" t="s">
        <v>3283</v>
      </c>
    </row>
    <row r="55" spans="1:32" ht="67.5">
      <c r="A55" s="2954">
        <v>4424</v>
      </c>
      <c r="B55" s="2954" t="s">
        <v>3281</v>
      </c>
      <c r="C55" s="2954" t="s">
        <v>3373</v>
      </c>
      <c r="D55" s="2954" t="s">
        <v>3283</v>
      </c>
      <c r="E55" s="2954" t="s">
        <v>3433</v>
      </c>
      <c r="F55" s="2954" t="s">
        <v>3434</v>
      </c>
      <c r="G55" s="2954" t="s">
        <v>3435</v>
      </c>
      <c r="H55" s="2955">
        <v>1753141</v>
      </c>
      <c r="I55" s="2955">
        <v>11931</v>
      </c>
      <c r="J55" s="2955">
        <v>16681</v>
      </c>
      <c r="K55" s="2959">
        <v>146.94</v>
      </c>
      <c r="L55" s="2955">
        <v>105.1</v>
      </c>
      <c r="M55" s="2954" t="s">
        <v>3233</v>
      </c>
      <c r="N55" s="2954" t="s">
        <v>3287</v>
      </c>
      <c r="O55" s="2954" t="s">
        <v>3288</v>
      </c>
      <c r="P55" s="2954" t="s">
        <v>3289</v>
      </c>
      <c r="Q55" s="2954" t="s">
        <v>3377</v>
      </c>
      <c r="R55" s="2954" t="s">
        <v>3291</v>
      </c>
      <c r="S55" s="2954">
        <v>1753141</v>
      </c>
      <c r="T55" s="2954" t="s">
        <v>3233</v>
      </c>
      <c r="U55" s="2954" t="s">
        <v>3299</v>
      </c>
      <c r="V55" s="2956">
        <v>44316</v>
      </c>
      <c r="W55" s="2954" t="s">
        <v>3051</v>
      </c>
      <c r="X55" s="2954" t="s">
        <v>3283</v>
      </c>
      <c r="Y55" s="2954" t="s">
        <v>3283</v>
      </c>
      <c r="Z55" s="2957">
        <v>43221.2963773148</v>
      </c>
      <c r="AA55" s="2954" t="s">
        <v>3292</v>
      </c>
      <c r="AB55" s="2954" t="s">
        <v>3300</v>
      </c>
      <c r="AC55" s="2954" t="s">
        <v>3294</v>
      </c>
      <c r="AD55" s="2954" t="s">
        <v>3295</v>
      </c>
      <c r="AE55" s="2954" t="s">
        <v>3051</v>
      </c>
      <c r="AF55" s="2954" t="s">
        <v>3283</v>
      </c>
    </row>
    <row r="56" spans="1:32" ht="67.5">
      <c r="A56" s="2954">
        <v>4447</v>
      </c>
      <c r="B56" s="2954" t="s">
        <v>3281</v>
      </c>
      <c r="C56" s="2954" t="s">
        <v>3373</v>
      </c>
      <c r="D56" s="2954" t="s">
        <v>3283</v>
      </c>
      <c r="E56" s="2954" t="s">
        <v>3436</v>
      </c>
      <c r="F56" s="2954" t="s">
        <v>4399</v>
      </c>
      <c r="G56" s="2954" t="s">
        <v>3437</v>
      </c>
      <c r="H56" s="2955">
        <v>1764896</v>
      </c>
      <c r="I56" s="2955">
        <v>12011</v>
      </c>
      <c r="J56" s="2955">
        <v>16793</v>
      </c>
      <c r="K56" s="2959">
        <v>146.94</v>
      </c>
      <c r="L56" s="2955">
        <v>105.1</v>
      </c>
      <c r="M56" s="2954" t="s">
        <v>3233</v>
      </c>
      <c r="N56" s="2954" t="s">
        <v>3304</v>
      </c>
      <c r="O56" s="2954" t="s">
        <v>3288</v>
      </c>
      <c r="P56" s="2954" t="s">
        <v>3289</v>
      </c>
      <c r="Q56" s="2954" t="s">
        <v>3377</v>
      </c>
      <c r="R56" s="2954" t="s">
        <v>3291</v>
      </c>
      <c r="S56" s="2954">
        <v>1764896</v>
      </c>
      <c r="T56" s="2954" t="s">
        <v>3233</v>
      </c>
      <c r="U56" s="2954" t="s">
        <v>3299</v>
      </c>
      <c r="V56" s="2956">
        <v>44316</v>
      </c>
      <c r="W56" s="2954" t="s">
        <v>3051</v>
      </c>
      <c r="X56" s="2954" t="s">
        <v>3283</v>
      </c>
      <c r="Y56" s="2954" t="s">
        <v>3283</v>
      </c>
      <c r="Z56" s="2957">
        <v>43221.2963773148</v>
      </c>
      <c r="AA56" s="2954" t="s">
        <v>3292</v>
      </c>
      <c r="AB56" s="2954" t="s">
        <v>3300</v>
      </c>
      <c r="AC56" s="2954" t="s">
        <v>3294</v>
      </c>
      <c r="AD56" s="2954" t="s">
        <v>3295</v>
      </c>
      <c r="AE56" s="2954" t="s">
        <v>3051</v>
      </c>
      <c r="AF56" s="2954" t="s">
        <v>3283</v>
      </c>
    </row>
    <row r="57" spans="1:32" s="2968" customFormat="1">
      <c r="A57" s="2964"/>
      <c r="B57" s="2964"/>
      <c r="C57" s="2964"/>
      <c r="D57" s="2964"/>
      <c r="E57" s="2964"/>
      <c r="F57" s="2964" t="s">
        <v>4400</v>
      </c>
      <c r="G57" s="2964"/>
      <c r="H57" s="2965"/>
      <c r="I57" s="2965"/>
      <c r="J57" s="2965"/>
      <c r="K57" s="2965">
        <f>SUM(K29:K56)</f>
        <v>4114.9600000000009</v>
      </c>
      <c r="L57" s="2965"/>
      <c r="M57" s="2964"/>
      <c r="N57" s="2964"/>
      <c r="O57" s="2964"/>
      <c r="P57" s="2964"/>
      <c r="Q57" s="2964"/>
      <c r="R57" s="2964"/>
      <c r="S57" s="2964"/>
      <c r="T57" s="2964"/>
      <c r="U57" s="2964"/>
      <c r="V57" s="2966"/>
      <c r="W57" s="2964"/>
      <c r="X57" s="2964"/>
      <c r="Y57" s="2964"/>
      <c r="Z57" s="2967"/>
      <c r="AA57" s="2964"/>
      <c r="AB57" s="2964"/>
      <c r="AC57" s="2964"/>
      <c r="AD57" s="2964"/>
      <c r="AE57" s="2964"/>
      <c r="AF57" s="2964"/>
    </row>
    <row r="58" spans="1:32" ht="67.5">
      <c r="A58" s="2954">
        <v>5641</v>
      </c>
      <c r="B58" s="2954" t="s">
        <v>3281</v>
      </c>
      <c r="C58" s="2954" t="s">
        <v>3438</v>
      </c>
      <c r="D58" s="2954" t="s">
        <v>3283</v>
      </c>
      <c r="E58" s="2954" t="s">
        <v>3314</v>
      </c>
      <c r="F58" s="2954" t="s">
        <v>4401</v>
      </c>
      <c r="G58" s="2954" t="s">
        <v>3439</v>
      </c>
      <c r="H58" s="2955">
        <v>1562283</v>
      </c>
      <c r="I58" s="2955">
        <v>12161</v>
      </c>
      <c r="J58" s="2955">
        <v>15121</v>
      </c>
      <c r="K58" s="2959">
        <v>128.47</v>
      </c>
      <c r="L58" s="2955">
        <v>103.32</v>
      </c>
      <c r="M58" s="2954" t="s">
        <v>3230</v>
      </c>
      <c r="N58" s="2954" t="s">
        <v>3440</v>
      </c>
      <c r="O58" s="2954" t="s">
        <v>3441</v>
      </c>
      <c r="P58" s="2954" t="s">
        <v>3289</v>
      </c>
      <c r="Q58" s="2954" t="s">
        <v>3442</v>
      </c>
      <c r="R58" s="2954" t="s">
        <v>3291</v>
      </c>
      <c r="S58" s="2954">
        <v>1562283</v>
      </c>
      <c r="T58" s="2954" t="s">
        <v>3443</v>
      </c>
      <c r="U58" s="2954" t="s">
        <v>3299</v>
      </c>
      <c r="V58" s="2956">
        <v>44195</v>
      </c>
      <c r="W58" s="2954" t="s">
        <v>3051</v>
      </c>
      <c r="X58" s="2954" t="s">
        <v>3283</v>
      </c>
      <c r="Y58" s="2954" t="s">
        <v>3283</v>
      </c>
      <c r="Z58" s="2957">
        <v>43220.327418981498</v>
      </c>
      <c r="AA58" s="2954" t="s">
        <v>3444</v>
      </c>
      <c r="AB58" s="2954" t="s">
        <v>3300</v>
      </c>
      <c r="AC58" s="2954" t="s">
        <v>3294</v>
      </c>
      <c r="AD58" s="2954" t="s">
        <v>3445</v>
      </c>
      <c r="AE58" s="2954" t="s">
        <v>3051</v>
      </c>
      <c r="AF58" s="2954" t="s">
        <v>3283</v>
      </c>
    </row>
    <row r="59" spans="1:32" s="2968" customFormat="1">
      <c r="A59" s="2964"/>
      <c r="B59" s="2964"/>
      <c r="C59" s="2964"/>
      <c r="D59" s="2964"/>
      <c r="E59" s="2964"/>
      <c r="F59" s="2964" t="s">
        <v>4402</v>
      </c>
      <c r="G59" s="2964"/>
      <c r="H59" s="2965"/>
      <c r="I59" s="2965"/>
      <c r="J59" s="2965"/>
      <c r="K59" s="2965">
        <f>SUM(K58)</f>
        <v>128.47</v>
      </c>
      <c r="L59" s="2965"/>
      <c r="M59" s="2964"/>
      <c r="N59" s="2964"/>
      <c r="O59" s="2964"/>
      <c r="P59" s="2964"/>
      <c r="Q59" s="2964"/>
      <c r="R59" s="2964"/>
      <c r="S59" s="2964"/>
      <c r="T59" s="2964"/>
      <c r="U59" s="2964"/>
      <c r="V59" s="2966"/>
      <c r="W59" s="2964"/>
      <c r="X59" s="2964"/>
      <c r="Y59" s="2964"/>
      <c r="Z59" s="2967"/>
      <c r="AA59" s="2964"/>
      <c r="AB59" s="2964"/>
      <c r="AC59" s="2964"/>
      <c r="AD59" s="2964"/>
      <c r="AE59" s="2964"/>
      <c r="AF59" s="2964"/>
    </row>
    <row r="60" spans="1:32" ht="67.5">
      <c r="A60" s="2954">
        <v>5702</v>
      </c>
      <c r="B60" s="2954" t="s">
        <v>3281</v>
      </c>
      <c r="C60" s="2954" t="s">
        <v>3446</v>
      </c>
      <c r="D60" s="2954" t="s">
        <v>3283</v>
      </c>
      <c r="E60" s="2954" t="s">
        <v>3447</v>
      </c>
      <c r="F60" s="2954" t="s">
        <v>3448</v>
      </c>
      <c r="G60" s="2954" t="s">
        <v>3449</v>
      </c>
      <c r="H60" s="2955">
        <v>5277324</v>
      </c>
      <c r="I60" s="2955">
        <v>39158</v>
      </c>
      <c r="J60" s="2955">
        <v>41268</v>
      </c>
      <c r="K60" s="2959">
        <v>134.77000000000001</v>
      </c>
      <c r="L60" s="2955">
        <v>127.88</v>
      </c>
      <c r="M60" s="2954" t="s">
        <v>3450</v>
      </c>
      <c r="N60" s="2954" t="s">
        <v>3451</v>
      </c>
      <c r="O60" s="2954" t="s">
        <v>3283</v>
      </c>
      <c r="P60" s="2954" t="s">
        <v>3289</v>
      </c>
      <c r="Q60" s="2954" t="s">
        <v>3452</v>
      </c>
      <c r="R60" s="2954" t="s">
        <v>3291</v>
      </c>
      <c r="S60" s="2954">
        <v>5277324</v>
      </c>
      <c r="T60" s="2954" t="s">
        <v>3450</v>
      </c>
      <c r="U60" s="2954" t="s">
        <v>3244</v>
      </c>
      <c r="V60" s="2956">
        <v>44316</v>
      </c>
      <c r="W60" s="2954" t="s">
        <v>3051</v>
      </c>
      <c r="X60" s="2954" t="s">
        <v>3283</v>
      </c>
      <c r="Y60" s="2954" t="s">
        <v>3283</v>
      </c>
      <c r="Z60" s="2957">
        <v>43220.394513888903</v>
      </c>
      <c r="AA60" s="2954" t="s">
        <v>3453</v>
      </c>
      <c r="AB60" s="2954" t="s">
        <v>3293</v>
      </c>
      <c r="AC60" s="2954" t="s">
        <v>3294</v>
      </c>
      <c r="AD60" s="2954" t="s">
        <v>3454</v>
      </c>
      <c r="AE60" s="2954" t="s">
        <v>3051</v>
      </c>
      <c r="AF60" s="2954" t="s">
        <v>3283</v>
      </c>
    </row>
    <row r="61" spans="1:32" ht="67.5">
      <c r="A61" s="2954">
        <v>5705</v>
      </c>
      <c r="B61" s="2954" t="s">
        <v>3281</v>
      </c>
      <c r="C61" s="2954" t="s">
        <v>3446</v>
      </c>
      <c r="D61" s="2954" t="s">
        <v>3283</v>
      </c>
      <c r="E61" s="2954" t="s">
        <v>3455</v>
      </c>
      <c r="F61" s="2954" t="s">
        <v>4403</v>
      </c>
      <c r="G61" s="2954" t="s">
        <v>3456</v>
      </c>
      <c r="H61" s="2955">
        <v>3691940</v>
      </c>
      <c r="I61" s="2955">
        <v>35858</v>
      </c>
      <c r="J61" s="2955">
        <v>37789</v>
      </c>
      <c r="K61" s="2959">
        <v>102.96</v>
      </c>
      <c r="L61" s="2955">
        <v>97.7</v>
      </c>
      <c r="M61" s="2954" t="s">
        <v>3450</v>
      </c>
      <c r="N61" s="2954" t="s">
        <v>3451</v>
      </c>
      <c r="O61" s="2954" t="s">
        <v>3283</v>
      </c>
      <c r="P61" s="2954" t="s">
        <v>3289</v>
      </c>
      <c r="Q61" s="2954" t="s">
        <v>3452</v>
      </c>
      <c r="R61" s="2954" t="s">
        <v>3291</v>
      </c>
      <c r="S61" s="2954">
        <v>3691940</v>
      </c>
      <c r="T61" s="2954" t="s">
        <v>3450</v>
      </c>
      <c r="U61" s="2954" t="s">
        <v>3244</v>
      </c>
      <c r="V61" s="2956">
        <v>44316</v>
      </c>
      <c r="W61" s="2954" t="s">
        <v>3051</v>
      </c>
      <c r="X61" s="2954" t="s">
        <v>3283</v>
      </c>
      <c r="Y61" s="2954" t="s">
        <v>3283</v>
      </c>
      <c r="Z61" s="2957">
        <v>43220.394513888903</v>
      </c>
      <c r="AA61" s="2954" t="s">
        <v>3453</v>
      </c>
      <c r="AB61" s="2954" t="s">
        <v>3293</v>
      </c>
      <c r="AC61" s="2954" t="s">
        <v>3294</v>
      </c>
      <c r="AD61" s="2954" t="s">
        <v>3454</v>
      </c>
      <c r="AE61" s="2954" t="s">
        <v>3051</v>
      </c>
      <c r="AF61" s="2954" t="s">
        <v>3283</v>
      </c>
    </row>
    <row r="62" spans="1:32" s="2968" customFormat="1">
      <c r="A62" s="2964"/>
      <c r="B62" s="2964"/>
      <c r="C62" s="2964"/>
      <c r="D62" s="2964"/>
      <c r="E62" s="2964"/>
      <c r="F62" s="2964" t="s">
        <v>4404</v>
      </c>
      <c r="G62" s="2964"/>
      <c r="H62" s="2965"/>
      <c r="I62" s="2965"/>
      <c r="J62" s="2965"/>
      <c r="K62" s="2965">
        <f>SUM(K60:K61)</f>
        <v>237.73000000000002</v>
      </c>
      <c r="L62" s="2965"/>
      <c r="M62" s="2964"/>
      <c r="N62" s="2964"/>
      <c r="O62" s="2964"/>
      <c r="P62" s="2964"/>
      <c r="Q62" s="2964"/>
      <c r="R62" s="2964"/>
      <c r="S62" s="2964"/>
      <c r="T62" s="2964"/>
      <c r="U62" s="2964"/>
      <c r="V62" s="2966"/>
      <c r="W62" s="2964"/>
      <c r="X62" s="2964"/>
      <c r="Y62" s="2964"/>
      <c r="Z62" s="2967"/>
      <c r="AA62" s="2964"/>
      <c r="AB62" s="2964"/>
      <c r="AC62" s="2964"/>
      <c r="AD62" s="2964"/>
      <c r="AE62" s="2964"/>
      <c r="AF62" s="2964"/>
    </row>
    <row r="63" spans="1:32" ht="67.5">
      <c r="A63" s="2954">
        <v>5714</v>
      </c>
      <c r="B63" s="2954" t="s">
        <v>3281</v>
      </c>
      <c r="C63" s="2954" t="s">
        <v>3457</v>
      </c>
      <c r="D63" s="2954" t="s">
        <v>3283</v>
      </c>
      <c r="E63" s="2954" t="s">
        <v>3447</v>
      </c>
      <c r="F63" s="2954" t="s">
        <v>4405</v>
      </c>
      <c r="G63" s="2954" t="s">
        <v>3458</v>
      </c>
      <c r="H63" s="2955">
        <v>2335137</v>
      </c>
      <c r="I63" s="2955">
        <v>34858</v>
      </c>
      <c r="J63" s="2955">
        <v>36972</v>
      </c>
      <c r="K63" s="2959">
        <v>66.989999999999995</v>
      </c>
      <c r="L63" s="2955">
        <v>63.16</v>
      </c>
      <c r="M63" s="2954" t="s">
        <v>3450</v>
      </c>
      <c r="N63" s="2954" t="s">
        <v>3451</v>
      </c>
      <c r="O63" s="2954" t="s">
        <v>3283</v>
      </c>
      <c r="P63" s="2954" t="s">
        <v>3289</v>
      </c>
      <c r="Q63" s="2954" t="s">
        <v>3459</v>
      </c>
      <c r="R63" s="2954" t="s">
        <v>3291</v>
      </c>
      <c r="S63" s="2954">
        <v>2335137</v>
      </c>
      <c r="T63" s="2954" t="s">
        <v>3450</v>
      </c>
      <c r="U63" s="2954" t="s">
        <v>3244</v>
      </c>
      <c r="V63" s="2956">
        <v>44316</v>
      </c>
      <c r="W63" s="2954" t="s">
        <v>3051</v>
      </c>
      <c r="X63" s="2954" t="s">
        <v>3283</v>
      </c>
      <c r="Y63" s="2954" t="s">
        <v>3283</v>
      </c>
      <c r="Z63" s="2957">
        <v>43220.394560185203</v>
      </c>
      <c r="AA63" s="2954" t="s">
        <v>3453</v>
      </c>
      <c r="AB63" s="2954" t="s">
        <v>3293</v>
      </c>
      <c r="AC63" s="2954" t="s">
        <v>3294</v>
      </c>
      <c r="AD63" s="2954" t="s">
        <v>3454</v>
      </c>
      <c r="AE63" s="2954" t="s">
        <v>3051</v>
      </c>
      <c r="AF63" s="2954" t="s">
        <v>3283</v>
      </c>
    </row>
    <row r="64" spans="1:32" s="2968" customFormat="1">
      <c r="A64" s="2964"/>
      <c r="B64" s="2964"/>
      <c r="C64" s="2964"/>
      <c r="D64" s="2964"/>
      <c r="E64" s="2964"/>
      <c r="F64" s="2964" t="s">
        <v>4406</v>
      </c>
      <c r="G64" s="2964"/>
      <c r="H64" s="2965"/>
      <c r="I64" s="2965"/>
      <c r="J64" s="2965"/>
      <c r="K64" s="2965">
        <f>SUM(K63)</f>
        <v>66.989999999999995</v>
      </c>
      <c r="L64" s="2965"/>
      <c r="M64" s="2964"/>
      <c r="N64" s="2964"/>
      <c r="O64" s="2964"/>
      <c r="P64" s="2964"/>
      <c r="Q64" s="2964"/>
      <c r="R64" s="2964"/>
      <c r="S64" s="2964"/>
      <c r="T64" s="2964"/>
      <c r="U64" s="2964"/>
      <c r="V64" s="2966"/>
      <c r="W64" s="2964"/>
      <c r="X64" s="2964"/>
      <c r="Y64" s="2964"/>
      <c r="Z64" s="2967"/>
      <c r="AA64" s="2964"/>
      <c r="AB64" s="2964"/>
      <c r="AC64" s="2964"/>
      <c r="AD64" s="2964"/>
      <c r="AE64" s="2964"/>
      <c r="AF64" s="2964"/>
    </row>
    <row r="65" spans="1:32" ht="67.5">
      <c r="A65" s="2954">
        <v>5755</v>
      </c>
      <c r="B65" s="2954" t="s">
        <v>3281</v>
      </c>
      <c r="C65" s="2954" t="s">
        <v>3460</v>
      </c>
      <c r="D65" s="2954" t="s">
        <v>3283</v>
      </c>
      <c r="E65" s="2954" t="s">
        <v>3374</v>
      </c>
      <c r="F65" s="2954" t="s">
        <v>3461</v>
      </c>
      <c r="G65" s="2954" t="s">
        <v>3462</v>
      </c>
      <c r="H65" s="2955">
        <v>1602499</v>
      </c>
      <c r="I65" s="2955">
        <v>36958</v>
      </c>
      <c r="J65" s="2955">
        <v>40880</v>
      </c>
      <c r="K65" s="2959">
        <v>43.36</v>
      </c>
      <c r="L65" s="2955">
        <v>39.200000000000003</v>
      </c>
      <c r="M65" s="2954" t="s">
        <v>3450</v>
      </c>
      <c r="N65" s="2954" t="s">
        <v>3451</v>
      </c>
      <c r="O65" s="2954" t="s">
        <v>3283</v>
      </c>
      <c r="P65" s="2954" t="s">
        <v>3289</v>
      </c>
      <c r="Q65" s="2954" t="s">
        <v>3463</v>
      </c>
      <c r="R65" s="2954" t="s">
        <v>3291</v>
      </c>
      <c r="S65" s="2954">
        <v>1602499</v>
      </c>
      <c r="T65" s="2954" t="s">
        <v>3450</v>
      </c>
      <c r="U65" s="2954" t="s">
        <v>3244</v>
      </c>
      <c r="V65" s="2956">
        <v>44316</v>
      </c>
      <c r="W65" s="2954" t="s">
        <v>3051</v>
      </c>
      <c r="X65" s="2954" t="s">
        <v>3283</v>
      </c>
      <c r="Y65" s="2954" t="s">
        <v>3283</v>
      </c>
      <c r="Z65" s="2957">
        <v>43220.395011574103</v>
      </c>
      <c r="AA65" s="2954" t="s">
        <v>3453</v>
      </c>
      <c r="AB65" s="2954" t="s">
        <v>3293</v>
      </c>
      <c r="AC65" s="2954" t="s">
        <v>3294</v>
      </c>
      <c r="AD65" s="2954" t="s">
        <v>3454</v>
      </c>
      <c r="AE65" s="2954" t="s">
        <v>3051</v>
      </c>
      <c r="AF65" s="2954" t="s">
        <v>3283</v>
      </c>
    </row>
    <row r="66" spans="1:32" ht="67.5">
      <c r="A66" s="2954">
        <v>5756</v>
      </c>
      <c r="B66" s="2954" t="s">
        <v>3281</v>
      </c>
      <c r="C66" s="2954" t="s">
        <v>3460</v>
      </c>
      <c r="D66" s="2954" t="s">
        <v>3283</v>
      </c>
      <c r="E66" s="2954" t="s">
        <v>3464</v>
      </c>
      <c r="F66" s="2954" t="s">
        <v>3465</v>
      </c>
      <c r="G66" s="2954" t="s">
        <v>3466</v>
      </c>
      <c r="H66" s="2955">
        <v>1576483</v>
      </c>
      <c r="I66" s="2955">
        <v>36358</v>
      </c>
      <c r="J66" s="2955">
        <v>40216</v>
      </c>
      <c r="K66" s="2959">
        <v>43.36</v>
      </c>
      <c r="L66" s="2955">
        <v>39.200000000000003</v>
      </c>
      <c r="M66" s="2954" t="s">
        <v>3450</v>
      </c>
      <c r="N66" s="2954" t="s">
        <v>3451</v>
      </c>
      <c r="O66" s="2954" t="s">
        <v>3283</v>
      </c>
      <c r="P66" s="2954" t="s">
        <v>3289</v>
      </c>
      <c r="Q66" s="2954" t="s">
        <v>3463</v>
      </c>
      <c r="R66" s="2954" t="s">
        <v>3291</v>
      </c>
      <c r="S66" s="2954">
        <v>1576483</v>
      </c>
      <c r="T66" s="2954" t="s">
        <v>3450</v>
      </c>
      <c r="U66" s="2954" t="s">
        <v>3244</v>
      </c>
      <c r="V66" s="2956">
        <v>44316</v>
      </c>
      <c r="W66" s="2954" t="s">
        <v>3051</v>
      </c>
      <c r="X66" s="2954" t="s">
        <v>3283</v>
      </c>
      <c r="Y66" s="2954" t="s">
        <v>3283</v>
      </c>
      <c r="Z66" s="2957">
        <v>43220.395011574103</v>
      </c>
      <c r="AA66" s="2954" t="s">
        <v>3453</v>
      </c>
      <c r="AB66" s="2954" t="s">
        <v>3293</v>
      </c>
      <c r="AC66" s="2954" t="s">
        <v>3294</v>
      </c>
      <c r="AD66" s="2954" t="s">
        <v>3454</v>
      </c>
      <c r="AE66" s="2954" t="s">
        <v>3051</v>
      </c>
      <c r="AF66" s="2954" t="s">
        <v>3283</v>
      </c>
    </row>
    <row r="67" spans="1:32" ht="67.5">
      <c r="A67" s="2954">
        <v>5759</v>
      </c>
      <c r="B67" s="2954" t="s">
        <v>3281</v>
      </c>
      <c r="C67" s="2954" t="s">
        <v>3460</v>
      </c>
      <c r="D67" s="2954" t="s">
        <v>3283</v>
      </c>
      <c r="E67" s="2954" t="s">
        <v>3467</v>
      </c>
      <c r="F67" s="2954" t="s">
        <v>3468</v>
      </c>
      <c r="G67" s="2954" t="s">
        <v>3469</v>
      </c>
      <c r="H67" s="2955">
        <v>1647740</v>
      </c>
      <c r="I67" s="2955">
        <v>40958</v>
      </c>
      <c r="J67" s="2955">
        <v>45305</v>
      </c>
      <c r="K67" s="2959">
        <v>40.229999999999997</v>
      </c>
      <c r="L67" s="2955">
        <v>36.369999999999997</v>
      </c>
      <c r="M67" s="2954" t="s">
        <v>3450</v>
      </c>
      <c r="N67" s="2954" t="s">
        <v>3451</v>
      </c>
      <c r="O67" s="2954" t="s">
        <v>3283</v>
      </c>
      <c r="P67" s="2954" t="s">
        <v>3289</v>
      </c>
      <c r="Q67" s="2954" t="s">
        <v>3463</v>
      </c>
      <c r="R67" s="2954" t="s">
        <v>3291</v>
      </c>
      <c r="S67" s="2954">
        <v>1647740</v>
      </c>
      <c r="T67" s="2954" t="s">
        <v>3450</v>
      </c>
      <c r="U67" s="2954" t="s">
        <v>3244</v>
      </c>
      <c r="V67" s="2956">
        <v>44316</v>
      </c>
      <c r="W67" s="2954" t="s">
        <v>3051</v>
      </c>
      <c r="X67" s="2954" t="s">
        <v>3283</v>
      </c>
      <c r="Y67" s="2954" t="s">
        <v>3283</v>
      </c>
      <c r="Z67" s="2957">
        <v>43220.395011574103</v>
      </c>
      <c r="AA67" s="2954" t="s">
        <v>3453</v>
      </c>
      <c r="AB67" s="2954" t="s">
        <v>3293</v>
      </c>
      <c r="AC67" s="2954" t="s">
        <v>3294</v>
      </c>
      <c r="AD67" s="2954" t="s">
        <v>3454</v>
      </c>
      <c r="AE67" s="2954" t="s">
        <v>3051</v>
      </c>
      <c r="AF67" s="2954" t="s">
        <v>3283</v>
      </c>
    </row>
    <row r="68" spans="1:32" ht="67.5">
      <c r="A68" s="2954">
        <v>5761</v>
      </c>
      <c r="B68" s="2954" t="s">
        <v>3281</v>
      </c>
      <c r="C68" s="2954" t="s">
        <v>3460</v>
      </c>
      <c r="D68" s="2954" t="s">
        <v>3283</v>
      </c>
      <c r="E68" s="2954" t="s">
        <v>3447</v>
      </c>
      <c r="F68" s="2954" t="s">
        <v>4407</v>
      </c>
      <c r="G68" s="2954" t="s">
        <v>3470</v>
      </c>
      <c r="H68" s="2955">
        <v>2619616</v>
      </c>
      <c r="I68" s="2955">
        <v>41358</v>
      </c>
      <c r="J68" s="2955">
        <v>45749</v>
      </c>
      <c r="K68" s="2959">
        <v>63.34</v>
      </c>
      <c r="L68" s="2955">
        <v>57.26</v>
      </c>
      <c r="M68" s="2954" t="s">
        <v>3450</v>
      </c>
      <c r="N68" s="2954" t="s">
        <v>3451</v>
      </c>
      <c r="O68" s="2954" t="s">
        <v>3283</v>
      </c>
      <c r="P68" s="2954" t="s">
        <v>3289</v>
      </c>
      <c r="Q68" s="2954" t="s">
        <v>3463</v>
      </c>
      <c r="R68" s="2954" t="s">
        <v>3291</v>
      </c>
      <c r="S68" s="2954">
        <v>2619616</v>
      </c>
      <c r="T68" s="2954" t="s">
        <v>3450</v>
      </c>
      <c r="U68" s="2954" t="s">
        <v>3244</v>
      </c>
      <c r="V68" s="2956">
        <v>44316</v>
      </c>
      <c r="W68" s="2954" t="s">
        <v>3051</v>
      </c>
      <c r="X68" s="2954" t="s">
        <v>3283</v>
      </c>
      <c r="Y68" s="2954" t="s">
        <v>3283</v>
      </c>
      <c r="Z68" s="2957">
        <v>43220.395011574103</v>
      </c>
      <c r="AA68" s="2954" t="s">
        <v>3453</v>
      </c>
      <c r="AB68" s="2954" t="s">
        <v>3293</v>
      </c>
      <c r="AC68" s="2954" t="s">
        <v>3294</v>
      </c>
      <c r="AD68" s="2954" t="s">
        <v>3454</v>
      </c>
      <c r="AE68" s="2954" t="s">
        <v>3051</v>
      </c>
      <c r="AF68" s="2954" t="s">
        <v>3283</v>
      </c>
    </row>
    <row r="69" spans="1:32" s="2968" customFormat="1">
      <c r="A69" s="2964"/>
      <c r="B69" s="2964"/>
      <c r="C69" s="2964"/>
      <c r="D69" s="2964"/>
      <c r="E69" s="2964"/>
      <c r="F69" s="2964" t="s">
        <v>4408</v>
      </c>
      <c r="G69" s="2964"/>
      <c r="H69" s="2965"/>
      <c r="I69" s="2965"/>
      <c r="J69" s="2965"/>
      <c r="K69" s="2965">
        <f>SUM(K65:K68)</f>
        <v>190.29</v>
      </c>
      <c r="L69" s="2965"/>
      <c r="M69" s="2964"/>
      <c r="N69" s="2964"/>
      <c r="O69" s="2964"/>
      <c r="P69" s="2964"/>
      <c r="Q69" s="2964"/>
      <c r="R69" s="2964"/>
      <c r="S69" s="2964"/>
      <c r="T69" s="2964"/>
      <c r="U69" s="2964"/>
      <c r="V69" s="2966"/>
      <c r="W69" s="2964"/>
      <c r="X69" s="2964"/>
      <c r="Y69" s="2964"/>
      <c r="Z69" s="2967"/>
      <c r="AA69" s="2964"/>
      <c r="AB69" s="2964"/>
      <c r="AC69" s="2964"/>
      <c r="AD69" s="2964"/>
      <c r="AE69" s="2964"/>
      <c r="AF69" s="2964"/>
    </row>
    <row r="70" spans="1:32" ht="67.5">
      <c r="A70" s="2954">
        <v>5781</v>
      </c>
      <c r="B70" s="2954" t="s">
        <v>3281</v>
      </c>
      <c r="C70" s="2954" t="s">
        <v>3471</v>
      </c>
      <c r="D70" s="2954" t="s">
        <v>3283</v>
      </c>
      <c r="E70" s="2954" t="s">
        <v>3284</v>
      </c>
      <c r="F70" s="2954" t="s">
        <v>3472</v>
      </c>
      <c r="G70" s="2954" t="s">
        <v>3473</v>
      </c>
      <c r="H70" s="2955">
        <v>2822507</v>
      </c>
      <c r="I70" s="2955">
        <v>38958</v>
      </c>
      <c r="J70" s="2955">
        <v>40989</v>
      </c>
      <c r="K70" s="2959">
        <v>72.45</v>
      </c>
      <c r="L70" s="2955">
        <v>68.86</v>
      </c>
      <c r="M70" s="2954" t="s">
        <v>3450</v>
      </c>
      <c r="N70" s="2954" t="s">
        <v>3451</v>
      </c>
      <c r="O70" s="2954" t="s">
        <v>3283</v>
      </c>
      <c r="P70" s="2954" t="s">
        <v>3289</v>
      </c>
      <c r="Q70" s="2954" t="s">
        <v>3474</v>
      </c>
      <c r="R70" s="2954" t="s">
        <v>3291</v>
      </c>
      <c r="S70" s="2954">
        <v>2822507</v>
      </c>
      <c r="T70" s="2954" t="s">
        <v>3450</v>
      </c>
      <c r="U70" s="2954" t="s">
        <v>3244</v>
      </c>
      <c r="V70" s="2956">
        <v>44195</v>
      </c>
      <c r="W70" s="2954" t="s">
        <v>3051</v>
      </c>
      <c r="X70" s="2954" t="s">
        <v>3283</v>
      </c>
      <c r="Y70" s="2954" t="s">
        <v>3283</v>
      </c>
      <c r="Z70" s="2957">
        <v>43220.395196759302</v>
      </c>
      <c r="AA70" s="2954" t="s">
        <v>3453</v>
      </c>
      <c r="AB70" s="2954" t="s">
        <v>3293</v>
      </c>
      <c r="AC70" s="2954" t="s">
        <v>3294</v>
      </c>
      <c r="AD70" s="2954" t="s">
        <v>3454</v>
      </c>
      <c r="AE70" s="2954" t="s">
        <v>3051</v>
      </c>
      <c r="AF70" s="2954" t="s">
        <v>3283</v>
      </c>
    </row>
    <row r="71" spans="1:32" ht="67.5">
      <c r="A71" s="2954">
        <v>5785</v>
      </c>
      <c r="B71" s="2954" t="s">
        <v>3281</v>
      </c>
      <c r="C71" s="2954" t="s">
        <v>3471</v>
      </c>
      <c r="D71" s="2954" t="s">
        <v>3283</v>
      </c>
      <c r="E71" s="2954" t="s">
        <v>3475</v>
      </c>
      <c r="F71" s="2954" t="s">
        <v>3476</v>
      </c>
      <c r="G71" s="2954" t="s">
        <v>3477</v>
      </c>
      <c r="H71" s="2955">
        <v>2417363</v>
      </c>
      <c r="I71" s="2955">
        <v>32858</v>
      </c>
      <c r="J71" s="2955">
        <v>34568</v>
      </c>
      <c r="K71" s="2959">
        <v>73.569999999999993</v>
      </c>
      <c r="L71" s="2955">
        <v>69.930000000000007</v>
      </c>
      <c r="M71" s="2954" t="s">
        <v>3450</v>
      </c>
      <c r="N71" s="2954" t="s">
        <v>3451</v>
      </c>
      <c r="O71" s="2954" t="s">
        <v>3283</v>
      </c>
      <c r="P71" s="2954" t="s">
        <v>3289</v>
      </c>
      <c r="Q71" s="2954" t="s">
        <v>3474</v>
      </c>
      <c r="R71" s="2954" t="s">
        <v>3291</v>
      </c>
      <c r="S71" s="2954">
        <v>2417363</v>
      </c>
      <c r="T71" s="2954" t="s">
        <v>3450</v>
      </c>
      <c r="U71" s="2954" t="s">
        <v>3244</v>
      </c>
      <c r="V71" s="2956">
        <v>44195</v>
      </c>
      <c r="W71" s="2954" t="s">
        <v>3051</v>
      </c>
      <c r="X71" s="2954" t="s">
        <v>3283</v>
      </c>
      <c r="Y71" s="2954" t="s">
        <v>3283</v>
      </c>
      <c r="Z71" s="2957">
        <v>43220.395196759302</v>
      </c>
      <c r="AA71" s="2954" t="s">
        <v>3453</v>
      </c>
      <c r="AB71" s="2954" t="s">
        <v>3293</v>
      </c>
      <c r="AC71" s="2954" t="s">
        <v>3294</v>
      </c>
      <c r="AD71" s="2954" t="s">
        <v>3454</v>
      </c>
      <c r="AE71" s="2954" t="s">
        <v>3051</v>
      </c>
      <c r="AF71" s="2954" t="s">
        <v>3283</v>
      </c>
    </row>
    <row r="72" spans="1:32" ht="67.5">
      <c r="A72" s="2954">
        <v>5786</v>
      </c>
      <c r="B72" s="2954" t="s">
        <v>3281</v>
      </c>
      <c r="C72" s="2954" t="s">
        <v>3471</v>
      </c>
      <c r="D72" s="2954" t="s">
        <v>3283</v>
      </c>
      <c r="E72" s="2954" t="s">
        <v>3467</v>
      </c>
      <c r="F72" s="2954" t="s">
        <v>3478</v>
      </c>
      <c r="G72" s="2954" t="s">
        <v>3479</v>
      </c>
      <c r="H72" s="2955">
        <v>3277542</v>
      </c>
      <c r="I72" s="2955">
        <v>32358</v>
      </c>
      <c r="J72" s="2955">
        <v>34042</v>
      </c>
      <c r="K72" s="2959">
        <v>101.29</v>
      </c>
      <c r="L72" s="2955">
        <v>96.28</v>
      </c>
      <c r="M72" s="2954" t="s">
        <v>3450</v>
      </c>
      <c r="N72" s="2954" t="s">
        <v>3451</v>
      </c>
      <c r="O72" s="2954" t="s">
        <v>3283</v>
      </c>
      <c r="P72" s="2954" t="s">
        <v>3289</v>
      </c>
      <c r="Q72" s="2954" t="s">
        <v>3474</v>
      </c>
      <c r="R72" s="2954" t="s">
        <v>3291</v>
      </c>
      <c r="S72" s="2954">
        <v>3277542</v>
      </c>
      <c r="T72" s="2954" t="s">
        <v>3450</v>
      </c>
      <c r="U72" s="2954" t="s">
        <v>3244</v>
      </c>
      <c r="V72" s="2956">
        <v>44195</v>
      </c>
      <c r="W72" s="2954" t="s">
        <v>3051</v>
      </c>
      <c r="X72" s="2954" t="s">
        <v>3283</v>
      </c>
      <c r="Y72" s="2954" t="s">
        <v>3283</v>
      </c>
      <c r="Z72" s="2957">
        <v>43220.395196759302</v>
      </c>
      <c r="AA72" s="2954" t="s">
        <v>3453</v>
      </c>
      <c r="AB72" s="2954" t="s">
        <v>3293</v>
      </c>
      <c r="AC72" s="2954" t="s">
        <v>3294</v>
      </c>
      <c r="AD72" s="2954" t="s">
        <v>3454</v>
      </c>
      <c r="AE72" s="2954" t="s">
        <v>3051</v>
      </c>
      <c r="AF72" s="2954" t="s">
        <v>3283</v>
      </c>
    </row>
    <row r="73" spans="1:32" ht="67.5">
      <c r="A73" s="2954">
        <v>5787</v>
      </c>
      <c r="B73" s="2954" t="s">
        <v>3281</v>
      </c>
      <c r="C73" s="2954" t="s">
        <v>3471</v>
      </c>
      <c r="D73" s="2954" t="s">
        <v>3283</v>
      </c>
      <c r="E73" s="2954" t="s">
        <v>3480</v>
      </c>
      <c r="F73" s="2954" t="s">
        <v>3481</v>
      </c>
      <c r="G73" s="2954" t="s">
        <v>3482</v>
      </c>
      <c r="H73" s="2955">
        <v>2483850</v>
      </c>
      <c r="I73" s="2955">
        <v>32558</v>
      </c>
      <c r="J73" s="2955">
        <v>34255</v>
      </c>
      <c r="K73" s="2959">
        <v>76.290000000000006</v>
      </c>
      <c r="L73" s="2955">
        <v>72.510000000000005</v>
      </c>
      <c r="M73" s="2954" t="s">
        <v>3450</v>
      </c>
      <c r="N73" s="2954" t="s">
        <v>3451</v>
      </c>
      <c r="O73" s="2954" t="s">
        <v>3283</v>
      </c>
      <c r="P73" s="2954" t="s">
        <v>3289</v>
      </c>
      <c r="Q73" s="2954" t="s">
        <v>3474</v>
      </c>
      <c r="R73" s="2954" t="s">
        <v>3291</v>
      </c>
      <c r="S73" s="2954">
        <v>2483850</v>
      </c>
      <c r="T73" s="2954" t="s">
        <v>3450</v>
      </c>
      <c r="U73" s="2954" t="s">
        <v>3244</v>
      </c>
      <c r="V73" s="2956">
        <v>44195</v>
      </c>
      <c r="W73" s="2954" t="s">
        <v>3051</v>
      </c>
      <c r="X73" s="2954" t="s">
        <v>3283</v>
      </c>
      <c r="Y73" s="2954" t="s">
        <v>3283</v>
      </c>
      <c r="Z73" s="2957">
        <v>43220.395196759302</v>
      </c>
      <c r="AA73" s="2954" t="s">
        <v>3453</v>
      </c>
      <c r="AB73" s="2954" t="s">
        <v>3293</v>
      </c>
      <c r="AC73" s="2954" t="s">
        <v>3294</v>
      </c>
      <c r="AD73" s="2954" t="s">
        <v>3454</v>
      </c>
      <c r="AE73" s="2954" t="s">
        <v>3051</v>
      </c>
      <c r="AF73" s="2954" t="s">
        <v>3283</v>
      </c>
    </row>
    <row r="74" spans="1:32" ht="67.5">
      <c r="A74" s="2954">
        <v>5788</v>
      </c>
      <c r="B74" s="2954" t="s">
        <v>3281</v>
      </c>
      <c r="C74" s="2954" t="s">
        <v>3471</v>
      </c>
      <c r="D74" s="2954" t="s">
        <v>3283</v>
      </c>
      <c r="E74" s="2954" t="s">
        <v>3447</v>
      </c>
      <c r="F74" s="2954" t="s">
        <v>3483</v>
      </c>
      <c r="G74" s="2954" t="s">
        <v>3484</v>
      </c>
      <c r="H74" s="2955">
        <v>3202955</v>
      </c>
      <c r="I74" s="2955">
        <v>32458</v>
      </c>
      <c r="J74" s="2955">
        <v>34147</v>
      </c>
      <c r="K74" s="2959">
        <v>98.68</v>
      </c>
      <c r="L74" s="2955">
        <v>93.8</v>
      </c>
      <c r="M74" s="2954" t="s">
        <v>3450</v>
      </c>
      <c r="N74" s="2954" t="s">
        <v>3451</v>
      </c>
      <c r="O74" s="2954" t="s">
        <v>3283</v>
      </c>
      <c r="P74" s="2954" t="s">
        <v>3289</v>
      </c>
      <c r="Q74" s="2954" t="s">
        <v>3474</v>
      </c>
      <c r="R74" s="2954" t="s">
        <v>3291</v>
      </c>
      <c r="S74" s="2954">
        <v>3202955</v>
      </c>
      <c r="T74" s="2954" t="s">
        <v>3450</v>
      </c>
      <c r="U74" s="2954" t="s">
        <v>3244</v>
      </c>
      <c r="V74" s="2956">
        <v>44195</v>
      </c>
      <c r="W74" s="2954" t="s">
        <v>3051</v>
      </c>
      <c r="X74" s="2954" t="s">
        <v>3283</v>
      </c>
      <c r="Y74" s="2954" t="s">
        <v>3283</v>
      </c>
      <c r="Z74" s="2957">
        <v>43220.395196759302</v>
      </c>
      <c r="AA74" s="2954" t="s">
        <v>3453</v>
      </c>
      <c r="AB74" s="2954" t="s">
        <v>3293</v>
      </c>
      <c r="AC74" s="2954" t="s">
        <v>3294</v>
      </c>
      <c r="AD74" s="2954" t="s">
        <v>3454</v>
      </c>
      <c r="AE74" s="2954" t="s">
        <v>3051</v>
      </c>
      <c r="AF74" s="2954" t="s">
        <v>3283</v>
      </c>
    </row>
    <row r="75" spans="1:32" ht="67.5">
      <c r="A75" s="2954">
        <v>5789</v>
      </c>
      <c r="B75" s="2954" t="s">
        <v>3281</v>
      </c>
      <c r="C75" s="2954" t="s">
        <v>3471</v>
      </c>
      <c r="D75" s="2954" t="s">
        <v>3283</v>
      </c>
      <c r="E75" s="2954" t="s">
        <v>3485</v>
      </c>
      <c r="F75" s="2954" t="s">
        <v>4409</v>
      </c>
      <c r="G75" s="2954" t="s">
        <v>3486</v>
      </c>
      <c r="H75" s="2955">
        <v>2738435</v>
      </c>
      <c r="I75" s="2955">
        <v>33858</v>
      </c>
      <c r="J75" s="2955">
        <v>35620</v>
      </c>
      <c r="K75" s="2959">
        <v>80.88</v>
      </c>
      <c r="L75" s="2955">
        <v>76.88</v>
      </c>
      <c r="M75" s="2954" t="s">
        <v>3450</v>
      </c>
      <c r="N75" s="2954" t="s">
        <v>3451</v>
      </c>
      <c r="O75" s="2954" t="s">
        <v>3283</v>
      </c>
      <c r="P75" s="2954" t="s">
        <v>3289</v>
      </c>
      <c r="Q75" s="2954" t="s">
        <v>3474</v>
      </c>
      <c r="R75" s="2954" t="s">
        <v>3291</v>
      </c>
      <c r="S75" s="2954">
        <v>2738435</v>
      </c>
      <c r="T75" s="2954" t="s">
        <v>3450</v>
      </c>
      <c r="U75" s="2954" t="s">
        <v>3244</v>
      </c>
      <c r="V75" s="2956">
        <v>44195</v>
      </c>
      <c r="W75" s="2954" t="s">
        <v>3051</v>
      </c>
      <c r="X75" s="2954" t="s">
        <v>3283</v>
      </c>
      <c r="Y75" s="2954" t="s">
        <v>3283</v>
      </c>
      <c r="Z75" s="2957">
        <v>43220.395196759302</v>
      </c>
      <c r="AA75" s="2954" t="s">
        <v>3453</v>
      </c>
      <c r="AB75" s="2954" t="s">
        <v>3293</v>
      </c>
      <c r="AC75" s="2954" t="s">
        <v>3294</v>
      </c>
      <c r="AD75" s="2954" t="s">
        <v>3454</v>
      </c>
      <c r="AE75" s="2954" t="s">
        <v>3051</v>
      </c>
      <c r="AF75" s="2954" t="s">
        <v>3283</v>
      </c>
    </row>
    <row r="76" spans="1:32" s="2968" customFormat="1">
      <c r="A76" s="2964"/>
      <c r="B76" s="2964"/>
      <c r="C76" s="2964"/>
      <c r="D76" s="2964"/>
      <c r="E76" s="2964"/>
      <c r="F76" s="2964" t="s">
        <v>4410</v>
      </c>
      <c r="G76" s="2964"/>
      <c r="H76" s="2965"/>
      <c r="I76" s="2965"/>
      <c r="J76" s="2965"/>
      <c r="K76" s="2965">
        <f>SUM(K70:K75)</f>
        <v>503.16</v>
      </c>
      <c r="L76" s="2965"/>
      <c r="M76" s="2964"/>
      <c r="N76" s="2964"/>
      <c r="O76" s="2964"/>
      <c r="P76" s="2964"/>
      <c r="Q76" s="2964"/>
      <c r="R76" s="2964"/>
      <c r="S76" s="2964"/>
      <c r="T76" s="2964"/>
      <c r="U76" s="2964"/>
      <c r="V76" s="2966"/>
      <c r="W76" s="2964"/>
      <c r="X76" s="2964"/>
      <c r="Y76" s="2964"/>
      <c r="Z76" s="2967"/>
      <c r="AA76" s="2964"/>
      <c r="AB76" s="2964"/>
      <c r="AC76" s="2964"/>
      <c r="AD76" s="2964"/>
      <c r="AE76" s="2964"/>
      <c r="AF76" s="2964"/>
    </row>
    <row r="77" spans="1:32" ht="67.5">
      <c r="A77" s="2954">
        <v>5800</v>
      </c>
      <c r="B77" s="2954" t="s">
        <v>3281</v>
      </c>
      <c r="C77" s="2954" t="s">
        <v>3487</v>
      </c>
      <c r="D77" s="2954" t="s">
        <v>3283</v>
      </c>
      <c r="E77" s="2954" t="s">
        <v>3284</v>
      </c>
      <c r="F77" s="2954" t="s">
        <v>3488</v>
      </c>
      <c r="G77" s="2954" t="s">
        <v>3489</v>
      </c>
      <c r="H77" s="2955">
        <v>2547361</v>
      </c>
      <c r="I77" s="2955">
        <v>36558</v>
      </c>
      <c r="J77" s="2955">
        <v>39022</v>
      </c>
      <c r="K77" s="2959">
        <v>69.680000000000007</v>
      </c>
      <c r="L77" s="2955">
        <v>65.28</v>
      </c>
      <c r="M77" s="2954" t="s">
        <v>3450</v>
      </c>
      <c r="N77" s="2954" t="s">
        <v>3451</v>
      </c>
      <c r="O77" s="2954" t="s">
        <v>3283</v>
      </c>
      <c r="P77" s="2954" t="s">
        <v>3289</v>
      </c>
      <c r="Q77" s="2954" t="s">
        <v>3490</v>
      </c>
      <c r="R77" s="2954" t="s">
        <v>3291</v>
      </c>
      <c r="S77" s="2954">
        <v>2547361</v>
      </c>
      <c r="T77" s="2954" t="s">
        <v>3450</v>
      </c>
      <c r="U77" s="2954" t="s">
        <v>3244</v>
      </c>
      <c r="V77" s="2956">
        <v>44195</v>
      </c>
      <c r="W77" s="2954" t="s">
        <v>3051</v>
      </c>
      <c r="X77" s="2954" t="s">
        <v>3283</v>
      </c>
      <c r="Y77" s="2954" t="s">
        <v>3283</v>
      </c>
      <c r="Z77" s="2957">
        <v>43220.395092592596</v>
      </c>
      <c r="AA77" s="2954" t="s">
        <v>3453</v>
      </c>
      <c r="AB77" s="2954" t="s">
        <v>3293</v>
      </c>
      <c r="AC77" s="2954" t="s">
        <v>3294</v>
      </c>
      <c r="AD77" s="2954" t="s">
        <v>3454</v>
      </c>
      <c r="AE77" s="2954" t="s">
        <v>3051</v>
      </c>
      <c r="AF77" s="2954" t="s">
        <v>3283</v>
      </c>
    </row>
    <row r="78" spans="1:32" ht="67.5">
      <c r="A78" s="2954">
        <v>5802</v>
      </c>
      <c r="B78" s="2954" t="s">
        <v>3281</v>
      </c>
      <c r="C78" s="2954" t="s">
        <v>3487</v>
      </c>
      <c r="D78" s="2954" t="s">
        <v>3283</v>
      </c>
      <c r="E78" s="2954" t="s">
        <v>3464</v>
      </c>
      <c r="F78" s="2954" t="s">
        <v>3491</v>
      </c>
      <c r="G78" s="2954" t="s">
        <v>3492</v>
      </c>
      <c r="H78" s="2955">
        <v>2634916</v>
      </c>
      <c r="I78" s="2955">
        <v>34858</v>
      </c>
      <c r="J78" s="2955">
        <v>37211</v>
      </c>
      <c r="K78" s="2959">
        <v>75.59</v>
      </c>
      <c r="L78" s="2955">
        <v>70.81</v>
      </c>
      <c r="M78" s="2954" t="s">
        <v>3450</v>
      </c>
      <c r="N78" s="2954" t="s">
        <v>3451</v>
      </c>
      <c r="O78" s="2954" t="s">
        <v>3283</v>
      </c>
      <c r="P78" s="2954" t="s">
        <v>3289</v>
      </c>
      <c r="Q78" s="2954" t="s">
        <v>3490</v>
      </c>
      <c r="R78" s="2954" t="s">
        <v>3291</v>
      </c>
      <c r="S78" s="2954">
        <v>2634916</v>
      </c>
      <c r="T78" s="2954" t="s">
        <v>3450</v>
      </c>
      <c r="U78" s="2954" t="s">
        <v>3244</v>
      </c>
      <c r="V78" s="2956">
        <v>44195</v>
      </c>
      <c r="W78" s="2954" t="s">
        <v>3051</v>
      </c>
      <c r="X78" s="2954" t="s">
        <v>3283</v>
      </c>
      <c r="Y78" s="2954" t="s">
        <v>3283</v>
      </c>
      <c r="Z78" s="2957">
        <v>43220.395092592596</v>
      </c>
      <c r="AA78" s="2954" t="s">
        <v>3453</v>
      </c>
      <c r="AB78" s="2954" t="s">
        <v>3293</v>
      </c>
      <c r="AC78" s="2954" t="s">
        <v>3294</v>
      </c>
      <c r="AD78" s="2954" t="s">
        <v>3454</v>
      </c>
      <c r="AE78" s="2954" t="s">
        <v>3051</v>
      </c>
      <c r="AF78" s="2954" t="s">
        <v>3283</v>
      </c>
    </row>
    <row r="79" spans="1:32" ht="67.5">
      <c r="A79" s="2954">
        <v>5803</v>
      </c>
      <c r="B79" s="2954" t="s">
        <v>3281</v>
      </c>
      <c r="C79" s="2954" t="s">
        <v>3487</v>
      </c>
      <c r="D79" s="2954" t="s">
        <v>3283</v>
      </c>
      <c r="E79" s="2954" t="s">
        <v>3493</v>
      </c>
      <c r="F79" s="2954" t="s">
        <v>3494</v>
      </c>
      <c r="G79" s="2954" t="s">
        <v>3495</v>
      </c>
      <c r="H79" s="2955">
        <v>2256966</v>
      </c>
      <c r="I79" s="2955">
        <v>29858</v>
      </c>
      <c r="J79" s="2955">
        <v>31874</v>
      </c>
      <c r="K79" s="2959">
        <v>75.59</v>
      </c>
      <c r="L79" s="2955">
        <v>70.81</v>
      </c>
      <c r="M79" s="2954" t="s">
        <v>3450</v>
      </c>
      <c r="N79" s="2954" t="s">
        <v>3451</v>
      </c>
      <c r="O79" s="2954" t="s">
        <v>3283</v>
      </c>
      <c r="P79" s="2954" t="s">
        <v>3289</v>
      </c>
      <c r="Q79" s="2954" t="s">
        <v>3490</v>
      </c>
      <c r="R79" s="2954" t="s">
        <v>3291</v>
      </c>
      <c r="S79" s="2954">
        <v>2256966</v>
      </c>
      <c r="T79" s="2954" t="s">
        <v>3450</v>
      </c>
      <c r="U79" s="2954" t="s">
        <v>3244</v>
      </c>
      <c r="V79" s="2956">
        <v>44195</v>
      </c>
      <c r="W79" s="2954" t="s">
        <v>3051</v>
      </c>
      <c r="X79" s="2954" t="s">
        <v>3283</v>
      </c>
      <c r="Y79" s="2954" t="s">
        <v>3283</v>
      </c>
      <c r="Z79" s="2957">
        <v>43220.395092592596</v>
      </c>
      <c r="AA79" s="2954" t="s">
        <v>3453</v>
      </c>
      <c r="AB79" s="2954" t="s">
        <v>3293</v>
      </c>
      <c r="AC79" s="2954" t="s">
        <v>3294</v>
      </c>
      <c r="AD79" s="2954" t="s">
        <v>3454</v>
      </c>
      <c r="AE79" s="2954" t="s">
        <v>3051</v>
      </c>
      <c r="AF79" s="2954" t="s">
        <v>3283</v>
      </c>
    </row>
    <row r="80" spans="1:32" ht="67.5">
      <c r="A80" s="2954">
        <v>5805</v>
      </c>
      <c r="B80" s="2954" t="s">
        <v>3281</v>
      </c>
      <c r="C80" s="2954" t="s">
        <v>3487</v>
      </c>
      <c r="D80" s="2954" t="s">
        <v>3283</v>
      </c>
      <c r="E80" s="2954" t="s">
        <v>3467</v>
      </c>
      <c r="F80" s="2954" t="s">
        <v>3496</v>
      </c>
      <c r="G80" s="2954" t="s">
        <v>3497</v>
      </c>
      <c r="H80" s="2955">
        <v>2144402</v>
      </c>
      <c r="I80" s="2955">
        <v>29858</v>
      </c>
      <c r="J80" s="2955">
        <v>31873</v>
      </c>
      <c r="K80" s="2959">
        <v>71.819999999999993</v>
      </c>
      <c r="L80" s="2955">
        <v>67.28</v>
      </c>
      <c r="M80" s="2954" t="s">
        <v>3450</v>
      </c>
      <c r="N80" s="2954" t="s">
        <v>3451</v>
      </c>
      <c r="O80" s="2954" t="s">
        <v>3283</v>
      </c>
      <c r="P80" s="2954" t="s">
        <v>3289</v>
      </c>
      <c r="Q80" s="2954" t="s">
        <v>3490</v>
      </c>
      <c r="R80" s="2954" t="s">
        <v>3291</v>
      </c>
      <c r="S80" s="2954">
        <v>2144402</v>
      </c>
      <c r="T80" s="2954" t="s">
        <v>3450</v>
      </c>
      <c r="U80" s="2954" t="s">
        <v>3244</v>
      </c>
      <c r="V80" s="2956">
        <v>44195</v>
      </c>
      <c r="W80" s="2954" t="s">
        <v>3051</v>
      </c>
      <c r="X80" s="2954" t="s">
        <v>3283</v>
      </c>
      <c r="Y80" s="2954" t="s">
        <v>3283</v>
      </c>
      <c r="Z80" s="2957">
        <v>43220.395092592596</v>
      </c>
      <c r="AA80" s="2954" t="s">
        <v>3453</v>
      </c>
      <c r="AB80" s="2954" t="s">
        <v>3293</v>
      </c>
      <c r="AC80" s="2954" t="s">
        <v>3294</v>
      </c>
      <c r="AD80" s="2954" t="s">
        <v>3454</v>
      </c>
      <c r="AE80" s="2954" t="s">
        <v>3051</v>
      </c>
      <c r="AF80" s="2954" t="s">
        <v>3283</v>
      </c>
    </row>
    <row r="81" spans="1:32" ht="67.5">
      <c r="A81" s="2954">
        <v>5806</v>
      </c>
      <c r="B81" s="2954" t="s">
        <v>3281</v>
      </c>
      <c r="C81" s="2954" t="s">
        <v>3487</v>
      </c>
      <c r="D81" s="2954" t="s">
        <v>3283</v>
      </c>
      <c r="E81" s="2954" t="s">
        <v>3480</v>
      </c>
      <c r="F81" s="2954" t="s">
        <v>3498</v>
      </c>
      <c r="G81" s="2954" t="s">
        <v>3499</v>
      </c>
      <c r="H81" s="2955">
        <v>2144402</v>
      </c>
      <c r="I81" s="2955">
        <v>29858</v>
      </c>
      <c r="J81" s="2955">
        <v>31873</v>
      </c>
      <c r="K81" s="2959">
        <v>71.819999999999993</v>
      </c>
      <c r="L81" s="2955">
        <v>67.28</v>
      </c>
      <c r="M81" s="2954" t="s">
        <v>3450</v>
      </c>
      <c r="N81" s="2954" t="s">
        <v>3451</v>
      </c>
      <c r="O81" s="2954" t="s">
        <v>3283</v>
      </c>
      <c r="P81" s="2954" t="s">
        <v>3289</v>
      </c>
      <c r="Q81" s="2954" t="s">
        <v>3490</v>
      </c>
      <c r="R81" s="2954" t="s">
        <v>3291</v>
      </c>
      <c r="S81" s="2954">
        <v>2144402</v>
      </c>
      <c r="T81" s="2954" t="s">
        <v>3450</v>
      </c>
      <c r="U81" s="2954" t="s">
        <v>3244</v>
      </c>
      <c r="V81" s="2956">
        <v>44195</v>
      </c>
      <c r="W81" s="2954" t="s">
        <v>3051</v>
      </c>
      <c r="X81" s="2954" t="s">
        <v>3283</v>
      </c>
      <c r="Y81" s="2954" t="s">
        <v>3283</v>
      </c>
      <c r="Z81" s="2957">
        <v>43220.395092592596</v>
      </c>
      <c r="AA81" s="2954" t="s">
        <v>3453</v>
      </c>
      <c r="AB81" s="2954" t="s">
        <v>3293</v>
      </c>
      <c r="AC81" s="2954" t="s">
        <v>3294</v>
      </c>
      <c r="AD81" s="2954" t="s">
        <v>3454</v>
      </c>
      <c r="AE81" s="2954" t="s">
        <v>3051</v>
      </c>
      <c r="AF81" s="2954" t="s">
        <v>3283</v>
      </c>
    </row>
    <row r="82" spans="1:32" ht="67.5">
      <c r="A82" s="2954">
        <v>5808</v>
      </c>
      <c r="B82" s="2954" t="s">
        <v>3281</v>
      </c>
      <c r="C82" s="2954" t="s">
        <v>3487</v>
      </c>
      <c r="D82" s="2954" t="s">
        <v>3283</v>
      </c>
      <c r="E82" s="2954" t="s">
        <v>3485</v>
      </c>
      <c r="F82" s="2954" t="s">
        <v>3500</v>
      </c>
      <c r="G82" s="2954" t="s">
        <v>3501</v>
      </c>
      <c r="H82" s="2955">
        <v>2257265</v>
      </c>
      <c r="I82" s="2955">
        <v>29858</v>
      </c>
      <c r="J82" s="2955">
        <v>31873</v>
      </c>
      <c r="K82" s="2959">
        <v>75.599999999999994</v>
      </c>
      <c r="L82" s="2955">
        <v>70.819999999999993</v>
      </c>
      <c r="M82" s="2954" t="s">
        <v>3450</v>
      </c>
      <c r="N82" s="2954" t="s">
        <v>3451</v>
      </c>
      <c r="O82" s="2954" t="s">
        <v>3283</v>
      </c>
      <c r="P82" s="2954" t="s">
        <v>3289</v>
      </c>
      <c r="Q82" s="2954" t="s">
        <v>3490</v>
      </c>
      <c r="R82" s="2954" t="s">
        <v>3291</v>
      </c>
      <c r="S82" s="2954">
        <v>2257265</v>
      </c>
      <c r="T82" s="2954" t="s">
        <v>3450</v>
      </c>
      <c r="U82" s="2954" t="s">
        <v>3244</v>
      </c>
      <c r="V82" s="2956">
        <v>44195</v>
      </c>
      <c r="W82" s="2954" t="s">
        <v>3051</v>
      </c>
      <c r="X82" s="2954" t="s">
        <v>3283</v>
      </c>
      <c r="Y82" s="2954" t="s">
        <v>3283</v>
      </c>
      <c r="Z82" s="2957">
        <v>43220.395092592596</v>
      </c>
      <c r="AA82" s="2954" t="s">
        <v>3453</v>
      </c>
      <c r="AB82" s="2954" t="s">
        <v>3293</v>
      </c>
      <c r="AC82" s="2954" t="s">
        <v>3294</v>
      </c>
      <c r="AD82" s="2954" t="s">
        <v>3454</v>
      </c>
      <c r="AE82" s="2954" t="s">
        <v>3051</v>
      </c>
      <c r="AF82" s="2954" t="s">
        <v>3283</v>
      </c>
    </row>
    <row r="83" spans="1:32" ht="67.5">
      <c r="A83" s="2954">
        <v>5809</v>
      </c>
      <c r="B83" s="2954" t="s">
        <v>3281</v>
      </c>
      <c r="C83" s="2954" t="s">
        <v>3487</v>
      </c>
      <c r="D83" s="2954" t="s">
        <v>3283</v>
      </c>
      <c r="E83" s="2954" t="s">
        <v>3502</v>
      </c>
      <c r="F83" s="2954" t="s">
        <v>3503</v>
      </c>
      <c r="G83" s="2954" t="s">
        <v>3504</v>
      </c>
      <c r="H83" s="2955">
        <v>2257265</v>
      </c>
      <c r="I83" s="2955">
        <v>29858</v>
      </c>
      <c r="J83" s="2955">
        <v>31873</v>
      </c>
      <c r="K83" s="2959">
        <v>75.599999999999994</v>
      </c>
      <c r="L83" s="2955">
        <v>70.819999999999993</v>
      </c>
      <c r="M83" s="2954" t="s">
        <v>3450</v>
      </c>
      <c r="N83" s="2954" t="s">
        <v>3451</v>
      </c>
      <c r="O83" s="2954" t="s">
        <v>3283</v>
      </c>
      <c r="P83" s="2954" t="s">
        <v>3289</v>
      </c>
      <c r="Q83" s="2954" t="s">
        <v>3490</v>
      </c>
      <c r="R83" s="2954" t="s">
        <v>3291</v>
      </c>
      <c r="S83" s="2954">
        <v>2257265</v>
      </c>
      <c r="T83" s="2954" t="s">
        <v>3450</v>
      </c>
      <c r="U83" s="2954" t="s">
        <v>3244</v>
      </c>
      <c r="V83" s="2956">
        <v>44195</v>
      </c>
      <c r="W83" s="2954" t="s">
        <v>3051</v>
      </c>
      <c r="X83" s="2954" t="s">
        <v>3283</v>
      </c>
      <c r="Y83" s="2954" t="s">
        <v>3283</v>
      </c>
      <c r="Z83" s="2957">
        <v>43220.395092592596</v>
      </c>
      <c r="AA83" s="2954" t="s">
        <v>3453</v>
      </c>
      <c r="AB83" s="2954" t="s">
        <v>3293</v>
      </c>
      <c r="AC83" s="2954" t="s">
        <v>3294</v>
      </c>
      <c r="AD83" s="2954" t="s">
        <v>3454</v>
      </c>
      <c r="AE83" s="2954" t="s">
        <v>3051</v>
      </c>
      <c r="AF83" s="2954" t="s">
        <v>3283</v>
      </c>
    </row>
    <row r="84" spans="1:32" ht="67.5">
      <c r="A84" s="2954">
        <v>5811</v>
      </c>
      <c r="B84" s="2954" t="s">
        <v>3281</v>
      </c>
      <c r="C84" s="2954" t="s">
        <v>3487</v>
      </c>
      <c r="D84" s="2954" t="s">
        <v>3283</v>
      </c>
      <c r="E84" s="2954" t="s">
        <v>3505</v>
      </c>
      <c r="F84" s="2954" t="s">
        <v>3506</v>
      </c>
      <c r="G84" s="2954" t="s">
        <v>3507</v>
      </c>
      <c r="H84" s="2955">
        <v>2144402</v>
      </c>
      <c r="I84" s="2955">
        <v>29858</v>
      </c>
      <c r="J84" s="2955">
        <v>31873</v>
      </c>
      <c r="K84" s="2959">
        <v>71.819999999999993</v>
      </c>
      <c r="L84" s="2955">
        <v>67.28</v>
      </c>
      <c r="M84" s="2954" t="s">
        <v>3450</v>
      </c>
      <c r="N84" s="2954" t="s">
        <v>3451</v>
      </c>
      <c r="O84" s="2954" t="s">
        <v>3283</v>
      </c>
      <c r="P84" s="2954" t="s">
        <v>3289</v>
      </c>
      <c r="Q84" s="2954" t="s">
        <v>3490</v>
      </c>
      <c r="R84" s="2954" t="s">
        <v>3291</v>
      </c>
      <c r="S84" s="2954">
        <v>2144402</v>
      </c>
      <c r="T84" s="2954" t="s">
        <v>3450</v>
      </c>
      <c r="U84" s="2954" t="s">
        <v>3244</v>
      </c>
      <c r="V84" s="2956">
        <v>44195</v>
      </c>
      <c r="W84" s="2954" t="s">
        <v>3051</v>
      </c>
      <c r="X84" s="2954" t="s">
        <v>3283</v>
      </c>
      <c r="Y84" s="2954" t="s">
        <v>3283</v>
      </c>
      <c r="Z84" s="2957">
        <v>43220.395092592596</v>
      </c>
      <c r="AA84" s="2954" t="s">
        <v>3453</v>
      </c>
      <c r="AB84" s="2954" t="s">
        <v>3293</v>
      </c>
      <c r="AC84" s="2954" t="s">
        <v>3294</v>
      </c>
      <c r="AD84" s="2954" t="s">
        <v>3454</v>
      </c>
      <c r="AE84" s="2954" t="s">
        <v>3051</v>
      </c>
      <c r="AF84" s="2954" t="s">
        <v>3283</v>
      </c>
    </row>
    <row r="85" spans="1:32" ht="67.5">
      <c r="A85" s="2954">
        <v>5812</v>
      </c>
      <c r="B85" s="2954" t="s">
        <v>3281</v>
      </c>
      <c r="C85" s="2954" t="s">
        <v>3487</v>
      </c>
      <c r="D85" s="2954" t="s">
        <v>3283</v>
      </c>
      <c r="E85" s="2954" t="s">
        <v>3508</v>
      </c>
      <c r="F85" s="2954" t="s">
        <v>3509</v>
      </c>
      <c r="G85" s="2954" t="s">
        <v>3510</v>
      </c>
      <c r="H85" s="2955">
        <v>2144402</v>
      </c>
      <c r="I85" s="2955">
        <v>29858</v>
      </c>
      <c r="J85" s="2955">
        <v>31873</v>
      </c>
      <c r="K85" s="2959">
        <v>71.819999999999993</v>
      </c>
      <c r="L85" s="2955">
        <v>67.28</v>
      </c>
      <c r="M85" s="2954" t="s">
        <v>3450</v>
      </c>
      <c r="N85" s="2954" t="s">
        <v>3451</v>
      </c>
      <c r="O85" s="2954" t="s">
        <v>3283</v>
      </c>
      <c r="P85" s="2954" t="s">
        <v>3289</v>
      </c>
      <c r="Q85" s="2954" t="s">
        <v>3490</v>
      </c>
      <c r="R85" s="2954" t="s">
        <v>3291</v>
      </c>
      <c r="S85" s="2954">
        <v>2144402</v>
      </c>
      <c r="T85" s="2954" t="s">
        <v>3450</v>
      </c>
      <c r="U85" s="2954" t="s">
        <v>3244</v>
      </c>
      <c r="V85" s="2956">
        <v>44195</v>
      </c>
      <c r="W85" s="2954" t="s">
        <v>3051</v>
      </c>
      <c r="X85" s="2954" t="s">
        <v>3283</v>
      </c>
      <c r="Y85" s="2954" t="s">
        <v>3283</v>
      </c>
      <c r="Z85" s="2957">
        <v>43220.395092592596</v>
      </c>
      <c r="AA85" s="2954" t="s">
        <v>3453</v>
      </c>
      <c r="AB85" s="2954" t="s">
        <v>3293</v>
      </c>
      <c r="AC85" s="2954" t="s">
        <v>3294</v>
      </c>
      <c r="AD85" s="2954" t="s">
        <v>3454</v>
      </c>
      <c r="AE85" s="2954" t="s">
        <v>3051</v>
      </c>
      <c r="AF85" s="2954" t="s">
        <v>3283</v>
      </c>
    </row>
    <row r="86" spans="1:32" ht="67.5">
      <c r="A86" s="2954">
        <v>5814</v>
      </c>
      <c r="B86" s="2954" t="s">
        <v>3281</v>
      </c>
      <c r="C86" s="2954" t="s">
        <v>3487</v>
      </c>
      <c r="D86" s="2954" t="s">
        <v>3283</v>
      </c>
      <c r="E86" s="2954" t="s">
        <v>3511</v>
      </c>
      <c r="F86" s="2954" t="s">
        <v>3512</v>
      </c>
      <c r="G86" s="2954" t="s">
        <v>3513</v>
      </c>
      <c r="H86" s="2955">
        <v>2256966</v>
      </c>
      <c r="I86" s="2955">
        <v>29858</v>
      </c>
      <c r="J86" s="2955">
        <v>31874</v>
      </c>
      <c r="K86" s="2959">
        <v>75.59</v>
      </c>
      <c r="L86" s="2955">
        <v>70.81</v>
      </c>
      <c r="M86" s="2954" t="s">
        <v>3450</v>
      </c>
      <c r="N86" s="2954" t="s">
        <v>3451</v>
      </c>
      <c r="O86" s="2954" t="s">
        <v>3283</v>
      </c>
      <c r="P86" s="2954" t="s">
        <v>3289</v>
      </c>
      <c r="Q86" s="2954" t="s">
        <v>3490</v>
      </c>
      <c r="R86" s="2954" t="s">
        <v>3291</v>
      </c>
      <c r="S86" s="2954">
        <v>2256966</v>
      </c>
      <c r="T86" s="2954" t="s">
        <v>3450</v>
      </c>
      <c r="U86" s="2954" t="s">
        <v>3244</v>
      </c>
      <c r="V86" s="2956">
        <v>44195</v>
      </c>
      <c r="W86" s="2954" t="s">
        <v>3051</v>
      </c>
      <c r="X86" s="2954" t="s">
        <v>3283</v>
      </c>
      <c r="Y86" s="2954" t="s">
        <v>3283</v>
      </c>
      <c r="Z86" s="2957">
        <v>43220.395092592596</v>
      </c>
      <c r="AA86" s="2954" t="s">
        <v>3453</v>
      </c>
      <c r="AB86" s="2954" t="s">
        <v>3293</v>
      </c>
      <c r="AC86" s="2954" t="s">
        <v>3294</v>
      </c>
      <c r="AD86" s="2954" t="s">
        <v>3454</v>
      </c>
      <c r="AE86" s="2954" t="s">
        <v>3051</v>
      </c>
      <c r="AF86" s="2954" t="s">
        <v>3283</v>
      </c>
    </row>
    <row r="87" spans="1:32" ht="67.5">
      <c r="A87" s="2954">
        <v>5815</v>
      </c>
      <c r="B87" s="2954" t="s">
        <v>3281</v>
      </c>
      <c r="C87" s="2954" t="s">
        <v>3487</v>
      </c>
      <c r="D87" s="2954" t="s">
        <v>3283</v>
      </c>
      <c r="E87" s="2954" t="s">
        <v>3514</v>
      </c>
      <c r="F87" s="2954" t="s">
        <v>3515</v>
      </c>
      <c r="G87" s="2954" t="s">
        <v>3516</v>
      </c>
      <c r="H87" s="2955">
        <v>2256966</v>
      </c>
      <c r="I87" s="2955">
        <v>29858</v>
      </c>
      <c r="J87" s="2955">
        <v>31874</v>
      </c>
      <c r="K87" s="2959">
        <v>75.59</v>
      </c>
      <c r="L87" s="2955">
        <v>70.81</v>
      </c>
      <c r="M87" s="2954" t="s">
        <v>3450</v>
      </c>
      <c r="N87" s="2954" t="s">
        <v>3451</v>
      </c>
      <c r="O87" s="2954" t="s">
        <v>3283</v>
      </c>
      <c r="P87" s="2954" t="s">
        <v>3289</v>
      </c>
      <c r="Q87" s="2954" t="s">
        <v>3490</v>
      </c>
      <c r="R87" s="2954" t="s">
        <v>3291</v>
      </c>
      <c r="S87" s="2954">
        <v>2256966</v>
      </c>
      <c r="T87" s="2954" t="s">
        <v>3450</v>
      </c>
      <c r="U87" s="2954" t="s">
        <v>3244</v>
      </c>
      <c r="V87" s="2956">
        <v>44195</v>
      </c>
      <c r="W87" s="2954" t="s">
        <v>3051</v>
      </c>
      <c r="X87" s="2954" t="s">
        <v>3283</v>
      </c>
      <c r="Y87" s="2954" t="s">
        <v>3283</v>
      </c>
      <c r="Z87" s="2957">
        <v>43220.395092592596</v>
      </c>
      <c r="AA87" s="2954" t="s">
        <v>3453</v>
      </c>
      <c r="AB87" s="2954" t="s">
        <v>3293</v>
      </c>
      <c r="AC87" s="2954" t="s">
        <v>3294</v>
      </c>
      <c r="AD87" s="2954" t="s">
        <v>3454</v>
      </c>
      <c r="AE87" s="2954" t="s">
        <v>3051</v>
      </c>
      <c r="AF87" s="2954" t="s">
        <v>3283</v>
      </c>
    </row>
    <row r="88" spans="1:32" ht="67.5">
      <c r="A88" s="2954">
        <v>5817</v>
      </c>
      <c r="B88" s="2954" t="s">
        <v>3281</v>
      </c>
      <c r="C88" s="2954" t="s">
        <v>3487</v>
      </c>
      <c r="D88" s="2954" t="s">
        <v>3283</v>
      </c>
      <c r="E88" s="2954" t="s">
        <v>3517</v>
      </c>
      <c r="F88" s="2954" t="s">
        <v>4411</v>
      </c>
      <c r="G88" s="2954" t="s">
        <v>3518</v>
      </c>
      <c r="H88" s="2955">
        <v>2130038</v>
      </c>
      <c r="I88" s="2955">
        <v>29658</v>
      </c>
      <c r="J88" s="2955">
        <v>31659</v>
      </c>
      <c r="K88" s="2959">
        <v>71.819999999999993</v>
      </c>
      <c r="L88" s="2955">
        <v>67.28</v>
      </c>
      <c r="M88" s="2954" t="s">
        <v>3450</v>
      </c>
      <c r="N88" s="2954" t="s">
        <v>3451</v>
      </c>
      <c r="O88" s="2954" t="s">
        <v>3283</v>
      </c>
      <c r="P88" s="2954" t="s">
        <v>3289</v>
      </c>
      <c r="Q88" s="2954" t="s">
        <v>3490</v>
      </c>
      <c r="R88" s="2954" t="s">
        <v>3291</v>
      </c>
      <c r="S88" s="2954">
        <v>2130038</v>
      </c>
      <c r="T88" s="2954" t="s">
        <v>3450</v>
      </c>
      <c r="U88" s="2954" t="s">
        <v>3244</v>
      </c>
      <c r="V88" s="2956">
        <v>44195</v>
      </c>
      <c r="W88" s="2954" t="s">
        <v>3051</v>
      </c>
      <c r="X88" s="2954" t="s">
        <v>3283</v>
      </c>
      <c r="Y88" s="2954" t="s">
        <v>3283</v>
      </c>
      <c r="Z88" s="2957">
        <v>43220.395092592596</v>
      </c>
      <c r="AA88" s="2954" t="s">
        <v>3453</v>
      </c>
      <c r="AB88" s="2954" t="s">
        <v>3293</v>
      </c>
      <c r="AC88" s="2954" t="s">
        <v>3294</v>
      </c>
      <c r="AD88" s="2954" t="s">
        <v>3454</v>
      </c>
      <c r="AE88" s="2954" t="s">
        <v>3051</v>
      </c>
      <c r="AF88" s="2954" t="s">
        <v>3283</v>
      </c>
    </row>
    <row r="89" spans="1:32" s="2968" customFormat="1">
      <c r="A89" s="2964"/>
      <c r="B89" s="2964"/>
      <c r="C89" s="2964"/>
      <c r="D89" s="2964"/>
      <c r="E89" s="2964"/>
      <c r="F89" s="2964" t="s">
        <v>4412</v>
      </c>
      <c r="G89" s="2964"/>
      <c r="H89" s="2965"/>
      <c r="I89" s="2965"/>
      <c r="J89" s="2965"/>
      <c r="K89" s="2965">
        <f>SUM(K77:K88)</f>
        <v>882.33999999999992</v>
      </c>
      <c r="L89" s="2965"/>
      <c r="M89" s="2964"/>
      <c r="N89" s="2964"/>
      <c r="O89" s="2964"/>
      <c r="P89" s="2964"/>
      <c r="Q89" s="2964"/>
      <c r="R89" s="2964"/>
      <c r="S89" s="2964"/>
      <c r="T89" s="2964"/>
      <c r="U89" s="2964"/>
      <c r="V89" s="2966"/>
      <c r="W89" s="2964"/>
      <c r="X89" s="2964"/>
      <c r="Y89" s="2964"/>
      <c r="Z89" s="2967"/>
      <c r="AA89" s="2964"/>
      <c r="AB89" s="2964"/>
      <c r="AC89" s="2964"/>
      <c r="AD89" s="2964"/>
      <c r="AE89" s="2964"/>
      <c r="AF89" s="2964"/>
    </row>
    <row r="90" spans="1:32" ht="67.5">
      <c r="A90" s="2954">
        <v>5819</v>
      </c>
      <c r="B90" s="2954" t="s">
        <v>3281</v>
      </c>
      <c r="C90" s="2954" t="s">
        <v>3519</v>
      </c>
      <c r="D90" s="2954" t="s">
        <v>3283</v>
      </c>
      <c r="E90" s="2954" t="s">
        <v>3520</v>
      </c>
      <c r="F90" s="2954" t="s">
        <v>3521</v>
      </c>
      <c r="G90" s="2954" t="s">
        <v>3522</v>
      </c>
      <c r="H90" s="2955">
        <v>2403128</v>
      </c>
      <c r="I90" s="2955">
        <v>31758</v>
      </c>
      <c r="J90" s="2955">
        <v>33938</v>
      </c>
      <c r="K90" s="2959">
        <v>75.67</v>
      </c>
      <c r="L90" s="2955">
        <v>70.81</v>
      </c>
      <c r="M90" s="2954" t="s">
        <v>3450</v>
      </c>
      <c r="N90" s="2954" t="s">
        <v>3451</v>
      </c>
      <c r="O90" s="2954" t="s">
        <v>3283</v>
      </c>
      <c r="P90" s="2954" t="s">
        <v>3289</v>
      </c>
      <c r="Q90" s="2954" t="s">
        <v>3523</v>
      </c>
      <c r="R90" s="2954" t="s">
        <v>3291</v>
      </c>
      <c r="S90" s="2954">
        <v>2403128</v>
      </c>
      <c r="T90" s="2954" t="s">
        <v>3450</v>
      </c>
      <c r="U90" s="2954" t="s">
        <v>3244</v>
      </c>
      <c r="V90" s="2956">
        <v>44195</v>
      </c>
      <c r="W90" s="2954" t="s">
        <v>3051</v>
      </c>
      <c r="X90" s="2954" t="s">
        <v>3283</v>
      </c>
      <c r="Y90" s="2954" t="s">
        <v>3283</v>
      </c>
      <c r="Z90" s="2957">
        <v>43220.395011574103</v>
      </c>
      <c r="AA90" s="2954" t="s">
        <v>3453</v>
      </c>
      <c r="AB90" s="2954" t="s">
        <v>3293</v>
      </c>
      <c r="AC90" s="2954" t="s">
        <v>3294</v>
      </c>
      <c r="AD90" s="2954" t="s">
        <v>3454</v>
      </c>
      <c r="AE90" s="2954" t="s">
        <v>3051</v>
      </c>
      <c r="AF90" s="2954" t="s">
        <v>3283</v>
      </c>
    </row>
    <row r="91" spans="1:32" ht="67.5">
      <c r="A91" s="2954">
        <v>5821</v>
      </c>
      <c r="B91" s="2954" t="s">
        <v>3281</v>
      </c>
      <c r="C91" s="2954" t="s">
        <v>3519</v>
      </c>
      <c r="D91" s="2954" t="s">
        <v>3283</v>
      </c>
      <c r="E91" s="2954" t="s">
        <v>3464</v>
      </c>
      <c r="F91" s="2954" t="s">
        <v>3524</v>
      </c>
      <c r="G91" s="2954" t="s">
        <v>3525</v>
      </c>
      <c r="H91" s="2955">
        <v>2283083</v>
      </c>
      <c r="I91" s="2955">
        <v>31758</v>
      </c>
      <c r="J91" s="2955">
        <v>33934</v>
      </c>
      <c r="K91" s="2959">
        <v>71.89</v>
      </c>
      <c r="L91" s="2955">
        <v>67.28</v>
      </c>
      <c r="M91" s="2954" t="s">
        <v>3450</v>
      </c>
      <c r="N91" s="2954" t="s">
        <v>3451</v>
      </c>
      <c r="O91" s="2954" t="s">
        <v>3283</v>
      </c>
      <c r="P91" s="2954" t="s">
        <v>3289</v>
      </c>
      <c r="Q91" s="2954" t="s">
        <v>3523</v>
      </c>
      <c r="R91" s="2954" t="s">
        <v>3291</v>
      </c>
      <c r="S91" s="2954">
        <v>2283083</v>
      </c>
      <c r="T91" s="2954" t="s">
        <v>3450</v>
      </c>
      <c r="U91" s="2954" t="s">
        <v>3244</v>
      </c>
      <c r="V91" s="2956">
        <v>44195</v>
      </c>
      <c r="W91" s="2954" t="s">
        <v>3051</v>
      </c>
      <c r="X91" s="2954" t="s">
        <v>3283</v>
      </c>
      <c r="Y91" s="2954" t="s">
        <v>3283</v>
      </c>
      <c r="Z91" s="2957">
        <v>43220.395011574103</v>
      </c>
      <c r="AA91" s="2954" t="s">
        <v>3453</v>
      </c>
      <c r="AB91" s="2954" t="s">
        <v>3293</v>
      </c>
      <c r="AC91" s="2954" t="s">
        <v>3294</v>
      </c>
      <c r="AD91" s="2954" t="s">
        <v>3454</v>
      </c>
      <c r="AE91" s="2954" t="s">
        <v>3051</v>
      </c>
      <c r="AF91" s="2954" t="s">
        <v>3283</v>
      </c>
    </row>
    <row r="92" spans="1:32" ht="67.5">
      <c r="A92" s="2954">
        <v>5822</v>
      </c>
      <c r="B92" s="2954" t="s">
        <v>3281</v>
      </c>
      <c r="C92" s="2954" t="s">
        <v>3519</v>
      </c>
      <c r="D92" s="2954" t="s">
        <v>3283</v>
      </c>
      <c r="E92" s="2954" t="s">
        <v>3493</v>
      </c>
      <c r="F92" s="2954" t="s">
        <v>3526</v>
      </c>
      <c r="G92" s="2954" t="s">
        <v>3527</v>
      </c>
      <c r="H92" s="2955">
        <v>2283083</v>
      </c>
      <c r="I92" s="2955">
        <v>31758</v>
      </c>
      <c r="J92" s="2955">
        <v>33934</v>
      </c>
      <c r="K92" s="2959">
        <v>71.89</v>
      </c>
      <c r="L92" s="2955">
        <v>67.28</v>
      </c>
      <c r="M92" s="2954" t="s">
        <v>3450</v>
      </c>
      <c r="N92" s="2954" t="s">
        <v>3451</v>
      </c>
      <c r="O92" s="2954" t="s">
        <v>3283</v>
      </c>
      <c r="P92" s="2954" t="s">
        <v>3289</v>
      </c>
      <c r="Q92" s="2954" t="s">
        <v>3523</v>
      </c>
      <c r="R92" s="2954" t="s">
        <v>3291</v>
      </c>
      <c r="S92" s="2954">
        <v>2283083</v>
      </c>
      <c r="T92" s="2954" t="s">
        <v>3450</v>
      </c>
      <c r="U92" s="2954" t="s">
        <v>3244</v>
      </c>
      <c r="V92" s="2956">
        <v>44195</v>
      </c>
      <c r="W92" s="2954" t="s">
        <v>3051</v>
      </c>
      <c r="X92" s="2954" t="s">
        <v>3283</v>
      </c>
      <c r="Y92" s="2954" t="s">
        <v>3283</v>
      </c>
      <c r="Z92" s="2957">
        <v>43220.395011574103</v>
      </c>
      <c r="AA92" s="2954" t="s">
        <v>3453</v>
      </c>
      <c r="AB92" s="2954" t="s">
        <v>3293</v>
      </c>
      <c r="AC92" s="2954" t="s">
        <v>3294</v>
      </c>
      <c r="AD92" s="2954" t="s">
        <v>3454</v>
      </c>
      <c r="AE92" s="2954" t="s">
        <v>3051</v>
      </c>
      <c r="AF92" s="2954" t="s">
        <v>3283</v>
      </c>
    </row>
    <row r="93" spans="1:32" ht="67.5">
      <c r="A93" s="2954">
        <v>5824</v>
      </c>
      <c r="B93" s="2954" t="s">
        <v>3281</v>
      </c>
      <c r="C93" s="2954" t="s">
        <v>3519</v>
      </c>
      <c r="D93" s="2954" t="s">
        <v>3283</v>
      </c>
      <c r="E93" s="2954" t="s">
        <v>3467</v>
      </c>
      <c r="F93" s="2954" t="s">
        <v>3528</v>
      </c>
      <c r="G93" s="2954" t="s">
        <v>3529</v>
      </c>
      <c r="H93" s="2955">
        <v>2403445</v>
      </c>
      <c r="I93" s="2955">
        <v>31758</v>
      </c>
      <c r="J93" s="2955">
        <v>33937</v>
      </c>
      <c r="K93" s="2959">
        <v>75.680000000000007</v>
      </c>
      <c r="L93" s="2955">
        <v>70.819999999999993</v>
      </c>
      <c r="M93" s="2954" t="s">
        <v>3450</v>
      </c>
      <c r="N93" s="2954" t="s">
        <v>3451</v>
      </c>
      <c r="O93" s="2954" t="s">
        <v>3283</v>
      </c>
      <c r="P93" s="2954" t="s">
        <v>3289</v>
      </c>
      <c r="Q93" s="2954" t="s">
        <v>3523</v>
      </c>
      <c r="R93" s="2954" t="s">
        <v>3291</v>
      </c>
      <c r="S93" s="2954">
        <v>2403445</v>
      </c>
      <c r="T93" s="2954" t="s">
        <v>3450</v>
      </c>
      <c r="U93" s="2954" t="s">
        <v>3244</v>
      </c>
      <c r="V93" s="2956">
        <v>44195</v>
      </c>
      <c r="W93" s="2954" t="s">
        <v>3051</v>
      </c>
      <c r="X93" s="2954" t="s">
        <v>3283</v>
      </c>
      <c r="Y93" s="2954" t="s">
        <v>3283</v>
      </c>
      <c r="Z93" s="2957">
        <v>43220.395011574103</v>
      </c>
      <c r="AA93" s="2954" t="s">
        <v>3453</v>
      </c>
      <c r="AB93" s="2954" t="s">
        <v>3293</v>
      </c>
      <c r="AC93" s="2954" t="s">
        <v>3294</v>
      </c>
      <c r="AD93" s="2954" t="s">
        <v>3454</v>
      </c>
      <c r="AE93" s="2954" t="s">
        <v>3051</v>
      </c>
      <c r="AF93" s="2954" t="s">
        <v>3283</v>
      </c>
    </row>
    <row r="94" spans="1:32" ht="67.5">
      <c r="A94" s="2954">
        <v>5825</v>
      </c>
      <c r="B94" s="2954" t="s">
        <v>3281</v>
      </c>
      <c r="C94" s="2954" t="s">
        <v>3519</v>
      </c>
      <c r="D94" s="2954" t="s">
        <v>3283</v>
      </c>
      <c r="E94" s="2954" t="s">
        <v>3480</v>
      </c>
      <c r="F94" s="2954" t="s">
        <v>3530</v>
      </c>
      <c r="G94" s="2954" t="s">
        <v>3531</v>
      </c>
      <c r="H94" s="2955">
        <v>2403445</v>
      </c>
      <c r="I94" s="2955">
        <v>31758</v>
      </c>
      <c r="J94" s="2955">
        <v>33937</v>
      </c>
      <c r="K94" s="2959">
        <v>75.680000000000007</v>
      </c>
      <c r="L94" s="2955">
        <v>70.819999999999993</v>
      </c>
      <c r="M94" s="2954" t="s">
        <v>3450</v>
      </c>
      <c r="N94" s="2954" t="s">
        <v>3451</v>
      </c>
      <c r="O94" s="2954" t="s">
        <v>3283</v>
      </c>
      <c r="P94" s="2954" t="s">
        <v>3289</v>
      </c>
      <c r="Q94" s="2954" t="s">
        <v>3523</v>
      </c>
      <c r="R94" s="2954" t="s">
        <v>3291</v>
      </c>
      <c r="S94" s="2954">
        <v>2403445</v>
      </c>
      <c r="T94" s="2954" t="s">
        <v>3450</v>
      </c>
      <c r="U94" s="2954" t="s">
        <v>3244</v>
      </c>
      <c r="V94" s="2956">
        <v>44195</v>
      </c>
      <c r="W94" s="2954" t="s">
        <v>3051</v>
      </c>
      <c r="X94" s="2954" t="s">
        <v>3283</v>
      </c>
      <c r="Y94" s="2954" t="s">
        <v>3283</v>
      </c>
      <c r="Z94" s="2957">
        <v>43220.395011574103</v>
      </c>
      <c r="AA94" s="2954" t="s">
        <v>3453</v>
      </c>
      <c r="AB94" s="2954" t="s">
        <v>3293</v>
      </c>
      <c r="AC94" s="2954" t="s">
        <v>3294</v>
      </c>
      <c r="AD94" s="2954" t="s">
        <v>3454</v>
      </c>
      <c r="AE94" s="2954" t="s">
        <v>3051</v>
      </c>
      <c r="AF94" s="2954" t="s">
        <v>3283</v>
      </c>
    </row>
    <row r="95" spans="1:32" ht="67.5">
      <c r="A95" s="2954">
        <v>5827</v>
      </c>
      <c r="B95" s="2954" t="s">
        <v>3281</v>
      </c>
      <c r="C95" s="2954" t="s">
        <v>3519</v>
      </c>
      <c r="D95" s="2954" t="s">
        <v>3283</v>
      </c>
      <c r="E95" s="2954" t="s">
        <v>3485</v>
      </c>
      <c r="F95" s="2954" t="s">
        <v>3532</v>
      </c>
      <c r="G95" s="2954" t="s">
        <v>3533</v>
      </c>
      <c r="H95" s="2955">
        <v>2283083</v>
      </c>
      <c r="I95" s="2955">
        <v>31758</v>
      </c>
      <c r="J95" s="2955">
        <v>33934</v>
      </c>
      <c r="K95" s="2959">
        <v>71.89</v>
      </c>
      <c r="L95" s="2955">
        <v>67.28</v>
      </c>
      <c r="M95" s="2954" t="s">
        <v>3450</v>
      </c>
      <c r="N95" s="2954" t="s">
        <v>3451</v>
      </c>
      <c r="O95" s="2954" t="s">
        <v>3283</v>
      </c>
      <c r="P95" s="2954" t="s">
        <v>3289</v>
      </c>
      <c r="Q95" s="2954" t="s">
        <v>3523</v>
      </c>
      <c r="R95" s="2954" t="s">
        <v>3291</v>
      </c>
      <c r="S95" s="2954">
        <v>2283083</v>
      </c>
      <c r="T95" s="2954" t="s">
        <v>3450</v>
      </c>
      <c r="U95" s="2954" t="s">
        <v>3244</v>
      </c>
      <c r="V95" s="2956">
        <v>44195</v>
      </c>
      <c r="W95" s="2954" t="s">
        <v>3051</v>
      </c>
      <c r="X95" s="2954" t="s">
        <v>3283</v>
      </c>
      <c r="Y95" s="2954" t="s">
        <v>3283</v>
      </c>
      <c r="Z95" s="2957">
        <v>43220.395011574103</v>
      </c>
      <c r="AA95" s="2954" t="s">
        <v>3453</v>
      </c>
      <c r="AB95" s="2954" t="s">
        <v>3293</v>
      </c>
      <c r="AC95" s="2954" t="s">
        <v>3294</v>
      </c>
      <c r="AD95" s="2954" t="s">
        <v>3454</v>
      </c>
      <c r="AE95" s="2954" t="s">
        <v>3051</v>
      </c>
      <c r="AF95" s="2954" t="s">
        <v>3283</v>
      </c>
    </row>
    <row r="96" spans="1:32" ht="67.5">
      <c r="A96" s="2954">
        <v>5828</v>
      </c>
      <c r="B96" s="2954" t="s">
        <v>3281</v>
      </c>
      <c r="C96" s="2954" t="s">
        <v>3519</v>
      </c>
      <c r="D96" s="2954" t="s">
        <v>3283</v>
      </c>
      <c r="E96" s="2954" t="s">
        <v>3502</v>
      </c>
      <c r="F96" s="2954" t="s">
        <v>3534</v>
      </c>
      <c r="G96" s="2954" t="s">
        <v>3535</v>
      </c>
      <c r="H96" s="2955">
        <v>2283083</v>
      </c>
      <c r="I96" s="2955">
        <v>31758</v>
      </c>
      <c r="J96" s="2955">
        <v>33934</v>
      </c>
      <c r="K96" s="2959">
        <v>71.89</v>
      </c>
      <c r="L96" s="2955">
        <v>67.28</v>
      </c>
      <c r="M96" s="2954" t="s">
        <v>3450</v>
      </c>
      <c r="N96" s="2954" t="s">
        <v>3451</v>
      </c>
      <c r="O96" s="2954" t="s">
        <v>3283</v>
      </c>
      <c r="P96" s="2954" t="s">
        <v>3289</v>
      </c>
      <c r="Q96" s="2954" t="s">
        <v>3523</v>
      </c>
      <c r="R96" s="2954" t="s">
        <v>3291</v>
      </c>
      <c r="S96" s="2954">
        <v>2283083</v>
      </c>
      <c r="T96" s="2954" t="s">
        <v>3450</v>
      </c>
      <c r="U96" s="2954" t="s">
        <v>3244</v>
      </c>
      <c r="V96" s="2956">
        <v>44195</v>
      </c>
      <c r="W96" s="2954" t="s">
        <v>3051</v>
      </c>
      <c r="X96" s="2954" t="s">
        <v>3283</v>
      </c>
      <c r="Y96" s="2954" t="s">
        <v>3283</v>
      </c>
      <c r="Z96" s="2957">
        <v>43220.395011574103</v>
      </c>
      <c r="AA96" s="2954" t="s">
        <v>3453</v>
      </c>
      <c r="AB96" s="2954" t="s">
        <v>3293</v>
      </c>
      <c r="AC96" s="2954" t="s">
        <v>3294</v>
      </c>
      <c r="AD96" s="2954" t="s">
        <v>3454</v>
      </c>
      <c r="AE96" s="2954" t="s">
        <v>3051</v>
      </c>
      <c r="AF96" s="2954" t="s">
        <v>3283</v>
      </c>
    </row>
    <row r="97" spans="1:32" ht="67.5">
      <c r="A97" s="2954">
        <v>5830</v>
      </c>
      <c r="B97" s="2954" t="s">
        <v>3281</v>
      </c>
      <c r="C97" s="2954" t="s">
        <v>3519</v>
      </c>
      <c r="D97" s="2954" t="s">
        <v>3283</v>
      </c>
      <c r="E97" s="2954" t="s">
        <v>3505</v>
      </c>
      <c r="F97" s="2954" t="s">
        <v>4413</v>
      </c>
      <c r="G97" s="2954" t="s">
        <v>3536</v>
      </c>
      <c r="H97" s="2955">
        <v>2781478</v>
      </c>
      <c r="I97" s="2955">
        <v>36758</v>
      </c>
      <c r="J97" s="2955">
        <v>39281</v>
      </c>
      <c r="K97" s="2959">
        <v>75.67</v>
      </c>
      <c r="L97" s="2955">
        <v>70.81</v>
      </c>
      <c r="M97" s="2954" t="s">
        <v>3450</v>
      </c>
      <c r="N97" s="2954" t="s">
        <v>3451</v>
      </c>
      <c r="O97" s="2954" t="s">
        <v>3283</v>
      </c>
      <c r="P97" s="2954" t="s">
        <v>3289</v>
      </c>
      <c r="Q97" s="2954" t="s">
        <v>3523</v>
      </c>
      <c r="R97" s="2954" t="s">
        <v>3291</v>
      </c>
      <c r="S97" s="2954">
        <v>2781478</v>
      </c>
      <c r="T97" s="2954" t="s">
        <v>3450</v>
      </c>
      <c r="U97" s="2954" t="s">
        <v>3244</v>
      </c>
      <c r="V97" s="2956">
        <v>44195</v>
      </c>
      <c r="W97" s="2954" t="s">
        <v>3051</v>
      </c>
      <c r="X97" s="2954" t="s">
        <v>3283</v>
      </c>
      <c r="Y97" s="2954" t="s">
        <v>3283</v>
      </c>
      <c r="Z97" s="2957">
        <v>43220.395011574103</v>
      </c>
      <c r="AA97" s="2954" t="s">
        <v>3453</v>
      </c>
      <c r="AB97" s="2954" t="s">
        <v>3293</v>
      </c>
      <c r="AC97" s="2954" t="s">
        <v>3294</v>
      </c>
      <c r="AD97" s="2954" t="s">
        <v>3454</v>
      </c>
      <c r="AE97" s="2954" t="s">
        <v>3051</v>
      </c>
      <c r="AF97" s="2954" t="s">
        <v>3283</v>
      </c>
    </row>
    <row r="98" spans="1:32" s="2968" customFormat="1">
      <c r="A98" s="2964"/>
      <c r="B98" s="2964"/>
      <c r="C98" s="2964"/>
      <c r="D98" s="2964"/>
      <c r="E98" s="2964"/>
      <c r="F98" s="2964" t="s">
        <v>4414</v>
      </c>
      <c r="G98" s="2964"/>
      <c r="H98" s="2965"/>
      <c r="I98" s="2965"/>
      <c r="J98" s="2965"/>
      <c r="K98" s="2965">
        <f>SUM(K90:K97)</f>
        <v>590.26</v>
      </c>
      <c r="L98" s="2965"/>
      <c r="M98" s="2964"/>
      <c r="N98" s="2964"/>
      <c r="O98" s="2964"/>
      <c r="P98" s="2964"/>
      <c r="Q98" s="2964"/>
      <c r="R98" s="2964"/>
      <c r="S98" s="2964"/>
      <c r="T98" s="2964"/>
      <c r="U98" s="2964"/>
      <c r="V98" s="2966"/>
      <c r="W98" s="2964"/>
      <c r="X98" s="2964"/>
      <c r="Y98" s="2964"/>
      <c r="Z98" s="2967"/>
      <c r="AA98" s="2964"/>
      <c r="AB98" s="2964"/>
      <c r="AC98" s="2964"/>
      <c r="AD98" s="2964"/>
      <c r="AE98" s="2964"/>
      <c r="AF98" s="2964"/>
    </row>
    <row r="99" spans="1:32" ht="67.5">
      <c r="A99" s="2954">
        <v>5835</v>
      </c>
      <c r="B99" s="2954" t="s">
        <v>3281</v>
      </c>
      <c r="C99" s="2954" t="s">
        <v>3537</v>
      </c>
      <c r="D99" s="2954" t="s">
        <v>3283</v>
      </c>
      <c r="E99" s="2954" t="s">
        <v>3538</v>
      </c>
      <c r="F99" s="2954" t="s">
        <v>3539</v>
      </c>
      <c r="G99" s="2954" t="s">
        <v>3540</v>
      </c>
      <c r="H99" s="2955">
        <v>1252928</v>
      </c>
      <c r="I99" s="2955">
        <v>10980</v>
      </c>
      <c r="J99" s="2955">
        <v>13904</v>
      </c>
      <c r="K99" s="2959">
        <v>114.11</v>
      </c>
      <c r="L99" s="2955">
        <v>90.11</v>
      </c>
      <c r="M99" s="2954" t="s">
        <v>3233</v>
      </c>
      <c r="N99" s="2954" t="s">
        <v>3541</v>
      </c>
      <c r="O99" s="2954" t="s">
        <v>3441</v>
      </c>
      <c r="P99" s="2954" t="s">
        <v>3289</v>
      </c>
      <c r="Q99" s="2954" t="s">
        <v>3542</v>
      </c>
      <c r="R99" s="2954" t="s">
        <v>3291</v>
      </c>
      <c r="S99" s="2954">
        <v>1252928</v>
      </c>
      <c r="T99" s="2954" t="s">
        <v>3233</v>
      </c>
      <c r="U99" s="2954" t="s">
        <v>3299</v>
      </c>
      <c r="V99" s="2956">
        <v>44499</v>
      </c>
      <c r="W99" s="2954" t="s">
        <v>3051</v>
      </c>
      <c r="X99" s="2954" t="s">
        <v>3046</v>
      </c>
      <c r="Y99" s="2954" t="s">
        <v>3283</v>
      </c>
      <c r="Z99" s="2957">
        <v>43362.415625000001</v>
      </c>
      <c r="AA99" s="2954" t="s">
        <v>3543</v>
      </c>
      <c r="AB99" s="2954" t="s">
        <v>3300</v>
      </c>
      <c r="AC99" s="2954" t="s">
        <v>3544</v>
      </c>
      <c r="AD99" s="2954" t="s">
        <v>3283</v>
      </c>
      <c r="AE99" s="2954" t="s">
        <v>3051</v>
      </c>
      <c r="AF99" s="2954" t="s">
        <v>3283</v>
      </c>
    </row>
    <row r="100" spans="1:32" ht="67.5">
      <c r="A100" s="2954">
        <v>5837</v>
      </c>
      <c r="B100" s="2954" t="s">
        <v>3281</v>
      </c>
      <c r="C100" s="2954" t="s">
        <v>3537</v>
      </c>
      <c r="D100" s="2954" t="s">
        <v>3283</v>
      </c>
      <c r="E100" s="2954" t="s">
        <v>3308</v>
      </c>
      <c r="F100" s="2954" t="s">
        <v>3545</v>
      </c>
      <c r="G100" s="2954" t="s">
        <v>3546</v>
      </c>
      <c r="H100" s="2955">
        <v>1244250</v>
      </c>
      <c r="I100" s="2955">
        <v>10500</v>
      </c>
      <c r="J100" s="2955">
        <v>13298</v>
      </c>
      <c r="K100" s="2959">
        <v>118.5</v>
      </c>
      <c r="L100" s="2955">
        <v>93.57</v>
      </c>
      <c r="M100" s="2954" t="s">
        <v>3233</v>
      </c>
      <c r="N100" s="2954" t="s">
        <v>3547</v>
      </c>
      <c r="O100" s="2954" t="s">
        <v>3441</v>
      </c>
      <c r="P100" s="2954" t="s">
        <v>3289</v>
      </c>
      <c r="Q100" s="2954" t="s">
        <v>3542</v>
      </c>
      <c r="R100" s="2954" t="s">
        <v>3291</v>
      </c>
      <c r="S100" s="2954">
        <v>1244250</v>
      </c>
      <c r="T100" s="2954" t="s">
        <v>3233</v>
      </c>
      <c r="U100" s="2954" t="s">
        <v>3299</v>
      </c>
      <c r="V100" s="2956">
        <v>44499</v>
      </c>
      <c r="W100" s="2954" t="s">
        <v>3051</v>
      </c>
      <c r="X100" s="2954" t="s">
        <v>3046</v>
      </c>
      <c r="Y100" s="2954" t="s">
        <v>3283</v>
      </c>
      <c r="Z100" s="2957">
        <v>43362.415625000001</v>
      </c>
      <c r="AA100" s="2954" t="s">
        <v>3543</v>
      </c>
      <c r="AB100" s="2954" t="s">
        <v>3300</v>
      </c>
      <c r="AC100" s="2954" t="s">
        <v>3544</v>
      </c>
      <c r="AD100" s="2954" t="s">
        <v>3283</v>
      </c>
      <c r="AE100" s="2954" t="s">
        <v>3051</v>
      </c>
      <c r="AF100" s="2954" t="s">
        <v>3283</v>
      </c>
    </row>
    <row r="101" spans="1:32" ht="67.5">
      <c r="A101" s="2954">
        <v>5838</v>
      </c>
      <c r="B101" s="2954" t="s">
        <v>3281</v>
      </c>
      <c r="C101" s="2954" t="s">
        <v>3537</v>
      </c>
      <c r="D101" s="2954" t="s">
        <v>3283</v>
      </c>
      <c r="E101" s="2954" t="s">
        <v>3548</v>
      </c>
      <c r="F101" s="2954" t="s">
        <v>3549</v>
      </c>
      <c r="G101" s="2954" t="s">
        <v>3550</v>
      </c>
      <c r="H101" s="2955">
        <v>1244250</v>
      </c>
      <c r="I101" s="2955">
        <v>10500</v>
      </c>
      <c r="J101" s="2955">
        <v>13298</v>
      </c>
      <c r="K101" s="2959">
        <v>118.5</v>
      </c>
      <c r="L101" s="2955">
        <v>93.57</v>
      </c>
      <c r="M101" s="2954" t="s">
        <v>3233</v>
      </c>
      <c r="N101" s="2954" t="s">
        <v>3551</v>
      </c>
      <c r="O101" s="2954" t="s">
        <v>3441</v>
      </c>
      <c r="P101" s="2954" t="s">
        <v>3289</v>
      </c>
      <c r="Q101" s="2954" t="s">
        <v>3542</v>
      </c>
      <c r="R101" s="2954" t="s">
        <v>3291</v>
      </c>
      <c r="S101" s="2954">
        <v>1244250</v>
      </c>
      <c r="T101" s="2954" t="s">
        <v>3233</v>
      </c>
      <c r="U101" s="2954" t="s">
        <v>3299</v>
      </c>
      <c r="V101" s="2956">
        <v>44499</v>
      </c>
      <c r="W101" s="2954" t="s">
        <v>3051</v>
      </c>
      <c r="X101" s="2954" t="s">
        <v>3046</v>
      </c>
      <c r="Y101" s="2954" t="s">
        <v>3283</v>
      </c>
      <c r="Z101" s="2957">
        <v>43362.415625000001</v>
      </c>
      <c r="AA101" s="2954" t="s">
        <v>3543</v>
      </c>
      <c r="AB101" s="2954" t="s">
        <v>3300</v>
      </c>
      <c r="AC101" s="2954" t="s">
        <v>3544</v>
      </c>
      <c r="AD101" s="2954" t="s">
        <v>3283</v>
      </c>
      <c r="AE101" s="2954" t="s">
        <v>3051</v>
      </c>
      <c r="AF101" s="2954" t="s">
        <v>3283</v>
      </c>
    </row>
    <row r="102" spans="1:32" ht="67.5">
      <c r="A102" s="2954">
        <v>5841</v>
      </c>
      <c r="B102" s="2954" t="s">
        <v>3281</v>
      </c>
      <c r="C102" s="2954" t="s">
        <v>3537</v>
      </c>
      <c r="D102" s="2954" t="s">
        <v>3283</v>
      </c>
      <c r="E102" s="2954" t="s">
        <v>3314</v>
      </c>
      <c r="F102" s="2954" t="s">
        <v>3552</v>
      </c>
      <c r="G102" s="2954" t="s">
        <v>3553</v>
      </c>
      <c r="H102" s="2955">
        <v>1246620</v>
      </c>
      <c r="I102" s="2955">
        <v>10520</v>
      </c>
      <c r="J102" s="2955">
        <v>13323</v>
      </c>
      <c r="K102" s="2959">
        <v>118.5</v>
      </c>
      <c r="L102" s="2955">
        <v>93.57</v>
      </c>
      <c r="M102" s="2954" t="s">
        <v>3233</v>
      </c>
      <c r="N102" s="2954" t="s">
        <v>3547</v>
      </c>
      <c r="O102" s="2954" t="s">
        <v>3441</v>
      </c>
      <c r="P102" s="2954" t="s">
        <v>3289</v>
      </c>
      <c r="Q102" s="2954" t="s">
        <v>3542</v>
      </c>
      <c r="R102" s="2954" t="s">
        <v>3291</v>
      </c>
      <c r="S102" s="2954">
        <v>1246620</v>
      </c>
      <c r="T102" s="2954" t="s">
        <v>3233</v>
      </c>
      <c r="U102" s="2954" t="s">
        <v>3299</v>
      </c>
      <c r="V102" s="2956">
        <v>44499</v>
      </c>
      <c r="W102" s="2954" t="s">
        <v>3051</v>
      </c>
      <c r="X102" s="2954" t="s">
        <v>3046</v>
      </c>
      <c r="Y102" s="2954" t="s">
        <v>3283</v>
      </c>
      <c r="Z102" s="2957">
        <v>43362.415625000001</v>
      </c>
      <c r="AA102" s="2954" t="s">
        <v>3543</v>
      </c>
      <c r="AB102" s="2954" t="s">
        <v>3300</v>
      </c>
      <c r="AC102" s="2954" t="s">
        <v>3544</v>
      </c>
      <c r="AD102" s="2954" t="s">
        <v>3283</v>
      </c>
      <c r="AE102" s="2954" t="s">
        <v>3051</v>
      </c>
      <c r="AF102" s="2954" t="s">
        <v>3283</v>
      </c>
    </row>
    <row r="103" spans="1:32" ht="67.5">
      <c r="A103" s="2954">
        <v>5842</v>
      </c>
      <c r="B103" s="2954" t="s">
        <v>3281</v>
      </c>
      <c r="C103" s="2954" t="s">
        <v>3537</v>
      </c>
      <c r="D103" s="2954" t="s">
        <v>3283</v>
      </c>
      <c r="E103" s="2954" t="s">
        <v>3554</v>
      </c>
      <c r="F103" s="2954" t="s">
        <v>3555</v>
      </c>
      <c r="G103" s="2954" t="s">
        <v>3556</v>
      </c>
      <c r="H103" s="2955">
        <v>1246620</v>
      </c>
      <c r="I103" s="2955">
        <v>10520</v>
      </c>
      <c r="J103" s="2955">
        <v>13323</v>
      </c>
      <c r="K103" s="2959">
        <v>118.5</v>
      </c>
      <c r="L103" s="2955">
        <v>93.57</v>
      </c>
      <c r="M103" s="2954" t="s">
        <v>3233</v>
      </c>
      <c r="N103" s="2954" t="s">
        <v>3551</v>
      </c>
      <c r="O103" s="2954" t="s">
        <v>3441</v>
      </c>
      <c r="P103" s="2954" t="s">
        <v>3289</v>
      </c>
      <c r="Q103" s="2954" t="s">
        <v>3542</v>
      </c>
      <c r="R103" s="2954" t="s">
        <v>3291</v>
      </c>
      <c r="S103" s="2954">
        <v>1246620</v>
      </c>
      <c r="T103" s="2954" t="s">
        <v>3233</v>
      </c>
      <c r="U103" s="2954" t="s">
        <v>3299</v>
      </c>
      <c r="V103" s="2956">
        <v>44499</v>
      </c>
      <c r="W103" s="2954" t="s">
        <v>3051</v>
      </c>
      <c r="X103" s="2954" t="s">
        <v>3046</v>
      </c>
      <c r="Y103" s="2954" t="s">
        <v>3283</v>
      </c>
      <c r="Z103" s="2957">
        <v>43362.415625000001</v>
      </c>
      <c r="AA103" s="2954" t="s">
        <v>3543</v>
      </c>
      <c r="AB103" s="2954" t="s">
        <v>3300</v>
      </c>
      <c r="AC103" s="2954" t="s">
        <v>3544</v>
      </c>
      <c r="AD103" s="2954" t="s">
        <v>3283</v>
      </c>
      <c r="AE103" s="2954" t="s">
        <v>3051</v>
      </c>
      <c r="AF103" s="2954" t="s">
        <v>3283</v>
      </c>
    </row>
    <row r="104" spans="1:32" ht="67.5">
      <c r="A104" s="2954">
        <v>5843</v>
      </c>
      <c r="B104" s="2954" t="s">
        <v>3281</v>
      </c>
      <c r="C104" s="2954" t="s">
        <v>3537</v>
      </c>
      <c r="D104" s="2954" t="s">
        <v>3283</v>
      </c>
      <c r="E104" s="2954" t="s">
        <v>3557</v>
      </c>
      <c r="F104" s="2954" t="s">
        <v>3558</v>
      </c>
      <c r="G104" s="2954" t="s">
        <v>3559</v>
      </c>
      <c r="H104" s="2955">
        <v>1257492</v>
      </c>
      <c r="I104" s="2955">
        <v>11020</v>
      </c>
      <c r="J104" s="2955">
        <v>13955</v>
      </c>
      <c r="K104" s="2959">
        <v>114.11</v>
      </c>
      <c r="L104" s="2955">
        <v>90.11</v>
      </c>
      <c r="M104" s="2954" t="s">
        <v>3233</v>
      </c>
      <c r="N104" s="2954" t="s">
        <v>3541</v>
      </c>
      <c r="O104" s="2954" t="s">
        <v>3441</v>
      </c>
      <c r="P104" s="2954" t="s">
        <v>3289</v>
      </c>
      <c r="Q104" s="2954" t="s">
        <v>3542</v>
      </c>
      <c r="R104" s="2954" t="s">
        <v>3291</v>
      </c>
      <c r="S104" s="2954">
        <v>1257492</v>
      </c>
      <c r="T104" s="2954" t="s">
        <v>3233</v>
      </c>
      <c r="U104" s="2954" t="s">
        <v>3299</v>
      </c>
      <c r="V104" s="2956">
        <v>44499</v>
      </c>
      <c r="W104" s="2954" t="s">
        <v>3051</v>
      </c>
      <c r="X104" s="2954" t="s">
        <v>3046</v>
      </c>
      <c r="Y104" s="2954" t="s">
        <v>3283</v>
      </c>
      <c r="Z104" s="2957">
        <v>43362.415625000001</v>
      </c>
      <c r="AA104" s="2954" t="s">
        <v>3543</v>
      </c>
      <c r="AB104" s="2954" t="s">
        <v>3300</v>
      </c>
      <c r="AC104" s="2954" t="s">
        <v>3544</v>
      </c>
      <c r="AD104" s="2954" t="s">
        <v>3283</v>
      </c>
      <c r="AE104" s="2954" t="s">
        <v>3051</v>
      </c>
      <c r="AF104" s="2954" t="s">
        <v>3283</v>
      </c>
    </row>
    <row r="105" spans="1:32" ht="67.5">
      <c r="A105" s="2954">
        <v>5845</v>
      </c>
      <c r="B105" s="2954" t="s">
        <v>3281</v>
      </c>
      <c r="C105" s="2954" t="s">
        <v>3537</v>
      </c>
      <c r="D105" s="2954" t="s">
        <v>3283</v>
      </c>
      <c r="E105" s="2954" t="s">
        <v>3392</v>
      </c>
      <c r="F105" s="2954" t="s">
        <v>3560</v>
      </c>
      <c r="G105" s="2954" t="s">
        <v>3561</v>
      </c>
      <c r="H105" s="2955">
        <v>1248990</v>
      </c>
      <c r="I105" s="2955">
        <v>10540</v>
      </c>
      <c r="J105" s="2955">
        <v>13348</v>
      </c>
      <c r="K105" s="2959">
        <v>118.5</v>
      </c>
      <c r="L105" s="2955">
        <v>93.57</v>
      </c>
      <c r="M105" s="2954" t="s">
        <v>3233</v>
      </c>
      <c r="N105" s="2954" t="s">
        <v>3547</v>
      </c>
      <c r="O105" s="2954" t="s">
        <v>3441</v>
      </c>
      <c r="P105" s="2954" t="s">
        <v>3289</v>
      </c>
      <c r="Q105" s="2954" t="s">
        <v>3542</v>
      </c>
      <c r="R105" s="2954" t="s">
        <v>3291</v>
      </c>
      <c r="S105" s="2954">
        <v>1248990</v>
      </c>
      <c r="T105" s="2954" t="s">
        <v>3233</v>
      </c>
      <c r="U105" s="2954" t="s">
        <v>3299</v>
      </c>
      <c r="V105" s="2956">
        <v>44499</v>
      </c>
      <c r="W105" s="2954" t="s">
        <v>3051</v>
      </c>
      <c r="X105" s="2954" t="s">
        <v>3046</v>
      </c>
      <c r="Y105" s="2954" t="s">
        <v>3283</v>
      </c>
      <c r="Z105" s="2957">
        <v>43362.415625000001</v>
      </c>
      <c r="AA105" s="2954" t="s">
        <v>3543</v>
      </c>
      <c r="AB105" s="2954" t="s">
        <v>3300</v>
      </c>
      <c r="AC105" s="2954" t="s">
        <v>3544</v>
      </c>
      <c r="AD105" s="2954" t="s">
        <v>3283</v>
      </c>
      <c r="AE105" s="2954" t="s">
        <v>3051</v>
      </c>
      <c r="AF105" s="2954" t="s">
        <v>3283</v>
      </c>
    </row>
    <row r="106" spans="1:32" ht="67.5">
      <c r="A106" s="2954">
        <v>5846</v>
      </c>
      <c r="B106" s="2954" t="s">
        <v>3281</v>
      </c>
      <c r="C106" s="2954" t="s">
        <v>3537</v>
      </c>
      <c r="D106" s="2954" t="s">
        <v>3283</v>
      </c>
      <c r="E106" s="2954" t="s">
        <v>3562</v>
      </c>
      <c r="F106" s="2954" t="s">
        <v>3563</v>
      </c>
      <c r="G106" s="2954" t="s">
        <v>3564</v>
      </c>
      <c r="H106" s="2955">
        <v>1248990</v>
      </c>
      <c r="I106" s="2955">
        <v>10540</v>
      </c>
      <c r="J106" s="2955">
        <v>13348</v>
      </c>
      <c r="K106" s="2959">
        <v>118.5</v>
      </c>
      <c r="L106" s="2955">
        <v>93.57</v>
      </c>
      <c r="M106" s="2954" t="s">
        <v>3233</v>
      </c>
      <c r="N106" s="2954" t="s">
        <v>3551</v>
      </c>
      <c r="O106" s="2954" t="s">
        <v>3441</v>
      </c>
      <c r="P106" s="2954" t="s">
        <v>3289</v>
      </c>
      <c r="Q106" s="2954" t="s">
        <v>3542</v>
      </c>
      <c r="R106" s="2954" t="s">
        <v>3291</v>
      </c>
      <c r="S106" s="2954">
        <v>1248990</v>
      </c>
      <c r="T106" s="2954" t="s">
        <v>3233</v>
      </c>
      <c r="U106" s="2954" t="s">
        <v>3299</v>
      </c>
      <c r="V106" s="2956">
        <v>44499</v>
      </c>
      <c r="W106" s="2954" t="s">
        <v>3051</v>
      </c>
      <c r="X106" s="2954" t="s">
        <v>3046</v>
      </c>
      <c r="Y106" s="2954" t="s">
        <v>3283</v>
      </c>
      <c r="Z106" s="2957">
        <v>43362.415625000001</v>
      </c>
      <c r="AA106" s="2954" t="s">
        <v>3543</v>
      </c>
      <c r="AB106" s="2954" t="s">
        <v>3300</v>
      </c>
      <c r="AC106" s="2954" t="s">
        <v>3544</v>
      </c>
      <c r="AD106" s="2954" t="s">
        <v>3283</v>
      </c>
      <c r="AE106" s="2954" t="s">
        <v>3051</v>
      </c>
      <c r="AF106" s="2954" t="s">
        <v>3283</v>
      </c>
    </row>
    <row r="107" spans="1:32" ht="67.5">
      <c r="A107" s="2954">
        <v>5849</v>
      </c>
      <c r="B107" s="2954" t="s">
        <v>3281</v>
      </c>
      <c r="C107" s="2954" t="s">
        <v>3537</v>
      </c>
      <c r="D107" s="2954" t="s">
        <v>3283</v>
      </c>
      <c r="E107" s="2954" t="s">
        <v>3323</v>
      </c>
      <c r="F107" s="2954" t="s">
        <v>3565</v>
      </c>
      <c r="G107" s="2954" t="s">
        <v>3566</v>
      </c>
      <c r="H107" s="2955">
        <v>1251360</v>
      </c>
      <c r="I107" s="2955">
        <v>10560</v>
      </c>
      <c r="J107" s="2955">
        <v>13374</v>
      </c>
      <c r="K107" s="2959">
        <v>118.5</v>
      </c>
      <c r="L107" s="2955">
        <v>93.57</v>
      </c>
      <c r="M107" s="2954" t="s">
        <v>3233</v>
      </c>
      <c r="N107" s="2954" t="s">
        <v>3547</v>
      </c>
      <c r="O107" s="2954" t="s">
        <v>3441</v>
      </c>
      <c r="P107" s="2954" t="s">
        <v>3289</v>
      </c>
      <c r="Q107" s="2954" t="s">
        <v>3542</v>
      </c>
      <c r="R107" s="2954" t="s">
        <v>3291</v>
      </c>
      <c r="S107" s="2954">
        <v>1251360</v>
      </c>
      <c r="T107" s="2954" t="s">
        <v>3233</v>
      </c>
      <c r="U107" s="2954" t="s">
        <v>3299</v>
      </c>
      <c r="V107" s="2956">
        <v>44499</v>
      </c>
      <c r="W107" s="2954" t="s">
        <v>3051</v>
      </c>
      <c r="X107" s="2954" t="s">
        <v>3046</v>
      </c>
      <c r="Y107" s="2954" t="s">
        <v>3283</v>
      </c>
      <c r="Z107" s="2957">
        <v>43362.415625000001</v>
      </c>
      <c r="AA107" s="2954" t="s">
        <v>3543</v>
      </c>
      <c r="AB107" s="2954" t="s">
        <v>3300</v>
      </c>
      <c r="AC107" s="2954" t="s">
        <v>3544</v>
      </c>
      <c r="AD107" s="2954" t="s">
        <v>3283</v>
      </c>
      <c r="AE107" s="2954" t="s">
        <v>3051</v>
      </c>
      <c r="AF107" s="2954" t="s">
        <v>3283</v>
      </c>
    </row>
    <row r="108" spans="1:32" ht="67.5">
      <c r="A108" s="2954">
        <v>5850</v>
      </c>
      <c r="B108" s="2954" t="s">
        <v>3281</v>
      </c>
      <c r="C108" s="2954" t="s">
        <v>3537</v>
      </c>
      <c r="D108" s="2954" t="s">
        <v>3283</v>
      </c>
      <c r="E108" s="2954" t="s">
        <v>3567</v>
      </c>
      <c r="F108" s="2954" t="s">
        <v>3568</v>
      </c>
      <c r="G108" s="2954" t="s">
        <v>3569</v>
      </c>
      <c r="H108" s="2955">
        <v>1251360</v>
      </c>
      <c r="I108" s="2955">
        <v>10560</v>
      </c>
      <c r="J108" s="2955">
        <v>13374</v>
      </c>
      <c r="K108" s="2959">
        <v>118.5</v>
      </c>
      <c r="L108" s="2955">
        <v>93.57</v>
      </c>
      <c r="M108" s="2954" t="s">
        <v>3233</v>
      </c>
      <c r="N108" s="2954" t="s">
        <v>3551</v>
      </c>
      <c r="O108" s="2954" t="s">
        <v>3441</v>
      </c>
      <c r="P108" s="2954" t="s">
        <v>3289</v>
      </c>
      <c r="Q108" s="2954" t="s">
        <v>3542</v>
      </c>
      <c r="R108" s="2954" t="s">
        <v>3291</v>
      </c>
      <c r="S108" s="2954">
        <v>1251360</v>
      </c>
      <c r="T108" s="2954" t="s">
        <v>3233</v>
      </c>
      <c r="U108" s="2954" t="s">
        <v>3299</v>
      </c>
      <c r="V108" s="2956">
        <v>44499</v>
      </c>
      <c r="W108" s="2954" t="s">
        <v>3051</v>
      </c>
      <c r="X108" s="2954" t="s">
        <v>3046</v>
      </c>
      <c r="Y108" s="2954" t="s">
        <v>3283</v>
      </c>
      <c r="Z108" s="2957">
        <v>43362.415625000001</v>
      </c>
      <c r="AA108" s="2954" t="s">
        <v>3543</v>
      </c>
      <c r="AB108" s="2954" t="s">
        <v>3300</v>
      </c>
      <c r="AC108" s="2954" t="s">
        <v>3544</v>
      </c>
      <c r="AD108" s="2954" t="s">
        <v>3283</v>
      </c>
      <c r="AE108" s="2954" t="s">
        <v>3051</v>
      </c>
      <c r="AF108" s="2954" t="s">
        <v>3283</v>
      </c>
    </row>
    <row r="109" spans="1:32" ht="67.5">
      <c r="A109" s="2954">
        <v>5853</v>
      </c>
      <c r="B109" s="2954" t="s">
        <v>3281</v>
      </c>
      <c r="C109" s="2954" t="s">
        <v>3537</v>
      </c>
      <c r="D109" s="2954" t="s">
        <v>3283</v>
      </c>
      <c r="E109" s="2954" t="s">
        <v>3401</v>
      </c>
      <c r="F109" s="2954" t="s">
        <v>3570</v>
      </c>
      <c r="G109" s="2954" t="s">
        <v>3571</v>
      </c>
      <c r="H109" s="2955">
        <v>1253730</v>
      </c>
      <c r="I109" s="2955">
        <v>10580</v>
      </c>
      <c r="J109" s="2955">
        <v>13399</v>
      </c>
      <c r="K109" s="2959">
        <v>118.5</v>
      </c>
      <c r="L109" s="2955">
        <v>93.57</v>
      </c>
      <c r="M109" s="2954" t="s">
        <v>3233</v>
      </c>
      <c r="N109" s="2954" t="s">
        <v>3547</v>
      </c>
      <c r="O109" s="2954" t="s">
        <v>3441</v>
      </c>
      <c r="P109" s="2954" t="s">
        <v>3289</v>
      </c>
      <c r="Q109" s="2954" t="s">
        <v>3542</v>
      </c>
      <c r="R109" s="2954" t="s">
        <v>3291</v>
      </c>
      <c r="S109" s="2954">
        <v>1253730</v>
      </c>
      <c r="T109" s="2954" t="s">
        <v>3233</v>
      </c>
      <c r="U109" s="2954" t="s">
        <v>3299</v>
      </c>
      <c r="V109" s="2956">
        <v>44499</v>
      </c>
      <c r="W109" s="2954" t="s">
        <v>3051</v>
      </c>
      <c r="X109" s="2954" t="s">
        <v>3046</v>
      </c>
      <c r="Y109" s="2954" t="s">
        <v>3283</v>
      </c>
      <c r="Z109" s="2957">
        <v>43362.415625000001</v>
      </c>
      <c r="AA109" s="2954" t="s">
        <v>3543</v>
      </c>
      <c r="AB109" s="2954" t="s">
        <v>3300</v>
      </c>
      <c r="AC109" s="2954" t="s">
        <v>3544</v>
      </c>
      <c r="AD109" s="2954" t="s">
        <v>3283</v>
      </c>
      <c r="AE109" s="2954" t="s">
        <v>3051</v>
      </c>
      <c r="AF109" s="2954" t="s">
        <v>3283</v>
      </c>
    </row>
    <row r="110" spans="1:32" ht="67.5">
      <c r="A110" s="2954">
        <v>5854</v>
      </c>
      <c r="B110" s="2954" t="s">
        <v>3281</v>
      </c>
      <c r="C110" s="2954" t="s">
        <v>3537</v>
      </c>
      <c r="D110" s="2954" t="s">
        <v>3283</v>
      </c>
      <c r="E110" s="2954" t="s">
        <v>3572</v>
      </c>
      <c r="F110" s="2954" t="s">
        <v>3573</v>
      </c>
      <c r="G110" s="2954" t="s">
        <v>3574</v>
      </c>
      <c r="H110" s="2955">
        <v>1253730</v>
      </c>
      <c r="I110" s="2955">
        <v>10580</v>
      </c>
      <c r="J110" s="2955">
        <v>13399</v>
      </c>
      <c r="K110" s="2959">
        <v>118.5</v>
      </c>
      <c r="L110" s="2955">
        <v>93.57</v>
      </c>
      <c r="M110" s="2954" t="s">
        <v>3233</v>
      </c>
      <c r="N110" s="2954" t="s">
        <v>3551</v>
      </c>
      <c r="O110" s="2954" t="s">
        <v>3441</v>
      </c>
      <c r="P110" s="2954" t="s">
        <v>3289</v>
      </c>
      <c r="Q110" s="2954" t="s">
        <v>3542</v>
      </c>
      <c r="R110" s="2954" t="s">
        <v>3291</v>
      </c>
      <c r="S110" s="2954">
        <v>1253730</v>
      </c>
      <c r="T110" s="2954" t="s">
        <v>3233</v>
      </c>
      <c r="U110" s="2954" t="s">
        <v>3299</v>
      </c>
      <c r="V110" s="2956">
        <v>44499</v>
      </c>
      <c r="W110" s="2954" t="s">
        <v>3051</v>
      </c>
      <c r="X110" s="2954" t="s">
        <v>3046</v>
      </c>
      <c r="Y110" s="2954" t="s">
        <v>3283</v>
      </c>
      <c r="Z110" s="2957">
        <v>43362.415625000001</v>
      </c>
      <c r="AA110" s="2954" t="s">
        <v>3543</v>
      </c>
      <c r="AB110" s="2954" t="s">
        <v>3300</v>
      </c>
      <c r="AC110" s="2954" t="s">
        <v>3544</v>
      </c>
      <c r="AD110" s="2954" t="s">
        <v>3283</v>
      </c>
      <c r="AE110" s="2954" t="s">
        <v>3051</v>
      </c>
      <c r="AF110" s="2954" t="s">
        <v>3283</v>
      </c>
    </row>
    <row r="111" spans="1:32" ht="67.5">
      <c r="A111" s="2954">
        <v>5861</v>
      </c>
      <c r="B111" s="2954" t="s">
        <v>3281</v>
      </c>
      <c r="C111" s="2954" t="s">
        <v>3537</v>
      </c>
      <c r="D111" s="2954" t="s">
        <v>3283</v>
      </c>
      <c r="E111" s="2954" t="s">
        <v>3335</v>
      </c>
      <c r="F111" s="2954" t="s">
        <v>3575</v>
      </c>
      <c r="G111" s="2954" t="s">
        <v>3576</v>
      </c>
      <c r="H111" s="2955">
        <v>1258470</v>
      </c>
      <c r="I111" s="2955">
        <v>10620</v>
      </c>
      <c r="J111" s="2955">
        <v>13450</v>
      </c>
      <c r="K111" s="2959">
        <v>118.5</v>
      </c>
      <c r="L111" s="2955">
        <v>93.57</v>
      </c>
      <c r="M111" s="2954" t="s">
        <v>3233</v>
      </c>
      <c r="N111" s="2954" t="s">
        <v>3547</v>
      </c>
      <c r="O111" s="2954" t="s">
        <v>3441</v>
      </c>
      <c r="P111" s="2954" t="s">
        <v>3289</v>
      </c>
      <c r="Q111" s="2954" t="s">
        <v>3542</v>
      </c>
      <c r="R111" s="2954" t="s">
        <v>3291</v>
      </c>
      <c r="S111" s="2954">
        <v>1258470</v>
      </c>
      <c r="T111" s="2954" t="s">
        <v>3233</v>
      </c>
      <c r="U111" s="2954" t="s">
        <v>3299</v>
      </c>
      <c r="V111" s="2956">
        <v>44499</v>
      </c>
      <c r="W111" s="2954" t="s">
        <v>3051</v>
      </c>
      <c r="X111" s="2954" t="s">
        <v>3046</v>
      </c>
      <c r="Y111" s="2954" t="s">
        <v>3283</v>
      </c>
      <c r="Z111" s="2957">
        <v>43362.415625000001</v>
      </c>
      <c r="AA111" s="2954" t="s">
        <v>3543</v>
      </c>
      <c r="AB111" s="2954" t="s">
        <v>3300</v>
      </c>
      <c r="AC111" s="2954" t="s">
        <v>3544</v>
      </c>
      <c r="AD111" s="2954" t="s">
        <v>3283</v>
      </c>
      <c r="AE111" s="2954" t="s">
        <v>3051</v>
      </c>
      <c r="AF111" s="2954" t="s">
        <v>3283</v>
      </c>
    </row>
    <row r="112" spans="1:32" ht="67.5">
      <c r="A112" s="2954">
        <v>5862</v>
      </c>
      <c r="B112" s="2954" t="s">
        <v>3281</v>
      </c>
      <c r="C112" s="2954" t="s">
        <v>3537</v>
      </c>
      <c r="D112" s="2954" t="s">
        <v>3283</v>
      </c>
      <c r="E112" s="2954" t="s">
        <v>3577</v>
      </c>
      <c r="F112" s="2954" t="s">
        <v>3578</v>
      </c>
      <c r="G112" s="2954" t="s">
        <v>3579</v>
      </c>
      <c r="H112" s="2955">
        <v>1258470</v>
      </c>
      <c r="I112" s="2955">
        <v>10620</v>
      </c>
      <c r="J112" s="2955">
        <v>13450</v>
      </c>
      <c r="K112" s="2959">
        <v>118.5</v>
      </c>
      <c r="L112" s="2955">
        <v>93.57</v>
      </c>
      <c r="M112" s="2954" t="s">
        <v>3233</v>
      </c>
      <c r="N112" s="2954" t="s">
        <v>3551</v>
      </c>
      <c r="O112" s="2954" t="s">
        <v>3441</v>
      </c>
      <c r="P112" s="2954" t="s">
        <v>3289</v>
      </c>
      <c r="Q112" s="2954" t="s">
        <v>3542</v>
      </c>
      <c r="R112" s="2954" t="s">
        <v>3291</v>
      </c>
      <c r="S112" s="2954">
        <v>1258470</v>
      </c>
      <c r="T112" s="2954" t="s">
        <v>3233</v>
      </c>
      <c r="U112" s="2954" t="s">
        <v>3299</v>
      </c>
      <c r="V112" s="2956">
        <v>44499</v>
      </c>
      <c r="W112" s="2954" t="s">
        <v>3051</v>
      </c>
      <c r="X112" s="2954" t="s">
        <v>3046</v>
      </c>
      <c r="Y112" s="2954" t="s">
        <v>3283</v>
      </c>
      <c r="Z112" s="2957">
        <v>43362.415625000001</v>
      </c>
      <c r="AA112" s="2954" t="s">
        <v>3543</v>
      </c>
      <c r="AB112" s="2954" t="s">
        <v>3300</v>
      </c>
      <c r="AC112" s="2954" t="s">
        <v>3544</v>
      </c>
      <c r="AD112" s="2954" t="s">
        <v>3283</v>
      </c>
      <c r="AE112" s="2954" t="s">
        <v>3051</v>
      </c>
      <c r="AF112" s="2954" t="s">
        <v>3283</v>
      </c>
    </row>
    <row r="113" spans="1:32" ht="67.5">
      <c r="A113" s="2954">
        <v>5865</v>
      </c>
      <c r="B113" s="2954" t="s">
        <v>3281</v>
      </c>
      <c r="C113" s="2954" t="s">
        <v>3537</v>
      </c>
      <c r="D113" s="2954" t="s">
        <v>3283</v>
      </c>
      <c r="E113" s="2954" t="s">
        <v>3341</v>
      </c>
      <c r="F113" s="2954" t="s">
        <v>3580</v>
      </c>
      <c r="G113" s="2954" t="s">
        <v>3581</v>
      </c>
      <c r="H113" s="2955">
        <v>1260840</v>
      </c>
      <c r="I113" s="2955">
        <v>10640</v>
      </c>
      <c r="J113" s="2955">
        <v>13475</v>
      </c>
      <c r="K113" s="2959">
        <v>118.5</v>
      </c>
      <c r="L113" s="2955">
        <v>93.57</v>
      </c>
      <c r="M113" s="2954" t="s">
        <v>3233</v>
      </c>
      <c r="N113" s="2954" t="s">
        <v>3547</v>
      </c>
      <c r="O113" s="2954" t="s">
        <v>3441</v>
      </c>
      <c r="P113" s="2954" t="s">
        <v>3289</v>
      </c>
      <c r="Q113" s="2954" t="s">
        <v>3542</v>
      </c>
      <c r="R113" s="2954" t="s">
        <v>3291</v>
      </c>
      <c r="S113" s="2954">
        <v>1260840</v>
      </c>
      <c r="T113" s="2954" t="s">
        <v>3233</v>
      </c>
      <c r="U113" s="2954" t="s">
        <v>3299</v>
      </c>
      <c r="V113" s="2956">
        <v>44499</v>
      </c>
      <c r="W113" s="2954" t="s">
        <v>3051</v>
      </c>
      <c r="X113" s="2954" t="s">
        <v>3046</v>
      </c>
      <c r="Y113" s="2954" t="s">
        <v>3283</v>
      </c>
      <c r="Z113" s="2957">
        <v>43362.415625000001</v>
      </c>
      <c r="AA113" s="2954" t="s">
        <v>3543</v>
      </c>
      <c r="AB113" s="2954" t="s">
        <v>3300</v>
      </c>
      <c r="AC113" s="2954" t="s">
        <v>3544</v>
      </c>
      <c r="AD113" s="2954" t="s">
        <v>3283</v>
      </c>
      <c r="AE113" s="2954" t="s">
        <v>3051</v>
      </c>
      <c r="AF113" s="2954" t="s">
        <v>3283</v>
      </c>
    </row>
    <row r="114" spans="1:32" ht="67.5">
      <c r="A114" s="2954">
        <v>5866</v>
      </c>
      <c r="B114" s="2954" t="s">
        <v>3281</v>
      </c>
      <c r="C114" s="2954" t="s">
        <v>3537</v>
      </c>
      <c r="D114" s="2954" t="s">
        <v>3283</v>
      </c>
      <c r="E114" s="2954" t="s">
        <v>3582</v>
      </c>
      <c r="F114" s="2954" t="s">
        <v>3583</v>
      </c>
      <c r="G114" s="2954" t="s">
        <v>3584</v>
      </c>
      <c r="H114" s="2955">
        <v>1260840</v>
      </c>
      <c r="I114" s="2955">
        <v>10640</v>
      </c>
      <c r="J114" s="2955">
        <v>13475</v>
      </c>
      <c r="K114" s="2959">
        <v>118.5</v>
      </c>
      <c r="L114" s="2955">
        <v>93.57</v>
      </c>
      <c r="M114" s="2954" t="s">
        <v>3233</v>
      </c>
      <c r="N114" s="2954" t="s">
        <v>3551</v>
      </c>
      <c r="O114" s="2954" t="s">
        <v>3441</v>
      </c>
      <c r="P114" s="2954" t="s">
        <v>3289</v>
      </c>
      <c r="Q114" s="2954" t="s">
        <v>3542</v>
      </c>
      <c r="R114" s="2954" t="s">
        <v>3291</v>
      </c>
      <c r="S114" s="2954">
        <v>1260840</v>
      </c>
      <c r="T114" s="2954" t="s">
        <v>3233</v>
      </c>
      <c r="U114" s="2954" t="s">
        <v>3299</v>
      </c>
      <c r="V114" s="2956">
        <v>44499</v>
      </c>
      <c r="W114" s="2954" t="s">
        <v>3051</v>
      </c>
      <c r="X114" s="2954" t="s">
        <v>3046</v>
      </c>
      <c r="Y114" s="2954" t="s">
        <v>3283</v>
      </c>
      <c r="Z114" s="2957">
        <v>43362.415625000001</v>
      </c>
      <c r="AA114" s="2954" t="s">
        <v>3543</v>
      </c>
      <c r="AB114" s="2954" t="s">
        <v>3300</v>
      </c>
      <c r="AC114" s="2954" t="s">
        <v>3544</v>
      </c>
      <c r="AD114" s="2954" t="s">
        <v>3283</v>
      </c>
      <c r="AE114" s="2954" t="s">
        <v>3051</v>
      </c>
      <c r="AF114" s="2954" t="s">
        <v>3283</v>
      </c>
    </row>
    <row r="115" spans="1:32" ht="67.5">
      <c r="A115" s="2954">
        <v>5870</v>
      </c>
      <c r="B115" s="2954" t="s">
        <v>3281</v>
      </c>
      <c r="C115" s="2954" t="s">
        <v>3537</v>
      </c>
      <c r="D115" s="2954" t="s">
        <v>3283</v>
      </c>
      <c r="E115" s="2954" t="s">
        <v>3585</v>
      </c>
      <c r="F115" s="2954" t="s">
        <v>3586</v>
      </c>
      <c r="G115" s="2954" t="s">
        <v>3587</v>
      </c>
      <c r="H115" s="2955">
        <v>1263210</v>
      </c>
      <c r="I115" s="2955">
        <v>10660</v>
      </c>
      <c r="J115" s="2955">
        <v>13500</v>
      </c>
      <c r="K115" s="2959">
        <v>118.5</v>
      </c>
      <c r="L115" s="2955">
        <v>93.57</v>
      </c>
      <c r="M115" s="2954" t="s">
        <v>3233</v>
      </c>
      <c r="N115" s="2954" t="s">
        <v>3551</v>
      </c>
      <c r="O115" s="2954" t="s">
        <v>3441</v>
      </c>
      <c r="P115" s="2954" t="s">
        <v>3289</v>
      </c>
      <c r="Q115" s="2954" t="s">
        <v>3542</v>
      </c>
      <c r="R115" s="2954" t="s">
        <v>3291</v>
      </c>
      <c r="S115" s="2954">
        <v>1263210</v>
      </c>
      <c r="T115" s="2954" t="s">
        <v>3233</v>
      </c>
      <c r="U115" s="2954" t="s">
        <v>3299</v>
      </c>
      <c r="V115" s="2956">
        <v>44499</v>
      </c>
      <c r="W115" s="2954" t="s">
        <v>3051</v>
      </c>
      <c r="X115" s="2954" t="s">
        <v>3046</v>
      </c>
      <c r="Y115" s="2954" t="s">
        <v>3283</v>
      </c>
      <c r="Z115" s="2957">
        <v>43362.415625000001</v>
      </c>
      <c r="AA115" s="2954" t="s">
        <v>3543</v>
      </c>
      <c r="AB115" s="2954" t="s">
        <v>3300</v>
      </c>
      <c r="AC115" s="2954" t="s">
        <v>3544</v>
      </c>
      <c r="AD115" s="2954" t="s">
        <v>3283</v>
      </c>
      <c r="AE115" s="2954" t="s">
        <v>3051</v>
      </c>
      <c r="AF115" s="2954" t="s">
        <v>3283</v>
      </c>
    </row>
    <row r="116" spans="1:32" ht="67.5">
      <c r="A116" s="2954">
        <v>5877</v>
      </c>
      <c r="B116" s="2954" t="s">
        <v>3281</v>
      </c>
      <c r="C116" s="2954" t="s">
        <v>3537</v>
      </c>
      <c r="D116" s="2954" t="s">
        <v>3283</v>
      </c>
      <c r="E116" s="2954" t="s">
        <v>3359</v>
      </c>
      <c r="F116" s="2954" t="s">
        <v>3588</v>
      </c>
      <c r="G116" s="2954" t="s">
        <v>3589</v>
      </c>
      <c r="H116" s="2955">
        <v>1267950</v>
      </c>
      <c r="I116" s="2955">
        <v>10700</v>
      </c>
      <c r="J116" s="2955">
        <v>13551</v>
      </c>
      <c r="K116" s="2959">
        <v>118.5</v>
      </c>
      <c r="L116" s="2955">
        <v>93.57</v>
      </c>
      <c r="M116" s="2954" t="s">
        <v>3233</v>
      </c>
      <c r="N116" s="2954" t="s">
        <v>3547</v>
      </c>
      <c r="O116" s="2954" t="s">
        <v>3441</v>
      </c>
      <c r="P116" s="2954" t="s">
        <v>3289</v>
      </c>
      <c r="Q116" s="2954" t="s">
        <v>3542</v>
      </c>
      <c r="R116" s="2954" t="s">
        <v>3291</v>
      </c>
      <c r="S116" s="2954">
        <v>1267950</v>
      </c>
      <c r="T116" s="2954" t="s">
        <v>3233</v>
      </c>
      <c r="U116" s="2954" t="s">
        <v>3299</v>
      </c>
      <c r="V116" s="2956">
        <v>44499</v>
      </c>
      <c r="W116" s="2954" t="s">
        <v>3051</v>
      </c>
      <c r="X116" s="2954" t="s">
        <v>3046</v>
      </c>
      <c r="Y116" s="2954" t="s">
        <v>3283</v>
      </c>
      <c r="Z116" s="2957">
        <v>43362.415625000001</v>
      </c>
      <c r="AA116" s="2954" t="s">
        <v>3543</v>
      </c>
      <c r="AB116" s="2954" t="s">
        <v>3300</v>
      </c>
      <c r="AC116" s="2954" t="s">
        <v>3544</v>
      </c>
      <c r="AD116" s="2954" t="s">
        <v>3283</v>
      </c>
      <c r="AE116" s="2954" t="s">
        <v>3051</v>
      </c>
      <c r="AF116" s="2954" t="s">
        <v>3283</v>
      </c>
    </row>
    <row r="117" spans="1:32" ht="67.5">
      <c r="A117" s="2954">
        <v>5878</v>
      </c>
      <c r="B117" s="2954" t="s">
        <v>3281</v>
      </c>
      <c r="C117" s="2954" t="s">
        <v>3537</v>
      </c>
      <c r="D117" s="2954" t="s">
        <v>3283</v>
      </c>
      <c r="E117" s="2954" t="s">
        <v>3590</v>
      </c>
      <c r="F117" s="2954" t="s">
        <v>3591</v>
      </c>
      <c r="G117" s="2954" t="s">
        <v>3592</v>
      </c>
      <c r="H117" s="2955">
        <v>1267950</v>
      </c>
      <c r="I117" s="2955">
        <v>10700</v>
      </c>
      <c r="J117" s="2955">
        <v>13551</v>
      </c>
      <c r="K117" s="2959">
        <v>118.5</v>
      </c>
      <c r="L117" s="2955">
        <v>93.57</v>
      </c>
      <c r="M117" s="2954" t="s">
        <v>3233</v>
      </c>
      <c r="N117" s="2954" t="s">
        <v>3551</v>
      </c>
      <c r="O117" s="2954" t="s">
        <v>3441</v>
      </c>
      <c r="P117" s="2954" t="s">
        <v>3289</v>
      </c>
      <c r="Q117" s="2954" t="s">
        <v>3542</v>
      </c>
      <c r="R117" s="2954" t="s">
        <v>3291</v>
      </c>
      <c r="S117" s="2954">
        <v>1267950</v>
      </c>
      <c r="T117" s="2954" t="s">
        <v>3233</v>
      </c>
      <c r="U117" s="2954" t="s">
        <v>3299</v>
      </c>
      <c r="V117" s="2956">
        <v>44499</v>
      </c>
      <c r="W117" s="2954" t="s">
        <v>3051</v>
      </c>
      <c r="X117" s="2954" t="s">
        <v>3046</v>
      </c>
      <c r="Y117" s="2954" t="s">
        <v>3283</v>
      </c>
      <c r="Z117" s="2957">
        <v>43362.415625000001</v>
      </c>
      <c r="AA117" s="2954" t="s">
        <v>3543</v>
      </c>
      <c r="AB117" s="2954" t="s">
        <v>3300</v>
      </c>
      <c r="AC117" s="2954" t="s">
        <v>3544</v>
      </c>
      <c r="AD117" s="2954" t="s">
        <v>3283</v>
      </c>
      <c r="AE117" s="2954" t="s">
        <v>3051</v>
      </c>
      <c r="AF117" s="2954" t="s">
        <v>3283</v>
      </c>
    </row>
    <row r="118" spans="1:32" ht="67.5">
      <c r="A118" s="2954">
        <v>5881</v>
      </c>
      <c r="B118" s="2954" t="s">
        <v>3281</v>
      </c>
      <c r="C118" s="2954" t="s">
        <v>3537</v>
      </c>
      <c r="D118" s="2954" t="s">
        <v>3283</v>
      </c>
      <c r="E118" s="2954" t="s">
        <v>3365</v>
      </c>
      <c r="F118" s="2954" t="s">
        <v>3593</v>
      </c>
      <c r="G118" s="2954" t="s">
        <v>3594</v>
      </c>
      <c r="H118" s="2955">
        <v>1270320</v>
      </c>
      <c r="I118" s="2955">
        <v>10720</v>
      </c>
      <c r="J118" s="2955">
        <v>13576</v>
      </c>
      <c r="K118" s="2959">
        <v>118.5</v>
      </c>
      <c r="L118" s="2955">
        <v>93.57</v>
      </c>
      <c r="M118" s="2954" t="s">
        <v>3233</v>
      </c>
      <c r="N118" s="2954" t="s">
        <v>3547</v>
      </c>
      <c r="O118" s="2954" t="s">
        <v>3441</v>
      </c>
      <c r="P118" s="2954" t="s">
        <v>3289</v>
      </c>
      <c r="Q118" s="2954" t="s">
        <v>3542</v>
      </c>
      <c r="R118" s="2954" t="s">
        <v>3291</v>
      </c>
      <c r="S118" s="2954">
        <v>1270320</v>
      </c>
      <c r="T118" s="2954" t="s">
        <v>3233</v>
      </c>
      <c r="U118" s="2954" t="s">
        <v>3299</v>
      </c>
      <c r="V118" s="2956">
        <v>44499</v>
      </c>
      <c r="W118" s="2954" t="s">
        <v>3051</v>
      </c>
      <c r="X118" s="2954" t="s">
        <v>3046</v>
      </c>
      <c r="Y118" s="2954" t="s">
        <v>3283</v>
      </c>
      <c r="Z118" s="2957">
        <v>43362.415625000001</v>
      </c>
      <c r="AA118" s="2954" t="s">
        <v>3543</v>
      </c>
      <c r="AB118" s="2954" t="s">
        <v>3300</v>
      </c>
      <c r="AC118" s="2954" t="s">
        <v>3544</v>
      </c>
      <c r="AD118" s="2954" t="s">
        <v>3283</v>
      </c>
      <c r="AE118" s="2954" t="s">
        <v>3051</v>
      </c>
      <c r="AF118" s="2954" t="s">
        <v>3283</v>
      </c>
    </row>
    <row r="119" spans="1:32" ht="67.5">
      <c r="A119" s="2954">
        <v>5882</v>
      </c>
      <c r="B119" s="2954" t="s">
        <v>3281</v>
      </c>
      <c r="C119" s="2954" t="s">
        <v>3537</v>
      </c>
      <c r="D119" s="2954" t="s">
        <v>3283</v>
      </c>
      <c r="E119" s="2954" t="s">
        <v>3595</v>
      </c>
      <c r="F119" s="2954" t="s">
        <v>3596</v>
      </c>
      <c r="G119" s="2954" t="s">
        <v>3597</v>
      </c>
      <c r="H119" s="2955">
        <v>1270320</v>
      </c>
      <c r="I119" s="2955">
        <v>10720</v>
      </c>
      <c r="J119" s="2955">
        <v>13576</v>
      </c>
      <c r="K119" s="2959">
        <v>118.5</v>
      </c>
      <c r="L119" s="2955">
        <v>93.57</v>
      </c>
      <c r="M119" s="2954" t="s">
        <v>3233</v>
      </c>
      <c r="N119" s="2954" t="s">
        <v>3551</v>
      </c>
      <c r="O119" s="2954" t="s">
        <v>3441</v>
      </c>
      <c r="P119" s="2954" t="s">
        <v>3289</v>
      </c>
      <c r="Q119" s="2954" t="s">
        <v>3542</v>
      </c>
      <c r="R119" s="2954" t="s">
        <v>3291</v>
      </c>
      <c r="S119" s="2954">
        <v>1270320</v>
      </c>
      <c r="T119" s="2954" t="s">
        <v>3233</v>
      </c>
      <c r="U119" s="2954" t="s">
        <v>3299</v>
      </c>
      <c r="V119" s="2956">
        <v>44499</v>
      </c>
      <c r="W119" s="2954" t="s">
        <v>3051</v>
      </c>
      <c r="X119" s="2954" t="s">
        <v>3046</v>
      </c>
      <c r="Y119" s="2954" t="s">
        <v>3283</v>
      </c>
      <c r="Z119" s="2957">
        <v>43362.415625000001</v>
      </c>
      <c r="AA119" s="2954" t="s">
        <v>3543</v>
      </c>
      <c r="AB119" s="2954" t="s">
        <v>3300</v>
      </c>
      <c r="AC119" s="2954" t="s">
        <v>3544</v>
      </c>
      <c r="AD119" s="2954" t="s">
        <v>3283</v>
      </c>
      <c r="AE119" s="2954" t="s">
        <v>3051</v>
      </c>
      <c r="AF119" s="2954" t="s">
        <v>3283</v>
      </c>
    </row>
    <row r="120" spans="1:32" ht="67.5">
      <c r="A120" s="2954">
        <v>5885</v>
      </c>
      <c r="B120" s="2954" t="s">
        <v>3281</v>
      </c>
      <c r="C120" s="2954" t="s">
        <v>3537</v>
      </c>
      <c r="D120" s="2954" t="s">
        <v>3283</v>
      </c>
      <c r="E120" s="2954" t="s">
        <v>3368</v>
      </c>
      <c r="F120" s="2954" t="s">
        <v>3598</v>
      </c>
      <c r="G120" s="2954" t="s">
        <v>3599</v>
      </c>
      <c r="H120" s="2955">
        <v>1272690</v>
      </c>
      <c r="I120" s="2955">
        <v>10740</v>
      </c>
      <c r="J120" s="2955">
        <v>13601</v>
      </c>
      <c r="K120" s="2959">
        <v>118.5</v>
      </c>
      <c r="L120" s="2955">
        <v>93.57</v>
      </c>
      <c r="M120" s="2954" t="s">
        <v>3233</v>
      </c>
      <c r="N120" s="2954" t="s">
        <v>3547</v>
      </c>
      <c r="O120" s="2954" t="s">
        <v>3441</v>
      </c>
      <c r="P120" s="2954" t="s">
        <v>3289</v>
      </c>
      <c r="Q120" s="2954" t="s">
        <v>3542</v>
      </c>
      <c r="R120" s="2954" t="s">
        <v>3291</v>
      </c>
      <c r="S120" s="2954">
        <v>1272690</v>
      </c>
      <c r="T120" s="2954" t="s">
        <v>3233</v>
      </c>
      <c r="U120" s="2954" t="s">
        <v>3299</v>
      </c>
      <c r="V120" s="2956">
        <v>44499</v>
      </c>
      <c r="W120" s="2954" t="s">
        <v>3051</v>
      </c>
      <c r="X120" s="2954" t="s">
        <v>3046</v>
      </c>
      <c r="Y120" s="2954" t="s">
        <v>3283</v>
      </c>
      <c r="Z120" s="2957">
        <v>43362.415625000001</v>
      </c>
      <c r="AA120" s="2954" t="s">
        <v>3543</v>
      </c>
      <c r="AB120" s="2954" t="s">
        <v>3300</v>
      </c>
      <c r="AC120" s="2954" t="s">
        <v>3544</v>
      </c>
      <c r="AD120" s="2954" t="s">
        <v>3283</v>
      </c>
      <c r="AE120" s="2954" t="s">
        <v>3051</v>
      </c>
      <c r="AF120" s="2954" t="s">
        <v>3283</v>
      </c>
    </row>
    <row r="121" spans="1:32" ht="67.5">
      <c r="A121" s="2954">
        <v>5886</v>
      </c>
      <c r="B121" s="2954" t="s">
        <v>3281</v>
      </c>
      <c r="C121" s="2954" t="s">
        <v>3537</v>
      </c>
      <c r="D121" s="2954" t="s">
        <v>3283</v>
      </c>
      <c r="E121" s="2954" t="s">
        <v>3600</v>
      </c>
      <c r="F121" s="2954" t="s">
        <v>3601</v>
      </c>
      <c r="G121" s="2954" t="s">
        <v>3602</v>
      </c>
      <c r="H121" s="2955">
        <v>1272690</v>
      </c>
      <c r="I121" s="2955">
        <v>10740</v>
      </c>
      <c r="J121" s="2955">
        <v>13601</v>
      </c>
      <c r="K121" s="2959">
        <v>118.5</v>
      </c>
      <c r="L121" s="2955">
        <v>93.57</v>
      </c>
      <c r="M121" s="2954" t="s">
        <v>3233</v>
      </c>
      <c r="N121" s="2954" t="s">
        <v>3551</v>
      </c>
      <c r="O121" s="2954" t="s">
        <v>3441</v>
      </c>
      <c r="P121" s="2954" t="s">
        <v>3289</v>
      </c>
      <c r="Q121" s="2954" t="s">
        <v>3542</v>
      </c>
      <c r="R121" s="2954" t="s">
        <v>3291</v>
      </c>
      <c r="S121" s="2954">
        <v>1272690</v>
      </c>
      <c r="T121" s="2954" t="s">
        <v>3233</v>
      </c>
      <c r="U121" s="2954" t="s">
        <v>3299</v>
      </c>
      <c r="V121" s="2956">
        <v>44499</v>
      </c>
      <c r="W121" s="2954" t="s">
        <v>3051</v>
      </c>
      <c r="X121" s="2954" t="s">
        <v>3046</v>
      </c>
      <c r="Y121" s="2954" t="s">
        <v>3283</v>
      </c>
      <c r="Z121" s="2957">
        <v>43362.415625000001</v>
      </c>
      <c r="AA121" s="2954" t="s">
        <v>3543</v>
      </c>
      <c r="AB121" s="2954" t="s">
        <v>3300</v>
      </c>
      <c r="AC121" s="2954" t="s">
        <v>3544</v>
      </c>
      <c r="AD121" s="2954" t="s">
        <v>3283</v>
      </c>
      <c r="AE121" s="2954" t="s">
        <v>3051</v>
      </c>
      <c r="AF121" s="2954" t="s">
        <v>3283</v>
      </c>
    </row>
    <row r="122" spans="1:32" ht="67.5">
      <c r="A122" s="2954">
        <v>5893</v>
      </c>
      <c r="B122" s="2954" t="s">
        <v>3281</v>
      </c>
      <c r="C122" s="2954" t="s">
        <v>3537</v>
      </c>
      <c r="D122" s="2954" t="s">
        <v>3283</v>
      </c>
      <c r="E122" s="2954" t="s">
        <v>3603</v>
      </c>
      <c r="F122" s="2954" t="s">
        <v>3604</v>
      </c>
      <c r="G122" s="2954" t="s">
        <v>3605</v>
      </c>
      <c r="H122" s="2955">
        <v>1277430</v>
      </c>
      <c r="I122" s="2955">
        <v>10780</v>
      </c>
      <c r="J122" s="2955">
        <v>13652</v>
      </c>
      <c r="K122" s="2959">
        <v>118.5</v>
      </c>
      <c r="L122" s="2955">
        <v>93.57</v>
      </c>
      <c r="M122" s="2954" t="s">
        <v>3233</v>
      </c>
      <c r="N122" s="2954" t="s">
        <v>3547</v>
      </c>
      <c r="O122" s="2954" t="s">
        <v>3441</v>
      </c>
      <c r="P122" s="2954" t="s">
        <v>3289</v>
      </c>
      <c r="Q122" s="2954" t="s">
        <v>3542</v>
      </c>
      <c r="R122" s="2954" t="s">
        <v>3291</v>
      </c>
      <c r="S122" s="2954">
        <v>1277430</v>
      </c>
      <c r="T122" s="2954" t="s">
        <v>3233</v>
      </c>
      <c r="U122" s="2954" t="s">
        <v>3299</v>
      </c>
      <c r="V122" s="2956">
        <v>44499</v>
      </c>
      <c r="W122" s="2954" t="s">
        <v>3051</v>
      </c>
      <c r="X122" s="2954" t="s">
        <v>3046</v>
      </c>
      <c r="Y122" s="2954" t="s">
        <v>3283</v>
      </c>
      <c r="Z122" s="2957">
        <v>43362.415625000001</v>
      </c>
      <c r="AA122" s="2954" t="s">
        <v>3543</v>
      </c>
      <c r="AB122" s="2954" t="s">
        <v>3300</v>
      </c>
      <c r="AC122" s="2954" t="s">
        <v>3544</v>
      </c>
      <c r="AD122" s="2954" t="s">
        <v>3283</v>
      </c>
      <c r="AE122" s="2954" t="s">
        <v>3051</v>
      </c>
      <c r="AF122" s="2954" t="s">
        <v>3283</v>
      </c>
    </row>
    <row r="123" spans="1:32" ht="67.5">
      <c r="A123" s="2954">
        <v>5894</v>
      </c>
      <c r="B123" s="2954" t="s">
        <v>3281</v>
      </c>
      <c r="C123" s="2954" t="s">
        <v>3537</v>
      </c>
      <c r="D123" s="2954" t="s">
        <v>3283</v>
      </c>
      <c r="E123" s="2954" t="s">
        <v>3606</v>
      </c>
      <c r="F123" s="2954" t="s">
        <v>3607</v>
      </c>
      <c r="G123" s="2954" t="s">
        <v>3608</v>
      </c>
      <c r="H123" s="2955">
        <v>1277430</v>
      </c>
      <c r="I123" s="2955">
        <v>10780</v>
      </c>
      <c r="J123" s="2955">
        <v>13652</v>
      </c>
      <c r="K123" s="2959">
        <v>118.5</v>
      </c>
      <c r="L123" s="2955">
        <v>93.57</v>
      </c>
      <c r="M123" s="2954" t="s">
        <v>3233</v>
      </c>
      <c r="N123" s="2954" t="s">
        <v>3551</v>
      </c>
      <c r="O123" s="2954" t="s">
        <v>3441</v>
      </c>
      <c r="P123" s="2954" t="s">
        <v>3289</v>
      </c>
      <c r="Q123" s="2954" t="s">
        <v>3542</v>
      </c>
      <c r="R123" s="2954" t="s">
        <v>3291</v>
      </c>
      <c r="S123" s="2954">
        <v>1277430</v>
      </c>
      <c r="T123" s="2954" t="s">
        <v>3233</v>
      </c>
      <c r="U123" s="2954" t="s">
        <v>3299</v>
      </c>
      <c r="V123" s="2956">
        <v>44499</v>
      </c>
      <c r="W123" s="2954" t="s">
        <v>3051</v>
      </c>
      <c r="X123" s="2954" t="s">
        <v>3046</v>
      </c>
      <c r="Y123" s="2954" t="s">
        <v>3283</v>
      </c>
      <c r="Z123" s="2957">
        <v>43362.415625000001</v>
      </c>
      <c r="AA123" s="2954" t="s">
        <v>3543</v>
      </c>
      <c r="AB123" s="2954" t="s">
        <v>3300</v>
      </c>
      <c r="AC123" s="2954" t="s">
        <v>3544</v>
      </c>
      <c r="AD123" s="2954" t="s">
        <v>3283</v>
      </c>
      <c r="AE123" s="2954" t="s">
        <v>3051</v>
      </c>
      <c r="AF123" s="2954" t="s">
        <v>3283</v>
      </c>
    </row>
    <row r="124" spans="1:32" ht="67.5">
      <c r="A124" s="2954">
        <v>5897</v>
      </c>
      <c r="B124" s="2954" t="s">
        <v>3281</v>
      </c>
      <c r="C124" s="2954" t="s">
        <v>3537</v>
      </c>
      <c r="D124" s="2954" t="s">
        <v>3283</v>
      </c>
      <c r="E124" s="2954" t="s">
        <v>3609</v>
      </c>
      <c r="F124" s="2954" t="s">
        <v>3610</v>
      </c>
      <c r="G124" s="2954" t="s">
        <v>3611</v>
      </c>
      <c r="H124" s="2955">
        <v>1277430</v>
      </c>
      <c r="I124" s="2955">
        <v>10780</v>
      </c>
      <c r="J124" s="2955">
        <v>13652</v>
      </c>
      <c r="K124" s="2959">
        <v>118.5</v>
      </c>
      <c r="L124" s="2955">
        <v>93.57</v>
      </c>
      <c r="M124" s="2954" t="s">
        <v>3233</v>
      </c>
      <c r="N124" s="2954" t="s">
        <v>3547</v>
      </c>
      <c r="O124" s="2954" t="s">
        <v>3441</v>
      </c>
      <c r="P124" s="2954" t="s">
        <v>3289</v>
      </c>
      <c r="Q124" s="2954" t="s">
        <v>3542</v>
      </c>
      <c r="R124" s="2954" t="s">
        <v>3291</v>
      </c>
      <c r="S124" s="2954">
        <v>1277430</v>
      </c>
      <c r="T124" s="2954" t="s">
        <v>3233</v>
      </c>
      <c r="U124" s="2954" t="s">
        <v>3299</v>
      </c>
      <c r="V124" s="2956">
        <v>44499</v>
      </c>
      <c r="W124" s="2954" t="s">
        <v>3051</v>
      </c>
      <c r="X124" s="2954" t="s">
        <v>3046</v>
      </c>
      <c r="Y124" s="2954" t="s">
        <v>3283</v>
      </c>
      <c r="Z124" s="2957">
        <v>43362.415625000001</v>
      </c>
      <c r="AA124" s="2954" t="s">
        <v>3543</v>
      </c>
      <c r="AB124" s="2954" t="s">
        <v>3300</v>
      </c>
      <c r="AC124" s="2954" t="s">
        <v>3544</v>
      </c>
      <c r="AD124" s="2954" t="s">
        <v>3283</v>
      </c>
      <c r="AE124" s="2954" t="s">
        <v>3051</v>
      </c>
      <c r="AF124" s="2954" t="s">
        <v>3283</v>
      </c>
    </row>
    <row r="125" spans="1:32" ht="67.5">
      <c r="A125" s="2954">
        <v>5898</v>
      </c>
      <c r="B125" s="2954" t="s">
        <v>3281</v>
      </c>
      <c r="C125" s="2954" t="s">
        <v>3537</v>
      </c>
      <c r="D125" s="2954" t="s">
        <v>3283</v>
      </c>
      <c r="E125" s="2954" t="s">
        <v>3612</v>
      </c>
      <c r="F125" s="2954" t="s">
        <v>3613</v>
      </c>
      <c r="G125" s="2954" t="s">
        <v>3614</v>
      </c>
      <c r="H125" s="2955">
        <v>1277430</v>
      </c>
      <c r="I125" s="2955">
        <v>10780</v>
      </c>
      <c r="J125" s="2955">
        <v>13652</v>
      </c>
      <c r="K125" s="2959">
        <v>118.5</v>
      </c>
      <c r="L125" s="2955">
        <v>93.57</v>
      </c>
      <c r="M125" s="2954" t="s">
        <v>3233</v>
      </c>
      <c r="N125" s="2954" t="s">
        <v>3551</v>
      </c>
      <c r="O125" s="2954" t="s">
        <v>3441</v>
      </c>
      <c r="P125" s="2954" t="s">
        <v>3289</v>
      </c>
      <c r="Q125" s="2954" t="s">
        <v>3542</v>
      </c>
      <c r="R125" s="2954" t="s">
        <v>3291</v>
      </c>
      <c r="S125" s="2954">
        <v>1277430</v>
      </c>
      <c r="T125" s="2954" t="s">
        <v>3233</v>
      </c>
      <c r="U125" s="2954" t="s">
        <v>3299</v>
      </c>
      <c r="V125" s="2956">
        <v>44499</v>
      </c>
      <c r="W125" s="2954" t="s">
        <v>3051</v>
      </c>
      <c r="X125" s="2954" t="s">
        <v>3046</v>
      </c>
      <c r="Y125" s="2954" t="s">
        <v>3283</v>
      </c>
      <c r="Z125" s="2957">
        <v>43362.415625000001</v>
      </c>
      <c r="AA125" s="2954" t="s">
        <v>3543</v>
      </c>
      <c r="AB125" s="2954" t="s">
        <v>3300</v>
      </c>
      <c r="AC125" s="2954" t="s">
        <v>3544</v>
      </c>
      <c r="AD125" s="2954" t="s">
        <v>3283</v>
      </c>
      <c r="AE125" s="2954" t="s">
        <v>3051</v>
      </c>
      <c r="AF125" s="2954" t="s">
        <v>3283</v>
      </c>
    </row>
    <row r="126" spans="1:32" ht="67.5">
      <c r="A126" s="2954">
        <v>5906</v>
      </c>
      <c r="B126" s="2954" t="s">
        <v>3281</v>
      </c>
      <c r="C126" s="2954" t="s">
        <v>3537</v>
      </c>
      <c r="D126" s="2954" t="s">
        <v>3283</v>
      </c>
      <c r="E126" s="2954" t="s">
        <v>3615</v>
      </c>
      <c r="F126" s="2954" t="s">
        <v>3616</v>
      </c>
      <c r="G126" s="2954" t="s">
        <v>3617</v>
      </c>
      <c r="H126" s="2955">
        <v>1275060</v>
      </c>
      <c r="I126" s="2955">
        <v>10760</v>
      </c>
      <c r="J126" s="2955">
        <v>13627</v>
      </c>
      <c r="K126" s="2959">
        <v>118.5</v>
      </c>
      <c r="L126" s="2955">
        <v>93.57</v>
      </c>
      <c r="M126" s="2954" t="s">
        <v>3233</v>
      </c>
      <c r="N126" s="2954" t="s">
        <v>3551</v>
      </c>
      <c r="O126" s="2954" t="s">
        <v>3441</v>
      </c>
      <c r="P126" s="2954" t="s">
        <v>3289</v>
      </c>
      <c r="Q126" s="2954" t="s">
        <v>3542</v>
      </c>
      <c r="R126" s="2954" t="s">
        <v>3291</v>
      </c>
      <c r="S126" s="2954">
        <v>1275060</v>
      </c>
      <c r="T126" s="2954" t="s">
        <v>3233</v>
      </c>
      <c r="U126" s="2954" t="s">
        <v>3299</v>
      </c>
      <c r="V126" s="2956">
        <v>44499</v>
      </c>
      <c r="W126" s="2954" t="s">
        <v>3051</v>
      </c>
      <c r="X126" s="2954" t="s">
        <v>3046</v>
      </c>
      <c r="Y126" s="2954" t="s">
        <v>3283</v>
      </c>
      <c r="Z126" s="2957">
        <v>43362.415625000001</v>
      </c>
      <c r="AA126" s="2954" t="s">
        <v>3543</v>
      </c>
      <c r="AB126" s="2954" t="s">
        <v>3300</v>
      </c>
      <c r="AC126" s="2954" t="s">
        <v>3544</v>
      </c>
      <c r="AD126" s="2954" t="s">
        <v>3283</v>
      </c>
      <c r="AE126" s="2954" t="s">
        <v>3051</v>
      </c>
      <c r="AF126" s="2954" t="s">
        <v>3283</v>
      </c>
    </row>
    <row r="127" spans="1:32" ht="67.5">
      <c r="A127" s="2954">
        <v>5909</v>
      </c>
      <c r="B127" s="2954" t="s">
        <v>3281</v>
      </c>
      <c r="C127" s="2954" t="s">
        <v>3537</v>
      </c>
      <c r="D127" s="2954" t="s">
        <v>3283</v>
      </c>
      <c r="E127" s="2954" t="s">
        <v>3618</v>
      </c>
      <c r="F127" s="2954" t="s">
        <v>3619</v>
      </c>
      <c r="G127" s="2954" t="s">
        <v>3620</v>
      </c>
      <c r="H127" s="2955">
        <v>1275060</v>
      </c>
      <c r="I127" s="2955">
        <v>10760</v>
      </c>
      <c r="J127" s="2955">
        <v>13627</v>
      </c>
      <c r="K127" s="2959">
        <v>118.5</v>
      </c>
      <c r="L127" s="2955">
        <v>93.57</v>
      </c>
      <c r="M127" s="2954" t="s">
        <v>3233</v>
      </c>
      <c r="N127" s="2954" t="s">
        <v>3547</v>
      </c>
      <c r="O127" s="2954" t="s">
        <v>3441</v>
      </c>
      <c r="P127" s="2954" t="s">
        <v>3289</v>
      </c>
      <c r="Q127" s="2954" t="s">
        <v>3542</v>
      </c>
      <c r="R127" s="2954" t="s">
        <v>3291</v>
      </c>
      <c r="S127" s="2954">
        <v>1275060</v>
      </c>
      <c r="T127" s="2954" t="s">
        <v>3233</v>
      </c>
      <c r="U127" s="2954" t="s">
        <v>3299</v>
      </c>
      <c r="V127" s="2956">
        <v>44499</v>
      </c>
      <c r="W127" s="2954" t="s">
        <v>3051</v>
      </c>
      <c r="X127" s="2954" t="s">
        <v>3046</v>
      </c>
      <c r="Y127" s="2954" t="s">
        <v>3283</v>
      </c>
      <c r="Z127" s="2957">
        <v>43362.415625000001</v>
      </c>
      <c r="AA127" s="2954" t="s">
        <v>3543</v>
      </c>
      <c r="AB127" s="2954" t="s">
        <v>3300</v>
      </c>
      <c r="AC127" s="2954" t="s">
        <v>3544</v>
      </c>
      <c r="AD127" s="2954" t="s">
        <v>3283</v>
      </c>
      <c r="AE127" s="2954" t="s">
        <v>3051</v>
      </c>
      <c r="AF127" s="2954" t="s">
        <v>3283</v>
      </c>
    </row>
    <row r="128" spans="1:32" ht="67.5">
      <c r="A128" s="2954">
        <v>5910</v>
      </c>
      <c r="B128" s="2954" t="s">
        <v>3281</v>
      </c>
      <c r="C128" s="2954" t="s">
        <v>3537</v>
      </c>
      <c r="D128" s="2954" t="s">
        <v>3283</v>
      </c>
      <c r="E128" s="2954" t="s">
        <v>3621</v>
      </c>
      <c r="F128" s="2954" t="s">
        <v>3622</v>
      </c>
      <c r="G128" s="2954" t="s">
        <v>3623</v>
      </c>
      <c r="H128" s="2955">
        <v>1275060</v>
      </c>
      <c r="I128" s="2955">
        <v>10760</v>
      </c>
      <c r="J128" s="2955">
        <v>13627</v>
      </c>
      <c r="K128" s="2959">
        <v>118.5</v>
      </c>
      <c r="L128" s="2955">
        <v>93.57</v>
      </c>
      <c r="M128" s="2954" t="s">
        <v>3233</v>
      </c>
      <c r="N128" s="2954" t="s">
        <v>3551</v>
      </c>
      <c r="O128" s="2954" t="s">
        <v>3441</v>
      </c>
      <c r="P128" s="2954" t="s">
        <v>3289</v>
      </c>
      <c r="Q128" s="2954" t="s">
        <v>3542</v>
      </c>
      <c r="R128" s="2954" t="s">
        <v>3291</v>
      </c>
      <c r="S128" s="2954">
        <v>1275060</v>
      </c>
      <c r="T128" s="2954" t="s">
        <v>3233</v>
      </c>
      <c r="U128" s="2954" t="s">
        <v>3299</v>
      </c>
      <c r="V128" s="2956">
        <v>44499</v>
      </c>
      <c r="W128" s="2954" t="s">
        <v>3051</v>
      </c>
      <c r="X128" s="2954" t="s">
        <v>3046</v>
      </c>
      <c r="Y128" s="2954" t="s">
        <v>3283</v>
      </c>
      <c r="Z128" s="2957">
        <v>43362.415625000001</v>
      </c>
      <c r="AA128" s="2954" t="s">
        <v>3543</v>
      </c>
      <c r="AB128" s="2954" t="s">
        <v>3300</v>
      </c>
      <c r="AC128" s="2954" t="s">
        <v>3544</v>
      </c>
      <c r="AD128" s="2954" t="s">
        <v>3283</v>
      </c>
      <c r="AE128" s="2954" t="s">
        <v>3051</v>
      </c>
      <c r="AF128" s="2954" t="s">
        <v>3283</v>
      </c>
    </row>
    <row r="129" spans="1:32" ht="67.5">
      <c r="A129" s="2954">
        <v>5913</v>
      </c>
      <c r="B129" s="2954" t="s">
        <v>3281</v>
      </c>
      <c r="C129" s="2954" t="s">
        <v>3537</v>
      </c>
      <c r="D129" s="2954" t="s">
        <v>3283</v>
      </c>
      <c r="E129" s="2954" t="s">
        <v>3624</v>
      </c>
      <c r="F129" s="2954" t="s">
        <v>3625</v>
      </c>
      <c r="G129" s="2954" t="s">
        <v>3626</v>
      </c>
      <c r="H129" s="2955">
        <v>1275060</v>
      </c>
      <c r="I129" s="2955">
        <v>10760</v>
      </c>
      <c r="J129" s="2955">
        <v>13627</v>
      </c>
      <c r="K129" s="2959">
        <v>118.5</v>
      </c>
      <c r="L129" s="2955">
        <v>93.57</v>
      </c>
      <c r="M129" s="2954" t="s">
        <v>3233</v>
      </c>
      <c r="N129" s="2954" t="s">
        <v>3547</v>
      </c>
      <c r="O129" s="2954" t="s">
        <v>3441</v>
      </c>
      <c r="P129" s="2954" t="s">
        <v>3289</v>
      </c>
      <c r="Q129" s="2954" t="s">
        <v>3542</v>
      </c>
      <c r="R129" s="2954" t="s">
        <v>3291</v>
      </c>
      <c r="S129" s="2954">
        <v>1275060</v>
      </c>
      <c r="T129" s="2954" t="s">
        <v>3233</v>
      </c>
      <c r="U129" s="2954" t="s">
        <v>3299</v>
      </c>
      <c r="V129" s="2956">
        <v>44499</v>
      </c>
      <c r="W129" s="2954" t="s">
        <v>3051</v>
      </c>
      <c r="X129" s="2954" t="s">
        <v>3046</v>
      </c>
      <c r="Y129" s="2954" t="s">
        <v>3283</v>
      </c>
      <c r="Z129" s="2957">
        <v>43362.415625000001</v>
      </c>
      <c r="AA129" s="2954" t="s">
        <v>3543</v>
      </c>
      <c r="AB129" s="2954" t="s">
        <v>3300</v>
      </c>
      <c r="AC129" s="2954" t="s">
        <v>3544</v>
      </c>
      <c r="AD129" s="2954" t="s">
        <v>3283</v>
      </c>
      <c r="AE129" s="2954" t="s">
        <v>3051</v>
      </c>
      <c r="AF129" s="2954" t="s">
        <v>3283</v>
      </c>
    </row>
    <row r="130" spans="1:32" ht="67.5">
      <c r="A130" s="2954">
        <v>5914</v>
      </c>
      <c r="B130" s="2954" t="s">
        <v>3281</v>
      </c>
      <c r="C130" s="2954" t="s">
        <v>3537</v>
      </c>
      <c r="D130" s="2954" t="s">
        <v>3283</v>
      </c>
      <c r="E130" s="2954" t="s">
        <v>3627</v>
      </c>
      <c r="F130" s="2954" t="s">
        <v>3628</v>
      </c>
      <c r="G130" s="2954" t="s">
        <v>3629</v>
      </c>
      <c r="H130" s="2955">
        <v>1275060</v>
      </c>
      <c r="I130" s="2955">
        <v>10760</v>
      </c>
      <c r="J130" s="2955">
        <v>13627</v>
      </c>
      <c r="K130" s="2959">
        <v>118.5</v>
      </c>
      <c r="L130" s="2955">
        <v>93.57</v>
      </c>
      <c r="M130" s="2954" t="s">
        <v>3233</v>
      </c>
      <c r="N130" s="2954" t="s">
        <v>3551</v>
      </c>
      <c r="O130" s="2954" t="s">
        <v>3441</v>
      </c>
      <c r="P130" s="2954" t="s">
        <v>3289</v>
      </c>
      <c r="Q130" s="2954" t="s">
        <v>3542</v>
      </c>
      <c r="R130" s="2954" t="s">
        <v>3291</v>
      </c>
      <c r="S130" s="2954">
        <v>1275060</v>
      </c>
      <c r="T130" s="2954" t="s">
        <v>3233</v>
      </c>
      <c r="U130" s="2954" t="s">
        <v>3299</v>
      </c>
      <c r="V130" s="2956">
        <v>44499</v>
      </c>
      <c r="W130" s="2954" t="s">
        <v>3051</v>
      </c>
      <c r="X130" s="2954" t="s">
        <v>3046</v>
      </c>
      <c r="Y130" s="2954" t="s">
        <v>3283</v>
      </c>
      <c r="Z130" s="2957">
        <v>43362.415625000001</v>
      </c>
      <c r="AA130" s="2954" t="s">
        <v>3543</v>
      </c>
      <c r="AB130" s="2954" t="s">
        <v>3300</v>
      </c>
      <c r="AC130" s="2954" t="s">
        <v>3544</v>
      </c>
      <c r="AD130" s="2954" t="s">
        <v>3283</v>
      </c>
      <c r="AE130" s="2954" t="s">
        <v>3051</v>
      </c>
      <c r="AF130" s="2954" t="s">
        <v>3283</v>
      </c>
    </row>
    <row r="131" spans="1:32" ht="67.5">
      <c r="A131" s="2954">
        <v>5917</v>
      </c>
      <c r="B131" s="2954" t="s">
        <v>3281</v>
      </c>
      <c r="C131" s="2954" t="s">
        <v>3537</v>
      </c>
      <c r="D131" s="2954" t="s">
        <v>3283</v>
      </c>
      <c r="E131" s="2954" t="s">
        <v>3630</v>
      </c>
      <c r="F131" s="2954" t="s">
        <v>3631</v>
      </c>
      <c r="G131" s="2954" t="s">
        <v>3632</v>
      </c>
      <c r="H131" s="2955">
        <v>1272690</v>
      </c>
      <c r="I131" s="2955">
        <v>10740</v>
      </c>
      <c r="J131" s="2955">
        <v>13601</v>
      </c>
      <c r="K131" s="2959">
        <v>118.5</v>
      </c>
      <c r="L131" s="2955">
        <v>93.57</v>
      </c>
      <c r="M131" s="2954" t="s">
        <v>3233</v>
      </c>
      <c r="N131" s="2954" t="s">
        <v>3547</v>
      </c>
      <c r="O131" s="2954" t="s">
        <v>3441</v>
      </c>
      <c r="P131" s="2954" t="s">
        <v>3289</v>
      </c>
      <c r="Q131" s="2954" t="s">
        <v>3542</v>
      </c>
      <c r="R131" s="2954" t="s">
        <v>3291</v>
      </c>
      <c r="S131" s="2954">
        <v>1272690</v>
      </c>
      <c r="T131" s="2954" t="s">
        <v>3233</v>
      </c>
      <c r="U131" s="2954" t="s">
        <v>3299</v>
      </c>
      <c r="V131" s="2956">
        <v>44499</v>
      </c>
      <c r="W131" s="2954" t="s">
        <v>3051</v>
      </c>
      <c r="X131" s="2954" t="s">
        <v>3046</v>
      </c>
      <c r="Y131" s="2954" t="s">
        <v>3283</v>
      </c>
      <c r="Z131" s="2957">
        <v>43362.415625000001</v>
      </c>
      <c r="AA131" s="2954" t="s">
        <v>3543</v>
      </c>
      <c r="AB131" s="2954" t="s">
        <v>3300</v>
      </c>
      <c r="AC131" s="2954" t="s">
        <v>3544</v>
      </c>
      <c r="AD131" s="2954" t="s">
        <v>3283</v>
      </c>
      <c r="AE131" s="2954" t="s">
        <v>3051</v>
      </c>
      <c r="AF131" s="2954" t="s">
        <v>3283</v>
      </c>
    </row>
    <row r="132" spans="1:32" ht="67.5">
      <c r="A132" s="2954">
        <v>5918</v>
      </c>
      <c r="B132" s="2954" t="s">
        <v>3281</v>
      </c>
      <c r="C132" s="2954" t="s">
        <v>3537</v>
      </c>
      <c r="D132" s="2954" t="s">
        <v>3283</v>
      </c>
      <c r="E132" s="2954" t="s">
        <v>3633</v>
      </c>
      <c r="F132" s="2954" t="s">
        <v>3634</v>
      </c>
      <c r="G132" s="2954" t="s">
        <v>3635</v>
      </c>
      <c r="H132" s="2955">
        <v>1272690</v>
      </c>
      <c r="I132" s="2955">
        <v>10740</v>
      </c>
      <c r="J132" s="2955">
        <v>13601</v>
      </c>
      <c r="K132" s="2959">
        <v>118.5</v>
      </c>
      <c r="L132" s="2955">
        <v>93.57</v>
      </c>
      <c r="M132" s="2954" t="s">
        <v>3233</v>
      </c>
      <c r="N132" s="2954" t="s">
        <v>3551</v>
      </c>
      <c r="O132" s="2954" t="s">
        <v>3441</v>
      </c>
      <c r="P132" s="2954" t="s">
        <v>3289</v>
      </c>
      <c r="Q132" s="2954" t="s">
        <v>3542</v>
      </c>
      <c r="R132" s="2954" t="s">
        <v>3291</v>
      </c>
      <c r="S132" s="2954">
        <v>1272690</v>
      </c>
      <c r="T132" s="2954" t="s">
        <v>3233</v>
      </c>
      <c r="U132" s="2954" t="s">
        <v>3299</v>
      </c>
      <c r="V132" s="2956">
        <v>44499</v>
      </c>
      <c r="W132" s="2954" t="s">
        <v>3051</v>
      </c>
      <c r="X132" s="2954" t="s">
        <v>3046</v>
      </c>
      <c r="Y132" s="2954" t="s">
        <v>3283</v>
      </c>
      <c r="Z132" s="2957">
        <v>43362.415625000001</v>
      </c>
      <c r="AA132" s="2954" t="s">
        <v>3543</v>
      </c>
      <c r="AB132" s="2954" t="s">
        <v>3300</v>
      </c>
      <c r="AC132" s="2954" t="s">
        <v>3544</v>
      </c>
      <c r="AD132" s="2954" t="s">
        <v>3283</v>
      </c>
      <c r="AE132" s="2954" t="s">
        <v>3051</v>
      </c>
      <c r="AF132" s="2954" t="s">
        <v>3283</v>
      </c>
    </row>
    <row r="133" spans="1:32" ht="67.5">
      <c r="A133" s="2954">
        <v>5921</v>
      </c>
      <c r="B133" s="2954" t="s">
        <v>3281</v>
      </c>
      <c r="C133" s="2954" t="s">
        <v>3537</v>
      </c>
      <c r="D133" s="2954" t="s">
        <v>3283</v>
      </c>
      <c r="E133" s="2954" t="s">
        <v>3636</v>
      </c>
      <c r="F133" s="2954" t="s">
        <v>3637</v>
      </c>
      <c r="G133" s="2954" t="s">
        <v>3638</v>
      </c>
      <c r="H133" s="2955">
        <v>1272690</v>
      </c>
      <c r="I133" s="2955">
        <v>10740</v>
      </c>
      <c r="J133" s="2955">
        <v>13601</v>
      </c>
      <c r="K133" s="2959">
        <v>118.5</v>
      </c>
      <c r="L133" s="2955">
        <v>93.57</v>
      </c>
      <c r="M133" s="2954" t="s">
        <v>3233</v>
      </c>
      <c r="N133" s="2954" t="s">
        <v>3547</v>
      </c>
      <c r="O133" s="2954" t="s">
        <v>3441</v>
      </c>
      <c r="P133" s="2954" t="s">
        <v>3289</v>
      </c>
      <c r="Q133" s="2954" t="s">
        <v>3542</v>
      </c>
      <c r="R133" s="2954" t="s">
        <v>3291</v>
      </c>
      <c r="S133" s="2954">
        <v>1272690</v>
      </c>
      <c r="T133" s="2954" t="s">
        <v>3233</v>
      </c>
      <c r="U133" s="2954" t="s">
        <v>3299</v>
      </c>
      <c r="V133" s="2956">
        <v>44499</v>
      </c>
      <c r="W133" s="2954" t="s">
        <v>3051</v>
      </c>
      <c r="X133" s="2954" t="s">
        <v>3046</v>
      </c>
      <c r="Y133" s="2954" t="s">
        <v>3283</v>
      </c>
      <c r="Z133" s="2957">
        <v>43362.415625000001</v>
      </c>
      <c r="AA133" s="2954" t="s">
        <v>3543</v>
      </c>
      <c r="AB133" s="2954" t="s">
        <v>3300</v>
      </c>
      <c r="AC133" s="2954" t="s">
        <v>3544</v>
      </c>
      <c r="AD133" s="2954" t="s">
        <v>3283</v>
      </c>
      <c r="AE133" s="2954" t="s">
        <v>3051</v>
      </c>
      <c r="AF133" s="2954" t="s">
        <v>3283</v>
      </c>
    </row>
    <row r="134" spans="1:32" ht="67.5">
      <c r="A134" s="2954">
        <v>5922</v>
      </c>
      <c r="B134" s="2954" t="s">
        <v>3281</v>
      </c>
      <c r="C134" s="2954" t="s">
        <v>3537</v>
      </c>
      <c r="D134" s="2954" t="s">
        <v>3283</v>
      </c>
      <c r="E134" s="2954" t="s">
        <v>3639</v>
      </c>
      <c r="F134" s="2954" t="s">
        <v>3640</v>
      </c>
      <c r="G134" s="2954" t="s">
        <v>3641</v>
      </c>
      <c r="H134" s="2955">
        <v>1272690</v>
      </c>
      <c r="I134" s="2955">
        <v>10740</v>
      </c>
      <c r="J134" s="2955">
        <v>13601</v>
      </c>
      <c r="K134" s="2959">
        <v>118.5</v>
      </c>
      <c r="L134" s="2955">
        <v>93.57</v>
      </c>
      <c r="M134" s="2954" t="s">
        <v>3233</v>
      </c>
      <c r="N134" s="2954" t="s">
        <v>3551</v>
      </c>
      <c r="O134" s="2954" t="s">
        <v>3441</v>
      </c>
      <c r="P134" s="2954" t="s">
        <v>3289</v>
      </c>
      <c r="Q134" s="2954" t="s">
        <v>3542</v>
      </c>
      <c r="R134" s="2954" t="s">
        <v>3291</v>
      </c>
      <c r="S134" s="2954">
        <v>1272690</v>
      </c>
      <c r="T134" s="2954" t="s">
        <v>3233</v>
      </c>
      <c r="U134" s="2954" t="s">
        <v>3299</v>
      </c>
      <c r="V134" s="2956">
        <v>44499</v>
      </c>
      <c r="W134" s="2954" t="s">
        <v>3051</v>
      </c>
      <c r="X134" s="2954" t="s">
        <v>3046</v>
      </c>
      <c r="Y134" s="2954" t="s">
        <v>3283</v>
      </c>
      <c r="Z134" s="2957">
        <v>43362.415625000001</v>
      </c>
      <c r="AA134" s="2954" t="s">
        <v>3543</v>
      </c>
      <c r="AB134" s="2954" t="s">
        <v>3300</v>
      </c>
      <c r="AC134" s="2954" t="s">
        <v>3544</v>
      </c>
      <c r="AD134" s="2954" t="s">
        <v>3283</v>
      </c>
      <c r="AE134" s="2954" t="s">
        <v>3051</v>
      </c>
      <c r="AF134" s="2954" t="s">
        <v>3283</v>
      </c>
    </row>
    <row r="135" spans="1:32" ht="67.5">
      <c r="A135" s="2954">
        <v>5925</v>
      </c>
      <c r="B135" s="2954" t="s">
        <v>3281</v>
      </c>
      <c r="C135" s="2954" t="s">
        <v>3537</v>
      </c>
      <c r="D135" s="2954" t="s">
        <v>3283</v>
      </c>
      <c r="E135" s="2954" t="s">
        <v>3642</v>
      </c>
      <c r="F135" s="2954" t="s">
        <v>3643</v>
      </c>
      <c r="G135" s="2954" t="s">
        <v>3644</v>
      </c>
      <c r="H135" s="2955">
        <v>1272690</v>
      </c>
      <c r="I135" s="2955">
        <v>10740</v>
      </c>
      <c r="J135" s="2955">
        <v>13601</v>
      </c>
      <c r="K135" s="2959">
        <v>118.5</v>
      </c>
      <c r="L135" s="2955">
        <v>93.57</v>
      </c>
      <c r="M135" s="2954" t="s">
        <v>3233</v>
      </c>
      <c r="N135" s="2954" t="s">
        <v>3547</v>
      </c>
      <c r="O135" s="2954" t="s">
        <v>3441</v>
      </c>
      <c r="P135" s="2954" t="s">
        <v>3289</v>
      </c>
      <c r="Q135" s="2954" t="s">
        <v>3542</v>
      </c>
      <c r="R135" s="2954" t="s">
        <v>3291</v>
      </c>
      <c r="S135" s="2954">
        <v>1272690</v>
      </c>
      <c r="T135" s="2954" t="s">
        <v>3233</v>
      </c>
      <c r="U135" s="2954" t="s">
        <v>3299</v>
      </c>
      <c r="V135" s="2956">
        <v>44499</v>
      </c>
      <c r="W135" s="2954" t="s">
        <v>3051</v>
      </c>
      <c r="X135" s="2954" t="s">
        <v>3046</v>
      </c>
      <c r="Y135" s="2954" t="s">
        <v>3283</v>
      </c>
      <c r="Z135" s="2957">
        <v>43362.415625000001</v>
      </c>
      <c r="AA135" s="2954" t="s">
        <v>3543</v>
      </c>
      <c r="AB135" s="2954" t="s">
        <v>3300</v>
      </c>
      <c r="AC135" s="2954" t="s">
        <v>3544</v>
      </c>
      <c r="AD135" s="2954" t="s">
        <v>3283</v>
      </c>
      <c r="AE135" s="2954" t="s">
        <v>3051</v>
      </c>
      <c r="AF135" s="2954" t="s">
        <v>3283</v>
      </c>
    </row>
    <row r="136" spans="1:32" ht="67.5">
      <c r="A136" s="2954">
        <v>5926</v>
      </c>
      <c r="B136" s="2954" t="s">
        <v>3281</v>
      </c>
      <c r="C136" s="2954" t="s">
        <v>3537</v>
      </c>
      <c r="D136" s="2954" t="s">
        <v>3283</v>
      </c>
      <c r="E136" s="2954" t="s">
        <v>3645</v>
      </c>
      <c r="F136" s="2954" t="s">
        <v>3646</v>
      </c>
      <c r="G136" s="2954" t="s">
        <v>3647</v>
      </c>
      <c r="H136" s="2955">
        <v>1272690</v>
      </c>
      <c r="I136" s="2955">
        <v>10740</v>
      </c>
      <c r="J136" s="2955">
        <v>13601</v>
      </c>
      <c r="K136" s="2959">
        <v>118.5</v>
      </c>
      <c r="L136" s="2955">
        <v>93.57</v>
      </c>
      <c r="M136" s="2954" t="s">
        <v>3233</v>
      </c>
      <c r="N136" s="2954" t="s">
        <v>3551</v>
      </c>
      <c r="O136" s="2954" t="s">
        <v>3441</v>
      </c>
      <c r="P136" s="2954" t="s">
        <v>3289</v>
      </c>
      <c r="Q136" s="2954" t="s">
        <v>3542</v>
      </c>
      <c r="R136" s="2954" t="s">
        <v>3291</v>
      </c>
      <c r="S136" s="2954">
        <v>1272690</v>
      </c>
      <c r="T136" s="2954" t="s">
        <v>3233</v>
      </c>
      <c r="U136" s="2954" t="s">
        <v>3299</v>
      </c>
      <c r="V136" s="2956">
        <v>44499</v>
      </c>
      <c r="W136" s="2954" t="s">
        <v>3051</v>
      </c>
      <c r="X136" s="2954" t="s">
        <v>3046</v>
      </c>
      <c r="Y136" s="2954" t="s">
        <v>3283</v>
      </c>
      <c r="Z136" s="2957">
        <v>43362.415625000001</v>
      </c>
      <c r="AA136" s="2954" t="s">
        <v>3543</v>
      </c>
      <c r="AB136" s="2954" t="s">
        <v>3300</v>
      </c>
      <c r="AC136" s="2954" t="s">
        <v>3544</v>
      </c>
      <c r="AD136" s="2954" t="s">
        <v>3283</v>
      </c>
      <c r="AE136" s="2954" t="s">
        <v>3051</v>
      </c>
      <c r="AF136" s="2954" t="s">
        <v>3283</v>
      </c>
    </row>
    <row r="137" spans="1:32" ht="67.5">
      <c r="A137" s="2954">
        <v>5929</v>
      </c>
      <c r="B137" s="2954" t="s">
        <v>3281</v>
      </c>
      <c r="C137" s="2954" t="s">
        <v>3537</v>
      </c>
      <c r="D137" s="2954" t="s">
        <v>3283</v>
      </c>
      <c r="E137" s="2954" t="s">
        <v>3648</v>
      </c>
      <c r="F137" s="2954" t="s">
        <v>3649</v>
      </c>
      <c r="G137" s="2954" t="s">
        <v>3650</v>
      </c>
      <c r="H137" s="2955">
        <v>1270320</v>
      </c>
      <c r="I137" s="2955">
        <v>10720</v>
      </c>
      <c r="J137" s="2955">
        <v>13576</v>
      </c>
      <c r="K137" s="2959">
        <v>118.5</v>
      </c>
      <c r="L137" s="2955">
        <v>93.57</v>
      </c>
      <c r="M137" s="2954" t="s">
        <v>3233</v>
      </c>
      <c r="N137" s="2954" t="s">
        <v>3547</v>
      </c>
      <c r="O137" s="2954" t="s">
        <v>3441</v>
      </c>
      <c r="P137" s="2954" t="s">
        <v>3289</v>
      </c>
      <c r="Q137" s="2954" t="s">
        <v>3542</v>
      </c>
      <c r="R137" s="2954" t="s">
        <v>3291</v>
      </c>
      <c r="S137" s="2954">
        <v>1270320</v>
      </c>
      <c r="T137" s="2954" t="s">
        <v>3233</v>
      </c>
      <c r="U137" s="2954" t="s">
        <v>3299</v>
      </c>
      <c r="V137" s="2956">
        <v>44499</v>
      </c>
      <c r="W137" s="2954" t="s">
        <v>3051</v>
      </c>
      <c r="X137" s="2954" t="s">
        <v>3046</v>
      </c>
      <c r="Y137" s="2954" t="s">
        <v>3283</v>
      </c>
      <c r="Z137" s="2957">
        <v>43362.415625000001</v>
      </c>
      <c r="AA137" s="2954" t="s">
        <v>3543</v>
      </c>
      <c r="AB137" s="2954" t="s">
        <v>3300</v>
      </c>
      <c r="AC137" s="2954" t="s">
        <v>3544</v>
      </c>
      <c r="AD137" s="2954" t="s">
        <v>3283</v>
      </c>
      <c r="AE137" s="2954" t="s">
        <v>3051</v>
      </c>
      <c r="AF137" s="2954" t="s">
        <v>3283</v>
      </c>
    </row>
    <row r="138" spans="1:32" ht="67.5">
      <c r="A138" s="2954">
        <v>5930</v>
      </c>
      <c r="B138" s="2954" t="s">
        <v>3281</v>
      </c>
      <c r="C138" s="2954" t="s">
        <v>3537</v>
      </c>
      <c r="D138" s="2954" t="s">
        <v>3283</v>
      </c>
      <c r="E138" s="2954" t="s">
        <v>3651</v>
      </c>
      <c r="F138" s="2954" t="s">
        <v>3652</v>
      </c>
      <c r="G138" s="2954" t="s">
        <v>3653</v>
      </c>
      <c r="H138" s="2955">
        <v>1270320</v>
      </c>
      <c r="I138" s="2955">
        <v>10720</v>
      </c>
      <c r="J138" s="2955">
        <v>13576</v>
      </c>
      <c r="K138" s="2959">
        <v>118.5</v>
      </c>
      <c r="L138" s="2955">
        <v>93.57</v>
      </c>
      <c r="M138" s="2954" t="s">
        <v>3233</v>
      </c>
      <c r="N138" s="2954" t="s">
        <v>3551</v>
      </c>
      <c r="O138" s="2954" t="s">
        <v>3441</v>
      </c>
      <c r="P138" s="2954" t="s">
        <v>3289</v>
      </c>
      <c r="Q138" s="2954" t="s">
        <v>3542</v>
      </c>
      <c r="R138" s="2954" t="s">
        <v>3291</v>
      </c>
      <c r="S138" s="2954">
        <v>1270320</v>
      </c>
      <c r="T138" s="2954" t="s">
        <v>3233</v>
      </c>
      <c r="U138" s="2954" t="s">
        <v>3299</v>
      </c>
      <c r="V138" s="2956">
        <v>44499</v>
      </c>
      <c r="W138" s="2954" t="s">
        <v>3051</v>
      </c>
      <c r="X138" s="2954" t="s">
        <v>3046</v>
      </c>
      <c r="Y138" s="2954" t="s">
        <v>3283</v>
      </c>
      <c r="Z138" s="2957">
        <v>43362.415625000001</v>
      </c>
      <c r="AA138" s="2954" t="s">
        <v>3543</v>
      </c>
      <c r="AB138" s="2954" t="s">
        <v>3300</v>
      </c>
      <c r="AC138" s="2954" t="s">
        <v>3544</v>
      </c>
      <c r="AD138" s="2954" t="s">
        <v>3283</v>
      </c>
      <c r="AE138" s="2954" t="s">
        <v>3051</v>
      </c>
      <c r="AF138" s="2954" t="s">
        <v>3283</v>
      </c>
    </row>
    <row r="139" spans="1:32" ht="67.5">
      <c r="A139" s="2954">
        <v>5933</v>
      </c>
      <c r="B139" s="2954" t="s">
        <v>3281</v>
      </c>
      <c r="C139" s="2954" t="s">
        <v>3537</v>
      </c>
      <c r="D139" s="2954" t="s">
        <v>3283</v>
      </c>
      <c r="E139" s="2954" t="s">
        <v>3654</v>
      </c>
      <c r="F139" s="2954" t="s">
        <v>3655</v>
      </c>
      <c r="G139" s="2954" t="s">
        <v>3656</v>
      </c>
      <c r="H139" s="2955">
        <v>1270320</v>
      </c>
      <c r="I139" s="2955">
        <v>10720</v>
      </c>
      <c r="J139" s="2955">
        <v>13576</v>
      </c>
      <c r="K139" s="2959">
        <v>118.5</v>
      </c>
      <c r="L139" s="2955">
        <v>93.57</v>
      </c>
      <c r="M139" s="2954" t="s">
        <v>3233</v>
      </c>
      <c r="N139" s="2954" t="s">
        <v>3547</v>
      </c>
      <c r="O139" s="2954" t="s">
        <v>3441</v>
      </c>
      <c r="P139" s="2954" t="s">
        <v>3289</v>
      </c>
      <c r="Q139" s="2954" t="s">
        <v>3542</v>
      </c>
      <c r="R139" s="2954" t="s">
        <v>3291</v>
      </c>
      <c r="S139" s="2954">
        <v>1270320</v>
      </c>
      <c r="T139" s="2954" t="s">
        <v>3233</v>
      </c>
      <c r="U139" s="2954" t="s">
        <v>3299</v>
      </c>
      <c r="V139" s="2956">
        <v>44499</v>
      </c>
      <c r="W139" s="2954" t="s">
        <v>3051</v>
      </c>
      <c r="X139" s="2954" t="s">
        <v>3046</v>
      </c>
      <c r="Y139" s="2954" t="s">
        <v>3283</v>
      </c>
      <c r="Z139" s="2957">
        <v>43362.415613425903</v>
      </c>
      <c r="AA139" s="2954" t="s">
        <v>3543</v>
      </c>
      <c r="AB139" s="2954" t="s">
        <v>3300</v>
      </c>
      <c r="AC139" s="2954" t="s">
        <v>3544</v>
      </c>
      <c r="AD139" s="2954" t="s">
        <v>3283</v>
      </c>
      <c r="AE139" s="2954" t="s">
        <v>3051</v>
      </c>
      <c r="AF139" s="2954" t="s">
        <v>3283</v>
      </c>
    </row>
    <row r="140" spans="1:32" ht="67.5">
      <c r="A140" s="2954">
        <v>5934</v>
      </c>
      <c r="B140" s="2954" t="s">
        <v>3281</v>
      </c>
      <c r="C140" s="2954" t="s">
        <v>3537</v>
      </c>
      <c r="D140" s="2954" t="s">
        <v>3283</v>
      </c>
      <c r="E140" s="2954" t="s">
        <v>3657</v>
      </c>
      <c r="F140" s="2954" t="s">
        <v>3658</v>
      </c>
      <c r="G140" s="2954" t="s">
        <v>3659</v>
      </c>
      <c r="H140" s="2955">
        <v>1270320</v>
      </c>
      <c r="I140" s="2955">
        <v>10720</v>
      </c>
      <c r="J140" s="2955">
        <v>13576</v>
      </c>
      <c r="K140" s="2959">
        <v>118.5</v>
      </c>
      <c r="L140" s="2955">
        <v>93.57</v>
      </c>
      <c r="M140" s="2954" t="s">
        <v>3233</v>
      </c>
      <c r="N140" s="2954" t="s">
        <v>3551</v>
      </c>
      <c r="O140" s="2954" t="s">
        <v>3441</v>
      </c>
      <c r="P140" s="2954" t="s">
        <v>3289</v>
      </c>
      <c r="Q140" s="2954" t="s">
        <v>3542</v>
      </c>
      <c r="R140" s="2954" t="s">
        <v>3291</v>
      </c>
      <c r="S140" s="2954">
        <v>1270320</v>
      </c>
      <c r="T140" s="2954" t="s">
        <v>3233</v>
      </c>
      <c r="U140" s="2954" t="s">
        <v>3299</v>
      </c>
      <c r="V140" s="2956">
        <v>44499</v>
      </c>
      <c r="W140" s="2954" t="s">
        <v>3051</v>
      </c>
      <c r="X140" s="2954" t="s">
        <v>3046</v>
      </c>
      <c r="Y140" s="2954" t="s">
        <v>3283</v>
      </c>
      <c r="Z140" s="2957">
        <v>43362.415613425903</v>
      </c>
      <c r="AA140" s="2954" t="s">
        <v>3543</v>
      </c>
      <c r="AB140" s="2954" t="s">
        <v>3300</v>
      </c>
      <c r="AC140" s="2954" t="s">
        <v>3544</v>
      </c>
      <c r="AD140" s="2954" t="s">
        <v>3283</v>
      </c>
      <c r="AE140" s="2954" t="s">
        <v>3051</v>
      </c>
      <c r="AF140" s="2954" t="s">
        <v>3283</v>
      </c>
    </row>
    <row r="141" spans="1:32" ht="67.5">
      <c r="A141" s="2954">
        <v>5937</v>
      </c>
      <c r="B141" s="2954" t="s">
        <v>3281</v>
      </c>
      <c r="C141" s="2954" t="s">
        <v>3537</v>
      </c>
      <c r="D141" s="2954" t="s">
        <v>3283</v>
      </c>
      <c r="E141" s="2954" t="s">
        <v>3660</v>
      </c>
      <c r="F141" s="2954" t="s">
        <v>3661</v>
      </c>
      <c r="G141" s="2954" t="s">
        <v>3662</v>
      </c>
      <c r="H141" s="2955">
        <v>1270320</v>
      </c>
      <c r="I141" s="2955">
        <v>10720</v>
      </c>
      <c r="J141" s="2955">
        <v>13576</v>
      </c>
      <c r="K141" s="2959">
        <v>118.5</v>
      </c>
      <c r="L141" s="2955">
        <v>93.57</v>
      </c>
      <c r="M141" s="2954" t="s">
        <v>3233</v>
      </c>
      <c r="N141" s="2954" t="s">
        <v>3547</v>
      </c>
      <c r="O141" s="2954" t="s">
        <v>3441</v>
      </c>
      <c r="P141" s="2954" t="s">
        <v>3289</v>
      </c>
      <c r="Q141" s="2954" t="s">
        <v>3542</v>
      </c>
      <c r="R141" s="2954" t="s">
        <v>3291</v>
      </c>
      <c r="S141" s="2954">
        <v>1270320</v>
      </c>
      <c r="T141" s="2954" t="s">
        <v>3233</v>
      </c>
      <c r="U141" s="2954" t="s">
        <v>3299</v>
      </c>
      <c r="V141" s="2956">
        <v>44499</v>
      </c>
      <c r="W141" s="2954" t="s">
        <v>3051</v>
      </c>
      <c r="X141" s="2954" t="s">
        <v>3046</v>
      </c>
      <c r="Y141" s="2954" t="s">
        <v>3283</v>
      </c>
      <c r="Z141" s="2957">
        <v>43362.415613425903</v>
      </c>
      <c r="AA141" s="2954" t="s">
        <v>3543</v>
      </c>
      <c r="AB141" s="2954" t="s">
        <v>3300</v>
      </c>
      <c r="AC141" s="2954" t="s">
        <v>3544</v>
      </c>
      <c r="AD141" s="2954" t="s">
        <v>3283</v>
      </c>
      <c r="AE141" s="2954" t="s">
        <v>3051</v>
      </c>
      <c r="AF141" s="2954" t="s">
        <v>3283</v>
      </c>
    </row>
    <row r="142" spans="1:32" ht="67.5">
      <c r="A142" s="2954">
        <v>5938</v>
      </c>
      <c r="B142" s="2954" t="s">
        <v>3281</v>
      </c>
      <c r="C142" s="2954" t="s">
        <v>3537</v>
      </c>
      <c r="D142" s="2954" t="s">
        <v>3283</v>
      </c>
      <c r="E142" s="2954" t="s">
        <v>3663</v>
      </c>
      <c r="F142" s="2954" t="s">
        <v>3664</v>
      </c>
      <c r="G142" s="2954" t="s">
        <v>3665</v>
      </c>
      <c r="H142" s="2955">
        <v>1270320</v>
      </c>
      <c r="I142" s="2955">
        <v>10720</v>
      </c>
      <c r="J142" s="2955">
        <v>13576</v>
      </c>
      <c r="K142" s="2959">
        <v>118.5</v>
      </c>
      <c r="L142" s="2955">
        <v>93.57</v>
      </c>
      <c r="M142" s="2954" t="s">
        <v>3233</v>
      </c>
      <c r="N142" s="2954" t="s">
        <v>3551</v>
      </c>
      <c r="O142" s="2954" t="s">
        <v>3441</v>
      </c>
      <c r="P142" s="2954" t="s">
        <v>3289</v>
      </c>
      <c r="Q142" s="2954" t="s">
        <v>3542</v>
      </c>
      <c r="R142" s="2954" t="s">
        <v>3291</v>
      </c>
      <c r="S142" s="2954">
        <v>1270320</v>
      </c>
      <c r="T142" s="2954" t="s">
        <v>3233</v>
      </c>
      <c r="U142" s="2954" t="s">
        <v>3299</v>
      </c>
      <c r="V142" s="2956">
        <v>44499</v>
      </c>
      <c r="W142" s="2954" t="s">
        <v>3051</v>
      </c>
      <c r="X142" s="2954" t="s">
        <v>3046</v>
      </c>
      <c r="Y142" s="2954" t="s">
        <v>3283</v>
      </c>
      <c r="Z142" s="2957">
        <v>43362.415613425903</v>
      </c>
      <c r="AA142" s="2954" t="s">
        <v>3543</v>
      </c>
      <c r="AB142" s="2954" t="s">
        <v>3300</v>
      </c>
      <c r="AC142" s="2954" t="s">
        <v>3544</v>
      </c>
      <c r="AD142" s="2954" t="s">
        <v>3283</v>
      </c>
      <c r="AE142" s="2954" t="s">
        <v>3051</v>
      </c>
      <c r="AF142" s="2954" t="s">
        <v>3283</v>
      </c>
    </row>
    <row r="143" spans="1:32" ht="67.5">
      <c r="A143" s="2954">
        <v>5939</v>
      </c>
      <c r="B143" s="2954" t="s">
        <v>3281</v>
      </c>
      <c r="C143" s="2954" t="s">
        <v>3537</v>
      </c>
      <c r="D143" s="2954" t="s">
        <v>3283</v>
      </c>
      <c r="E143" s="2954" t="s">
        <v>3666</v>
      </c>
      <c r="F143" s="2954" t="s">
        <v>3667</v>
      </c>
      <c r="G143" s="2954" t="s">
        <v>3668</v>
      </c>
      <c r="H143" s="2955">
        <v>1280314</v>
      </c>
      <c r="I143" s="2955">
        <v>11220</v>
      </c>
      <c r="J143" s="2955">
        <v>14208</v>
      </c>
      <c r="K143" s="2959">
        <v>114.11</v>
      </c>
      <c r="L143" s="2955">
        <v>90.11</v>
      </c>
      <c r="M143" s="2954" t="s">
        <v>3233</v>
      </c>
      <c r="N143" s="2954" t="s">
        <v>3541</v>
      </c>
      <c r="O143" s="2954" t="s">
        <v>3441</v>
      </c>
      <c r="P143" s="2954" t="s">
        <v>3289</v>
      </c>
      <c r="Q143" s="2954" t="s">
        <v>3542</v>
      </c>
      <c r="R143" s="2954" t="s">
        <v>3291</v>
      </c>
      <c r="S143" s="2954">
        <v>1280314</v>
      </c>
      <c r="T143" s="2954" t="s">
        <v>3233</v>
      </c>
      <c r="U143" s="2954" t="s">
        <v>3299</v>
      </c>
      <c r="V143" s="2956">
        <v>44499</v>
      </c>
      <c r="W143" s="2954" t="s">
        <v>3051</v>
      </c>
      <c r="X143" s="2954" t="s">
        <v>3046</v>
      </c>
      <c r="Y143" s="2954" t="s">
        <v>3283</v>
      </c>
      <c r="Z143" s="2957">
        <v>43362.415613425903</v>
      </c>
      <c r="AA143" s="2954" t="s">
        <v>3543</v>
      </c>
      <c r="AB143" s="2954" t="s">
        <v>3300</v>
      </c>
      <c r="AC143" s="2954" t="s">
        <v>3544</v>
      </c>
      <c r="AD143" s="2954" t="s">
        <v>3283</v>
      </c>
      <c r="AE143" s="2954" t="s">
        <v>3051</v>
      </c>
      <c r="AF143" s="2954" t="s">
        <v>3283</v>
      </c>
    </row>
    <row r="144" spans="1:32" ht="67.5">
      <c r="A144" s="2954">
        <v>5940</v>
      </c>
      <c r="B144" s="2954" t="s">
        <v>3281</v>
      </c>
      <c r="C144" s="2954" t="s">
        <v>3537</v>
      </c>
      <c r="D144" s="2954" t="s">
        <v>3283</v>
      </c>
      <c r="E144" s="2954" t="s">
        <v>3669</v>
      </c>
      <c r="F144" s="2954" t="s">
        <v>3670</v>
      </c>
      <c r="G144" s="2954" t="s">
        <v>3671</v>
      </c>
      <c r="H144" s="2955">
        <v>1268903</v>
      </c>
      <c r="I144" s="2955">
        <v>11120</v>
      </c>
      <c r="J144" s="2955">
        <v>14082</v>
      </c>
      <c r="K144" s="2959">
        <v>114.11</v>
      </c>
      <c r="L144" s="2955">
        <v>90.11</v>
      </c>
      <c r="M144" s="2954" t="s">
        <v>3233</v>
      </c>
      <c r="N144" s="2954" t="s">
        <v>3672</v>
      </c>
      <c r="O144" s="2954" t="s">
        <v>3441</v>
      </c>
      <c r="P144" s="2954" t="s">
        <v>3289</v>
      </c>
      <c r="Q144" s="2954" t="s">
        <v>3542</v>
      </c>
      <c r="R144" s="2954" t="s">
        <v>3291</v>
      </c>
      <c r="S144" s="2954">
        <v>1268903</v>
      </c>
      <c r="T144" s="2954" t="s">
        <v>3233</v>
      </c>
      <c r="U144" s="2954" t="s">
        <v>3299</v>
      </c>
      <c r="V144" s="2956">
        <v>44499</v>
      </c>
      <c r="W144" s="2954" t="s">
        <v>3051</v>
      </c>
      <c r="X144" s="2954" t="s">
        <v>3046</v>
      </c>
      <c r="Y144" s="2954" t="s">
        <v>3283</v>
      </c>
      <c r="Z144" s="2957">
        <v>43362.415613425903</v>
      </c>
      <c r="AA144" s="2954" t="s">
        <v>3543</v>
      </c>
      <c r="AB144" s="2954" t="s">
        <v>3673</v>
      </c>
      <c r="AC144" s="2954" t="s">
        <v>3544</v>
      </c>
      <c r="AD144" s="2954" t="s">
        <v>3283</v>
      </c>
      <c r="AE144" s="2954" t="s">
        <v>3051</v>
      </c>
      <c r="AF144" s="2954" t="s">
        <v>3283</v>
      </c>
    </row>
    <row r="145" spans="1:32" ht="67.5">
      <c r="A145" s="2954">
        <v>5941</v>
      </c>
      <c r="B145" s="2954" t="s">
        <v>3281</v>
      </c>
      <c r="C145" s="2954" t="s">
        <v>3537</v>
      </c>
      <c r="D145" s="2954" t="s">
        <v>3283</v>
      </c>
      <c r="E145" s="2954" t="s">
        <v>3436</v>
      </c>
      <c r="F145" s="2954" t="s">
        <v>3674</v>
      </c>
      <c r="G145" s="2954" t="s">
        <v>3675</v>
      </c>
      <c r="H145" s="2955">
        <v>1258470</v>
      </c>
      <c r="I145" s="2955">
        <v>10620</v>
      </c>
      <c r="J145" s="2955">
        <v>13450</v>
      </c>
      <c r="K145" s="2959">
        <v>118.5</v>
      </c>
      <c r="L145" s="2955">
        <v>93.57</v>
      </c>
      <c r="M145" s="2954" t="s">
        <v>3233</v>
      </c>
      <c r="N145" s="2954" t="s">
        <v>3547</v>
      </c>
      <c r="O145" s="2954" t="s">
        <v>3441</v>
      </c>
      <c r="P145" s="2954" t="s">
        <v>3289</v>
      </c>
      <c r="Q145" s="2954" t="s">
        <v>3542</v>
      </c>
      <c r="R145" s="2954" t="s">
        <v>3291</v>
      </c>
      <c r="S145" s="2954">
        <v>1258470</v>
      </c>
      <c r="T145" s="2954" t="s">
        <v>3233</v>
      </c>
      <c r="U145" s="2954" t="s">
        <v>3299</v>
      </c>
      <c r="V145" s="2956">
        <v>44499</v>
      </c>
      <c r="W145" s="2954" t="s">
        <v>3051</v>
      </c>
      <c r="X145" s="2954" t="s">
        <v>3046</v>
      </c>
      <c r="Y145" s="2954" t="s">
        <v>3283</v>
      </c>
      <c r="Z145" s="2957">
        <v>43362.415613425903</v>
      </c>
      <c r="AA145" s="2954" t="s">
        <v>3543</v>
      </c>
      <c r="AB145" s="2954" t="s">
        <v>3673</v>
      </c>
      <c r="AC145" s="2954" t="s">
        <v>3544</v>
      </c>
      <c r="AD145" s="2954" t="s">
        <v>3283</v>
      </c>
      <c r="AE145" s="2954" t="s">
        <v>3051</v>
      </c>
      <c r="AF145" s="2954" t="s">
        <v>3283</v>
      </c>
    </row>
    <row r="146" spans="1:32" ht="67.5">
      <c r="A146" s="2954">
        <v>5942</v>
      </c>
      <c r="B146" s="2954" t="s">
        <v>3281</v>
      </c>
      <c r="C146" s="2954" t="s">
        <v>3537</v>
      </c>
      <c r="D146" s="2954" t="s">
        <v>3283</v>
      </c>
      <c r="E146" s="2954" t="s">
        <v>3676</v>
      </c>
      <c r="F146" s="2954" t="s">
        <v>4415</v>
      </c>
      <c r="G146" s="2954" t="s">
        <v>3677</v>
      </c>
      <c r="H146" s="2955">
        <v>1258470</v>
      </c>
      <c r="I146" s="2955">
        <v>10620</v>
      </c>
      <c r="J146" s="2955">
        <v>13450</v>
      </c>
      <c r="K146" s="2959">
        <v>118.5</v>
      </c>
      <c r="L146" s="2955">
        <v>93.57</v>
      </c>
      <c r="M146" s="2954" t="s">
        <v>3233</v>
      </c>
      <c r="N146" s="2954" t="s">
        <v>3551</v>
      </c>
      <c r="O146" s="2954" t="s">
        <v>3441</v>
      </c>
      <c r="P146" s="2954" t="s">
        <v>3289</v>
      </c>
      <c r="Q146" s="2954" t="s">
        <v>3542</v>
      </c>
      <c r="R146" s="2954" t="s">
        <v>3291</v>
      </c>
      <c r="S146" s="2954">
        <v>1258470</v>
      </c>
      <c r="T146" s="2954" t="s">
        <v>3233</v>
      </c>
      <c r="U146" s="2954" t="s">
        <v>3299</v>
      </c>
      <c r="V146" s="2956">
        <v>44499</v>
      </c>
      <c r="W146" s="2954" t="s">
        <v>3051</v>
      </c>
      <c r="X146" s="2954" t="s">
        <v>3046</v>
      </c>
      <c r="Y146" s="2954" t="s">
        <v>3283</v>
      </c>
      <c r="Z146" s="2957">
        <v>43362.415613425903</v>
      </c>
      <c r="AA146" s="2954" t="s">
        <v>3543</v>
      </c>
      <c r="AB146" s="2954" t="s">
        <v>3673</v>
      </c>
      <c r="AC146" s="2954" t="s">
        <v>3544</v>
      </c>
      <c r="AD146" s="2954" t="s">
        <v>3283</v>
      </c>
      <c r="AE146" s="2954" t="s">
        <v>3051</v>
      </c>
      <c r="AF146" s="2954" t="s">
        <v>3283</v>
      </c>
    </row>
    <row r="147" spans="1:32" s="2968" customFormat="1">
      <c r="A147" s="2964"/>
      <c r="B147" s="2964"/>
      <c r="C147" s="2964"/>
      <c r="D147" s="2964"/>
      <c r="E147" s="2964"/>
      <c r="F147" s="2964" t="s">
        <v>4416</v>
      </c>
      <c r="G147" s="2964"/>
      <c r="H147" s="2965"/>
      <c r="I147" s="2965"/>
      <c r="J147" s="2965"/>
      <c r="K147" s="2965">
        <f>SUM(K99:K146)</f>
        <v>5670.44</v>
      </c>
      <c r="L147" s="2965"/>
      <c r="M147" s="2964"/>
      <c r="N147" s="2964"/>
      <c r="O147" s="2964"/>
      <c r="P147" s="2964"/>
      <c r="Q147" s="2964"/>
      <c r="R147" s="2964"/>
      <c r="S147" s="2964"/>
      <c r="T147" s="2964"/>
      <c r="U147" s="2964"/>
      <c r="V147" s="2966"/>
      <c r="W147" s="2964"/>
      <c r="X147" s="2964"/>
      <c r="Y147" s="2964"/>
      <c r="Z147" s="2967"/>
      <c r="AA147" s="2964"/>
      <c r="AB147" s="2964"/>
      <c r="AC147" s="2964"/>
      <c r="AD147" s="2964"/>
      <c r="AE147" s="2964"/>
      <c r="AF147" s="2964"/>
    </row>
    <row r="148" spans="1:32" ht="67.5">
      <c r="A148" s="2954">
        <v>6187</v>
      </c>
      <c r="B148" s="2954" t="s">
        <v>3281</v>
      </c>
      <c r="C148" s="2954" t="s">
        <v>3678</v>
      </c>
      <c r="D148" s="2954" t="s">
        <v>3283</v>
      </c>
      <c r="E148" s="2954" t="s">
        <v>3301</v>
      </c>
      <c r="F148" s="2954" t="s">
        <v>3679</v>
      </c>
      <c r="G148" s="2954" t="s">
        <v>3680</v>
      </c>
      <c r="H148" s="2955">
        <v>1197455</v>
      </c>
      <c r="I148" s="2955">
        <v>11230</v>
      </c>
      <c r="J148" s="2955">
        <v>14511</v>
      </c>
      <c r="K148" s="2959">
        <v>106.63</v>
      </c>
      <c r="L148" s="2955">
        <v>82.52</v>
      </c>
      <c r="M148" s="2954" t="s">
        <v>3233</v>
      </c>
      <c r="N148" s="2954" t="s">
        <v>3681</v>
      </c>
      <c r="O148" s="2954" t="s">
        <v>3441</v>
      </c>
      <c r="P148" s="2954" t="s">
        <v>3289</v>
      </c>
      <c r="Q148" s="2954" t="s">
        <v>3682</v>
      </c>
      <c r="R148" s="2954" t="s">
        <v>3291</v>
      </c>
      <c r="S148" s="2954">
        <v>1197455</v>
      </c>
      <c r="T148" s="2954" t="s">
        <v>3233</v>
      </c>
      <c r="U148" s="2954" t="s">
        <v>3299</v>
      </c>
      <c r="V148" s="2956">
        <v>44438</v>
      </c>
      <c r="W148" s="2954" t="s">
        <v>3051</v>
      </c>
      <c r="X148" s="2954" t="s">
        <v>3046</v>
      </c>
      <c r="Y148" s="2954" t="s">
        <v>3283</v>
      </c>
      <c r="Z148" s="2957">
        <v>43362.415821759299</v>
      </c>
      <c r="AA148" s="2954" t="s">
        <v>3292</v>
      </c>
      <c r="AB148" s="2954" t="s">
        <v>3300</v>
      </c>
      <c r="AC148" s="2954" t="s">
        <v>3544</v>
      </c>
      <c r="AD148" s="2954" t="s">
        <v>3283</v>
      </c>
      <c r="AE148" s="2954" t="s">
        <v>3051</v>
      </c>
      <c r="AF148" s="2954" t="s">
        <v>3283</v>
      </c>
    </row>
    <row r="149" spans="1:32" ht="67.5">
      <c r="A149" s="2954">
        <v>6188</v>
      </c>
      <c r="B149" s="2954" t="s">
        <v>3281</v>
      </c>
      <c r="C149" s="2954" t="s">
        <v>3678</v>
      </c>
      <c r="D149" s="2954" t="s">
        <v>3283</v>
      </c>
      <c r="E149" s="2954" t="s">
        <v>3683</v>
      </c>
      <c r="F149" s="2954" t="s">
        <v>3684</v>
      </c>
      <c r="G149" s="2954" t="s">
        <v>3685</v>
      </c>
      <c r="H149" s="2955">
        <v>1197455</v>
      </c>
      <c r="I149" s="2955">
        <v>11230</v>
      </c>
      <c r="J149" s="2955">
        <v>14511</v>
      </c>
      <c r="K149" s="2959">
        <v>106.63</v>
      </c>
      <c r="L149" s="2955">
        <v>82.52</v>
      </c>
      <c r="M149" s="2954" t="s">
        <v>3233</v>
      </c>
      <c r="N149" s="2954" t="s">
        <v>3686</v>
      </c>
      <c r="O149" s="2954" t="s">
        <v>3441</v>
      </c>
      <c r="P149" s="2954" t="s">
        <v>3289</v>
      </c>
      <c r="Q149" s="2954" t="s">
        <v>3682</v>
      </c>
      <c r="R149" s="2954" t="s">
        <v>3291</v>
      </c>
      <c r="S149" s="2954">
        <v>1197455</v>
      </c>
      <c r="T149" s="2954" t="s">
        <v>3233</v>
      </c>
      <c r="U149" s="2954" t="s">
        <v>3299</v>
      </c>
      <c r="V149" s="2956">
        <v>44438</v>
      </c>
      <c r="W149" s="2954" t="s">
        <v>3051</v>
      </c>
      <c r="X149" s="2954" t="s">
        <v>3046</v>
      </c>
      <c r="Y149" s="2954" t="s">
        <v>3283</v>
      </c>
      <c r="Z149" s="2957">
        <v>43362.415821759299</v>
      </c>
      <c r="AA149" s="2954" t="s">
        <v>3292</v>
      </c>
      <c r="AB149" s="2954" t="s">
        <v>3300</v>
      </c>
      <c r="AC149" s="2954" t="s">
        <v>3544</v>
      </c>
      <c r="AD149" s="2954" t="s">
        <v>3283</v>
      </c>
      <c r="AE149" s="2954" t="s">
        <v>3051</v>
      </c>
      <c r="AF149" s="2954" t="s">
        <v>3283</v>
      </c>
    </row>
    <row r="150" spans="1:32" ht="67.5">
      <c r="A150" s="2954">
        <v>6191</v>
      </c>
      <c r="B150" s="2954" t="s">
        <v>3281</v>
      </c>
      <c r="C150" s="2954" t="s">
        <v>3678</v>
      </c>
      <c r="D150" s="2954" t="s">
        <v>3283</v>
      </c>
      <c r="E150" s="2954" t="s">
        <v>3308</v>
      </c>
      <c r="F150" s="2954" t="s">
        <v>3687</v>
      </c>
      <c r="G150" s="2954" t="s">
        <v>3688</v>
      </c>
      <c r="H150" s="2955">
        <v>1199588</v>
      </c>
      <c r="I150" s="2955">
        <v>11250</v>
      </c>
      <c r="J150" s="2955">
        <v>14537</v>
      </c>
      <c r="K150" s="2959">
        <v>106.63</v>
      </c>
      <c r="L150" s="2955">
        <v>82.52</v>
      </c>
      <c r="M150" s="2954" t="s">
        <v>3233</v>
      </c>
      <c r="N150" s="2954" t="s">
        <v>3681</v>
      </c>
      <c r="O150" s="2954" t="s">
        <v>3441</v>
      </c>
      <c r="P150" s="2954" t="s">
        <v>3289</v>
      </c>
      <c r="Q150" s="2954" t="s">
        <v>3682</v>
      </c>
      <c r="R150" s="2954" t="s">
        <v>3291</v>
      </c>
      <c r="S150" s="2954">
        <v>1199588</v>
      </c>
      <c r="T150" s="2954" t="s">
        <v>3233</v>
      </c>
      <c r="U150" s="2954" t="s">
        <v>3299</v>
      </c>
      <c r="V150" s="2956">
        <v>44438</v>
      </c>
      <c r="W150" s="2954" t="s">
        <v>3051</v>
      </c>
      <c r="X150" s="2954" t="s">
        <v>3046</v>
      </c>
      <c r="Y150" s="2954" t="s">
        <v>3283</v>
      </c>
      <c r="Z150" s="2957">
        <v>43362.415821759299</v>
      </c>
      <c r="AA150" s="2954" t="s">
        <v>3292</v>
      </c>
      <c r="AB150" s="2954" t="s">
        <v>3300</v>
      </c>
      <c r="AC150" s="2954" t="s">
        <v>3544</v>
      </c>
      <c r="AD150" s="2954" t="s">
        <v>3283</v>
      </c>
      <c r="AE150" s="2954" t="s">
        <v>3051</v>
      </c>
      <c r="AF150" s="2954" t="s">
        <v>3283</v>
      </c>
    </row>
    <row r="151" spans="1:32" ht="67.5">
      <c r="A151" s="2954">
        <v>6192</v>
      </c>
      <c r="B151" s="2954" t="s">
        <v>3281</v>
      </c>
      <c r="C151" s="2954" t="s">
        <v>3678</v>
      </c>
      <c r="D151" s="2954" t="s">
        <v>3283</v>
      </c>
      <c r="E151" s="2954" t="s">
        <v>3548</v>
      </c>
      <c r="F151" s="2954" t="s">
        <v>3689</v>
      </c>
      <c r="G151" s="2954" t="s">
        <v>3690</v>
      </c>
      <c r="H151" s="2955">
        <v>1199588</v>
      </c>
      <c r="I151" s="2955">
        <v>11250</v>
      </c>
      <c r="J151" s="2955">
        <v>14537</v>
      </c>
      <c r="K151" s="2959">
        <v>106.63</v>
      </c>
      <c r="L151" s="2955">
        <v>82.52</v>
      </c>
      <c r="M151" s="2954" t="s">
        <v>3233</v>
      </c>
      <c r="N151" s="2954" t="s">
        <v>3686</v>
      </c>
      <c r="O151" s="2954" t="s">
        <v>3441</v>
      </c>
      <c r="P151" s="2954" t="s">
        <v>3289</v>
      </c>
      <c r="Q151" s="2954" t="s">
        <v>3682</v>
      </c>
      <c r="R151" s="2954" t="s">
        <v>3291</v>
      </c>
      <c r="S151" s="2954">
        <v>1199588</v>
      </c>
      <c r="T151" s="2954" t="s">
        <v>3233</v>
      </c>
      <c r="U151" s="2954" t="s">
        <v>3299</v>
      </c>
      <c r="V151" s="2956">
        <v>44438</v>
      </c>
      <c r="W151" s="2954" t="s">
        <v>3051</v>
      </c>
      <c r="X151" s="2954" t="s">
        <v>3046</v>
      </c>
      <c r="Y151" s="2954" t="s">
        <v>3283</v>
      </c>
      <c r="Z151" s="2957">
        <v>43362.415821759299</v>
      </c>
      <c r="AA151" s="2954" t="s">
        <v>3292</v>
      </c>
      <c r="AB151" s="2954" t="s">
        <v>3300</v>
      </c>
      <c r="AC151" s="2954" t="s">
        <v>3544</v>
      </c>
      <c r="AD151" s="2954" t="s">
        <v>3283</v>
      </c>
      <c r="AE151" s="2954" t="s">
        <v>3051</v>
      </c>
      <c r="AF151" s="2954" t="s">
        <v>3283</v>
      </c>
    </row>
    <row r="152" spans="1:32" ht="67.5">
      <c r="A152" s="2954">
        <v>6195</v>
      </c>
      <c r="B152" s="2954" t="s">
        <v>3281</v>
      </c>
      <c r="C152" s="2954" t="s">
        <v>3678</v>
      </c>
      <c r="D152" s="2954" t="s">
        <v>3283</v>
      </c>
      <c r="E152" s="2954" t="s">
        <v>3314</v>
      </c>
      <c r="F152" s="2954" t="s">
        <v>3691</v>
      </c>
      <c r="G152" s="2954" t="s">
        <v>3692</v>
      </c>
      <c r="H152" s="2955">
        <v>1201720</v>
      </c>
      <c r="I152" s="2955">
        <v>11270</v>
      </c>
      <c r="J152" s="2955">
        <v>14563</v>
      </c>
      <c r="K152" s="2959">
        <v>106.63</v>
      </c>
      <c r="L152" s="2955">
        <v>82.52</v>
      </c>
      <c r="M152" s="2954" t="s">
        <v>3233</v>
      </c>
      <c r="N152" s="2954" t="s">
        <v>3681</v>
      </c>
      <c r="O152" s="2954" t="s">
        <v>3441</v>
      </c>
      <c r="P152" s="2954" t="s">
        <v>3289</v>
      </c>
      <c r="Q152" s="2954" t="s">
        <v>3682</v>
      </c>
      <c r="R152" s="2954" t="s">
        <v>3291</v>
      </c>
      <c r="S152" s="2954">
        <v>1201720</v>
      </c>
      <c r="T152" s="2954" t="s">
        <v>3233</v>
      </c>
      <c r="U152" s="2954" t="s">
        <v>3299</v>
      </c>
      <c r="V152" s="2956">
        <v>44438</v>
      </c>
      <c r="W152" s="2954" t="s">
        <v>3051</v>
      </c>
      <c r="X152" s="2954" t="s">
        <v>3046</v>
      </c>
      <c r="Y152" s="2954" t="s">
        <v>3283</v>
      </c>
      <c r="Z152" s="2957">
        <v>43362.415821759299</v>
      </c>
      <c r="AA152" s="2954" t="s">
        <v>3292</v>
      </c>
      <c r="AB152" s="2954" t="s">
        <v>3300</v>
      </c>
      <c r="AC152" s="2954" t="s">
        <v>3544</v>
      </c>
      <c r="AD152" s="2954" t="s">
        <v>3283</v>
      </c>
      <c r="AE152" s="2954" t="s">
        <v>3051</v>
      </c>
      <c r="AF152" s="2954" t="s">
        <v>3283</v>
      </c>
    </row>
    <row r="153" spans="1:32" ht="67.5">
      <c r="A153" s="2954">
        <v>6196</v>
      </c>
      <c r="B153" s="2954" t="s">
        <v>3281</v>
      </c>
      <c r="C153" s="2954" t="s">
        <v>3678</v>
      </c>
      <c r="D153" s="2954" t="s">
        <v>3283</v>
      </c>
      <c r="E153" s="2954" t="s">
        <v>3554</v>
      </c>
      <c r="F153" s="2954" t="s">
        <v>3693</v>
      </c>
      <c r="G153" s="2954" t="s">
        <v>3694</v>
      </c>
      <c r="H153" s="2955">
        <v>1201720</v>
      </c>
      <c r="I153" s="2955">
        <v>11270</v>
      </c>
      <c r="J153" s="2955">
        <v>14563</v>
      </c>
      <c r="K153" s="2959">
        <v>106.63</v>
      </c>
      <c r="L153" s="2955">
        <v>82.52</v>
      </c>
      <c r="M153" s="2954" t="s">
        <v>3233</v>
      </c>
      <c r="N153" s="2954" t="s">
        <v>3686</v>
      </c>
      <c r="O153" s="2954" t="s">
        <v>3441</v>
      </c>
      <c r="P153" s="2954" t="s">
        <v>3289</v>
      </c>
      <c r="Q153" s="2954" t="s">
        <v>3682</v>
      </c>
      <c r="R153" s="2954" t="s">
        <v>3291</v>
      </c>
      <c r="S153" s="2954">
        <v>1201720</v>
      </c>
      <c r="T153" s="2954" t="s">
        <v>3233</v>
      </c>
      <c r="U153" s="2954" t="s">
        <v>3299</v>
      </c>
      <c r="V153" s="2956">
        <v>44438</v>
      </c>
      <c r="W153" s="2954" t="s">
        <v>3051</v>
      </c>
      <c r="X153" s="2954" t="s">
        <v>3046</v>
      </c>
      <c r="Y153" s="2954" t="s">
        <v>3283</v>
      </c>
      <c r="Z153" s="2957">
        <v>43362.415821759299</v>
      </c>
      <c r="AA153" s="2954" t="s">
        <v>3292</v>
      </c>
      <c r="AB153" s="2954" t="s">
        <v>3300</v>
      </c>
      <c r="AC153" s="2954" t="s">
        <v>3544</v>
      </c>
      <c r="AD153" s="2954" t="s">
        <v>3283</v>
      </c>
      <c r="AE153" s="2954" t="s">
        <v>3051</v>
      </c>
      <c r="AF153" s="2954" t="s">
        <v>3283</v>
      </c>
    </row>
    <row r="154" spans="1:32" ht="67.5">
      <c r="A154" s="2954">
        <v>6199</v>
      </c>
      <c r="B154" s="2954" t="s">
        <v>3281</v>
      </c>
      <c r="C154" s="2954" t="s">
        <v>3678</v>
      </c>
      <c r="D154" s="2954" t="s">
        <v>3283</v>
      </c>
      <c r="E154" s="2954" t="s">
        <v>3392</v>
      </c>
      <c r="F154" s="2954" t="s">
        <v>3695</v>
      </c>
      <c r="G154" s="2954" t="s">
        <v>3696</v>
      </c>
      <c r="H154" s="2955">
        <v>1203853</v>
      </c>
      <c r="I154" s="2955">
        <v>11290</v>
      </c>
      <c r="J154" s="2955">
        <v>14589</v>
      </c>
      <c r="K154" s="2959">
        <v>106.63</v>
      </c>
      <c r="L154" s="2955">
        <v>82.52</v>
      </c>
      <c r="M154" s="2954" t="s">
        <v>3233</v>
      </c>
      <c r="N154" s="2954" t="s">
        <v>3681</v>
      </c>
      <c r="O154" s="2954" t="s">
        <v>3441</v>
      </c>
      <c r="P154" s="2954" t="s">
        <v>3289</v>
      </c>
      <c r="Q154" s="2954" t="s">
        <v>3682</v>
      </c>
      <c r="R154" s="2954" t="s">
        <v>3291</v>
      </c>
      <c r="S154" s="2954">
        <v>1203853</v>
      </c>
      <c r="T154" s="2954" t="s">
        <v>3233</v>
      </c>
      <c r="U154" s="2954" t="s">
        <v>3299</v>
      </c>
      <c r="V154" s="2956">
        <v>44438</v>
      </c>
      <c r="W154" s="2954" t="s">
        <v>3051</v>
      </c>
      <c r="X154" s="2954" t="s">
        <v>3046</v>
      </c>
      <c r="Y154" s="2954" t="s">
        <v>3283</v>
      </c>
      <c r="Z154" s="2957">
        <v>43362.415821759299</v>
      </c>
      <c r="AA154" s="2954" t="s">
        <v>3292</v>
      </c>
      <c r="AB154" s="2954" t="s">
        <v>3300</v>
      </c>
      <c r="AC154" s="2954" t="s">
        <v>3544</v>
      </c>
      <c r="AD154" s="2954" t="s">
        <v>3283</v>
      </c>
      <c r="AE154" s="2954" t="s">
        <v>3051</v>
      </c>
      <c r="AF154" s="2954" t="s">
        <v>3283</v>
      </c>
    </row>
    <row r="155" spans="1:32" ht="67.5">
      <c r="A155" s="2954">
        <v>6200</v>
      </c>
      <c r="B155" s="2954" t="s">
        <v>3281</v>
      </c>
      <c r="C155" s="2954" t="s">
        <v>3678</v>
      </c>
      <c r="D155" s="2954" t="s">
        <v>3283</v>
      </c>
      <c r="E155" s="2954" t="s">
        <v>3562</v>
      </c>
      <c r="F155" s="2954" t="s">
        <v>3697</v>
      </c>
      <c r="G155" s="2954" t="s">
        <v>3698</v>
      </c>
      <c r="H155" s="2955">
        <v>1203853</v>
      </c>
      <c r="I155" s="2955">
        <v>11290</v>
      </c>
      <c r="J155" s="2955">
        <v>14589</v>
      </c>
      <c r="K155" s="2959">
        <v>106.63</v>
      </c>
      <c r="L155" s="2955">
        <v>82.52</v>
      </c>
      <c r="M155" s="2954" t="s">
        <v>3233</v>
      </c>
      <c r="N155" s="2954" t="s">
        <v>3686</v>
      </c>
      <c r="O155" s="2954" t="s">
        <v>3441</v>
      </c>
      <c r="P155" s="2954" t="s">
        <v>3289</v>
      </c>
      <c r="Q155" s="2954" t="s">
        <v>3682</v>
      </c>
      <c r="R155" s="2954" t="s">
        <v>3291</v>
      </c>
      <c r="S155" s="2954">
        <v>1203853</v>
      </c>
      <c r="T155" s="2954" t="s">
        <v>3233</v>
      </c>
      <c r="U155" s="2954" t="s">
        <v>3299</v>
      </c>
      <c r="V155" s="2956">
        <v>44438</v>
      </c>
      <c r="W155" s="2954" t="s">
        <v>3051</v>
      </c>
      <c r="X155" s="2954" t="s">
        <v>3046</v>
      </c>
      <c r="Y155" s="2954" t="s">
        <v>3283</v>
      </c>
      <c r="Z155" s="2957">
        <v>43362.415821759299</v>
      </c>
      <c r="AA155" s="2954" t="s">
        <v>3292</v>
      </c>
      <c r="AB155" s="2954" t="s">
        <v>3300</v>
      </c>
      <c r="AC155" s="2954" t="s">
        <v>3544</v>
      </c>
      <c r="AD155" s="2954" t="s">
        <v>3283</v>
      </c>
      <c r="AE155" s="2954" t="s">
        <v>3051</v>
      </c>
      <c r="AF155" s="2954" t="s">
        <v>3283</v>
      </c>
    </row>
    <row r="156" spans="1:32" ht="67.5">
      <c r="A156" s="2954">
        <v>6203</v>
      </c>
      <c r="B156" s="2954" t="s">
        <v>3281</v>
      </c>
      <c r="C156" s="2954" t="s">
        <v>3678</v>
      </c>
      <c r="D156" s="2954" t="s">
        <v>3283</v>
      </c>
      <c r="E156" s="2954" t="s">
        <v>3323</v>
      </c>
      <c r="F156" s="2954" t="s">
        <v>3699</v>
      </c>
      <c r="G156" s="2954" t="s">
        <v>3700</v>
      </c>
      <c r="H156" s="2955">
        <v>1205985</v>
      </c>
      <c r="I156" s="2955">
        <v>11310</v>
      </c>
      <c r="J156" s="2955">
        <v>14614</v>
      </c>
      <c r="K156" s="2959">
        <v>106.63</v>
      </c>
      <c r="L156" s="2955">
        <v>82.52</v>
      </c>
      <c r="M156" s="2954" t="s">
        <v>3233</v>
      </c>
      <c r="N156" s="2954" t="s">
        <v>3681</v>
      </c>
      <c r="O156" s="2954" t="s">
        <v>3441</v>
      </c>
      <c r="P156" s="2954" t="s">
        <v>3289</v>
      </c>
      <c r="Q156" s="2954" t="s">
        <v>3682</v>
      </c>
      <c r="R156" s="2954" t="s">
        <v>3291</v>
      </c>
      <c r="S156" s="2954">
        <v>1205985</v>
      </c>
      <c r="T156" s="2954" t="s">
        <v>3233</v>
      </c>
      <c r="U156" s="2954" t="s">
        <v>3299</v>
      </c>
      <c r="V156" s="2956">
        <v>44438</v>
      </c>
      <c r="W156" s="2954" t="s">
        <v>3051</v>
      </c>
      <c r="X156" s="2954" t="s">
        <v>3046</v>
      </c>
      <c r="Y156" s="2954" t="s">
        <v>3283</v>
      </c>
      <c r="Z156" s="2957">
        <v>43362.415821759299</v>
      </c>
      <c r="AA156" s="2954" t="s">
        <v>3292</v>
      </c>
      <c r="AB156" s="2954" t="s">
        <v>3300</v>
      </c>
      <c r="AC156" s="2954" t="s">
        <v>3544</v>
      </c>
      <c r="AD156" s="2954" t="s">
        <v>3283</v>
      </c>
      <c r="AE156" s="2954" t="s">
        <v>3051</v>
      </c>
      <c r="AF156" s="2954" t="s">
        <v>3283</v>
      </c>
    </row>
    <row r="157" spans="1:32" ht="67.5">
      <c r="A157" s="2954">
        <v>6204</v>
      </c>
      <c r="B157" s="2954" t="s">
        <v>3281</v>
      </c>
      <c r="C157" s="2954" t="s">
        <v>3678</v>
      </c>
      <c r="D157" s="2954" t="s">
        <v>3283</v>
      </c>
      <c r="E157" s="2954" t="s">
        <v>3567</v>
      </c>
      <c r="F157" s="2954" t="s">
        <v>3701</v>
      </c>
      <c r="G157" s="2954" t="s">
        <v>3702</v>
      </c>
      <c r="H157" s="2955">
        <v>1205985</v>
      </c>
      <c r="I157" s="2955">
        <v>11310</v>
      </c>
      <c r="J157" s="2955">
        <v>14614</v>
      </c>
      <c r="K157" s="2959">
        <v>106.63</v>
      </c>
      <c r="L157" s="2955">
        <v>82.52</v>
      </c>
      <c r="M157" s="2954" t="s">
        <v>3233</v>
      </c>
      <c r="N157" s="2954" t="s">
        <v>3686</v>
      </c>
      <c r="O157" s="2954" t="s">
        <v>3441</v>
      </c>
      <c r="P157" s="2954" t="s">
        <v>3289</v>
      </c>
      <c r="Q157" s="2954" t="s">
        <v>3682</v>
      </c>
      <c r="R157" s="2954" t="s">
        <v>3291</v>
      </c>
      <c r="S157" s="2954">
        <v>1205985</v>
      </c>
      <c r="T157" s="2954" t="s">
        <v>3233</v>
      </c>
      <c r="U157" s="2954" t="s">
        <v>3299</v>
      </c>
      <c r="V157" s="2956">
        <v>44438</v>
      </c>
      <c r="W157" s="2954" t="s">
        <v>3051</v>
      </c>
      <c r="X157" s="2954" t="s">
        <v>3046</v>
      </c>
      <c r="Y157" s="2954" t="s">
        <v>3283</v>
      </c>
      <c r="Z157" s="2957">
        <v>43362.415821759299</v>
      </c>
      <c r="AA157" s="2954" t="s">
        <v>3292</v>
      </c>
      <c r="AB157" s="2954" t="s">
        <v>3300</v>
      </c>
      <c r="AC157" s="2954" t="s">
        <v>3544</v>
      </c>
      <c r="AD157" s="2954" t="s">
        <v>3283</v>
      </c>
      <c r="AE157" s="2954" t="s">
        <v>3051</v>
      </c>
      <c r="AF157" s="2954" t="s">
        <v>3283</v>
      </c>
    </row>
    <row r="158" spans="1:32" ht="67.5">
      <c r="A158" s="2954">
        <v>6208</v>
      </c>
      <c r="B158" s="2954" t="s">
        <v>3281</v>
      </c>
      <c r="C158" s="2954" t="s">
        <v>3678</v>
      </c>
      <c r="D158" s="2954" t="s">
        <v>3283</v>
      </c>
      <c r="E158" s="2954" t="s">
        <v>3572</v>
      </c>
      <c r="F158" s="2954" t="s">
        <v>3703</v>
      </c>
      <c r="G158" s="2954" t="s">
        <v>3704</v>
      </c>
      <c r="H158" s="2955">
        <v>1208118</v>
      </c>
      <c r="I158" s="2955">
        <v>11330</v>
      </c>
      <c r="J158" s="2955">
        <v>14640</v>
      </c>
      <c r="K158" s="2959">
        <v>106.63</v>
      </c>
      <c r="L158" s="2955">
        <v>82.52</v>
      </c>
      <c r="M158" s="2954" t="s">
        <v>3233</v>
      </c>
      <c r="N158" s="2954" t="s">
        <v>3686</v>
      </c>
      <c r="O158" s="2954" t="s">
        <v>3441</v>
      </c>
      <c r="P158" s="2954" t="s">
        <v>3289</v>
      </c>
      <c r="Q158" s="2954" t="s">
        <v>3682</v>
      </c>
      <c r="R158" s="2954" t="s">
        <v>3291</v>
      </c>
      <c r="S158" s="2954">
        <v>1208118</v>
      </c>
      <c r="T158" s="2954" t="s">
        <v>3233</v>
      </c>
      <c r="U158" s="2954" t="s">
        <v>3299</v>
      </c>
      <c r="V158" s="2956">
        <v>44438</v>
      </c>
      <c r="W158" s="2954" t="s">
        <v>3051</v>
      </c>
      <c r="X158" s="2954" t="s">
        <v>3046</v>
      </c>
      <c r="Y158" s="2954" t="s">
        <v>3283</v>
      </c>
      <c r="Z158" s="2957">
        <v>43362.415821759299</v>
      </c>
      <c r="AA158" s="2954" t="s">
        <v>3292</v>
      </c>
      <c r="AB158" s="2954" t="s">
        <v>3300</v>
      </c>
      <c r="AC158" s="2954" t="s">
        <v>3544</v>
      </c>
      <c r="AD158" s="2954" t="s">
        <v>3283</v>
      </c>
      <c r="AE158" s="2954" t="s">
        <v>3051</v>
      </c>
      <c r="AF158" s="2954" t="s">
        <v>3283</v>
      </c>
    </row>
    <row r="159" spans="1:32" ht="67.5">
      <c r="A159" s="2954">
        <v>6212</v>
      </c>
      <c r="B159" s="2954" t="s">
        <v>3281</v>
      </c>
      <c r="C159" s="2954" t="s">
        <v>3678</v>
      </c>
      <c r="D159" s="2954" t="s">
        <v>3283</v>
      </c>
      <c r="E159" s="2954" t="s">
        <v>3705</v>
      </c>
      <c r="F159" s="2954" t="s">
        <v>3706</v>
      </c>
      <c r="G159" s="2954" t="s">
        <v>3707</v>
      </c>
      <c r="H159" s="2955">
        <v>1210251</v>
      </c>
      <c r="I159" s="2955">
        <v>11350</v>
      </c>
      <c r="J159" s="2955">
        <v>14666</v>
      </c>
      <c r="K159" s="2959">
        <v>106.63</v>
      </c>
      <c r="L159" s="2955">
        <v>82.52</v>
      </c>
      <c r="M159" s="2954" t="s">
        <v>3233</v>
      </c>
      <c r="N159" s="2954" t="s">
        <v>3686</v>
      </c>
      <c r="O159" s="2954" t="s">
        <v>3441</v>
      </c>
      <c r="P159" s="2954" t="s">
        <v>3289</v>
      </c>
      <c r="Q159" s="2954" t="s">
        <v>3682</v>
      </c>
      <c r="R159" s="2954" t="s">
        <v>3291</v>
      </c>
      <c r="S159" s="2954">
        <v>1210251</v>
      </c>
      <c r="T159" s="2954" t="s">
        <v>3233</v>
      </c>
      <c r="U159" s="2954" t="s">
        <v>3299</v>
      </c>
      <c r="V159" s="2956">
        <v>44438</v>
      </c>
      <c r="W159" s="2954" t="s">
        <v>3051</v>
      </c>
      <c r="X159" s="2954" t="s">
        <v>3046</v>
      </c>
      <c r="Y159" s="2954" t="s">
        <v>3283</v>
      </c>
      <c r="Z159" s="2957">
        <v>43362.415821759299</v>
      </c>
      <c r="AA159" s="2954" t="s">
        <v>3292</v>
      </c>
      <c r="AB159" s="2954" t="s">
        <v>3300</v>
      </c>
      <c r="AC159" s="2954" t="s">
        <v>3544</v>
      </c>
      <c r="AD159" s="2954" t="s">
        <v>3283</v>
      </c>
      <c r="AE159" s="2954" t="s">
        <v>3051</v>
      </c>
      <c r="AF159" s="2954" t="s">
        <v>3283</v>
      </c>
    </row>
    <row r="160" spans="1:32" ht="67.5">
      <c r="A160" s="2954">
        <v>6216</v>
      </c>
      <c r="B160" s="2954" t="s">
        <v>3281</v>
      </c>
      <c r="C160" s="2954" t="s">
        <v>3678</v>
      </c>
      <c r="D160" s="2954" t="s">
        <v>3283</v>
      </c>
      <c r="E160" s="2954" t="s">
        <v>3577</v>
      </c>
      <c r="F160" s="2954" t="s">
        <v>3708</v>
      </c>
      <c r="G160" s="2954" t="s">
        <v>3709</v>
      </c>
      <c r="H160" s="2955">
        <v>1212383</v>
      </c>
      <c r="I160" s="2955">
        <v>11370</v>
      </c>
      <c r="J160" s="2955">
        <v>14692</v>
      </c>
      <c r="K160" s="2959">
        <v>106.63</v>
      </c>
      <c r="L160" s="2955">
        <v>82.52</v>
      </c>
      <c r="M160" s="2954" t="s">
        <v>3233</v>
      </c>
      <c r="N160" s="2954" t="s">
        <v>3686</v>
      </c>
      <c r="O160" s="2954" t="s">
        <v>3441</v>
      </c>
      <c r="P160" s="2954" t="s">
        <v>3289</v>
      </c>
      <c r="Q160" s="2954" t="s">
        <v>3682</v>
      </c>
      <c r="R160" s="2954" t="s">
        <v>3291</v>
      </c>
      <c r="S160" s="2954">
        <v>1212383</v>
      </c>
      <c r="T160" s="2954" t="s">
        <v>3233</v>
      </c>
      <c r="U160" s="2954" t="s">
        <v>3299</v>
      </c>
      <c r="V160" s="2956">
        <v>44438</v>
      </c>
      <c r="W160" s="2954" t="s">
        <v>3051</v>
      </c>
      <c r="X160" s="2954" t="s">
        <v>3046</v>
      </c>
      <c r="Y160" s="2954" t="s">
        <v>3283</v>
      </c>
      <c r="Z160" s="2957">
        <v>43362.415821759299</v>
      </c>
      <c r="AA160" s="2954" t="s">
        <v>3292</v>
      </c>
      <c r="AB160" s="2954" t="s">
        <v>3300</v>
      </c>
      <c r="AC160" s="2954" t="s">
        <v>3544</v>
      </c>
      <c r="AD160" s="2954" t="s">
        <v>3283</v>
      </c>
      <c r="AE160" s="2954" t="s">
        <v>3051</v>
      </c>
      <c r="AF160" s="2954" t="s">
        <v>3283</v>
      </c>
    </row>
    <row r="161" spans="1:32" ht="67.5">
      <c r="A161" s="2954">
        <v>6220</v>
      </c>
      <c r="B161" s="2954" t="s">
        <v>3281</v>
      </c>
      <c r="C161" s="2954" t="s">
        <v>3678</v>
      </c>
      <c r="D161" s="2954" t="s">
        <v>3283</v>
      </c>
      <c r="E161" s="2954" t="s">
        <v>3582</v>
      </c>
      <c r="F161" s="2954" t="s">
        <v>3710</v>
      </c>
      <c r="G161" s="2954" t="s">
        <v>3711</v>
      </c>
      <c r="H161" s="2955">
        <v>1214516</v>
      </c>
      <c r="I161" s="2955">
        <v>11390</v>
      </c>
      <c r="J161" s="2955">
        <v>14718</v>
      </c>
      <c r="K161" s="2959">
        <v>106.63</v>
      </c>
      <c r="L161" s="2955">
        <v>82.52</v>
      </c>
      <c r="M161" s="2954" t="s">
        <v>3233</v>
      </c>
      <c r="N161" s="2954" t="s">
        <v>3686</v>
      </c>
      <c r="O161" s="2954" t="s">
        <v>3441</v>
      </c>
      <c r="P161" s="2954" t="s">
        <v>3289</v>
      </c>
      <c r="Q161" s="2954" t="s">
        <v>3682</v>
      </c>
      <c r="R161" s="2954" t="s">
        <v>3291</v>
      </c>
      <c r="S161" s="2954">
        <v>1214516</v>
      </c>
      <c r="T161" s="2954" t="s">
        <v>3233</v>
      </c>
      <c r="U161" s="2954" t="s">
        <v>3299</v>
      </c>
      <c r="V161" s="2956">
        <v>44438</v>
      </c>
      <c r="W161" s="2954" t="s">
        <v>3051</v>
      </c>
      <c r="X161" s="2954" t="s">
        <v>3046</v>
      </c>
      <c r="Y161" s="2954" t="s">
        <v>3283</v>
      </c>
      <c r="Z161" s="2957">
        <v>43362.415821759299</v>
      </c>
      <c r="AA161" s="2954" t="s">
        <v>3292</v>
      </c>
      <c r="AB161" s="2954" t="s">
        <v>3300</v>
      </c>
      <c r="AC161" s="2954" t="s">
        <v>3544</v>
      </c>
      <c r="AD161" s="2954" t="s">
        <v>3283</v>
      </c>
      <c r="AE161" s="2954" t="s">
        <v>3051</v>
      </c>
      <c r="AF161" s="2954" t="s">
        <v>3283</v>
      </c>
    </row>
    <row r="162" spans="1:32" ht="67.5">
      <c r="A162" s="2954">
        <v>6223</v>
      </c>
      <c r="B162" s="2954" t="s">
        <v>3281</v>
      </c>
      <c r="C162" s="2954" t="s">
        <v>3678</v>
      </c>
      <c r="D162" s="2954" t="s">
        <v>3283</v>
      </c>
      <c r="E162" s="2954" t="s">
        <v>3347</v>
      </c>
      <c r="F162" s="2954" t="s">
        <v>3712</v>
      </c>
      <c r="G162" s="2954" t="s">
        <v>3713</v>
      </c>
      <c r="H162" s="2955">
        <v>1216648</v>
      </c>
      <c r="I162" s="2955">
        <v>11410</v>
      </c>
      <c r="J162" s="2955">
        <v>14744</v>
      </c>
      <c r="K162" s="2959">
        <v>106.63</v>
      </c>
      <c r="L162" s="2955">
        <v>82.52</v>
      </c>
      <c r="M162" s="2954" t="s">
        <v>3233</v>
      </c>
      <c r="N162" s="2954" t="s">
        <v>3681</v>
      </c>
      <c r="O162" s="2954" t="s">
        <v>3441</v>
      </c>
      <c r="P162" s="2954" t="s">
        <v>3289</v>
      </c>
      <c r="Q162" s="2954" t="s">
        <v>3682</v>
      </c>
      <c r="R162" s="2954" t="s">
        <v>3291</v>
      </c>
      <c r="S162" s="2954">
        <v>1216648</v>
      </c>
      <c r="T162" s="2954" t="s">
        <v>3233</v>
      </c>
      <c r="U162" s="2954" t="s">
        <v>3299</v>
      </c>
      <c r="V162" s="2956">
        <v>44438</v>
      </c>
      <c r="W162" s="2954" t="s">
        <v>3051</v>
      </c>
      <c r="X162" s="2954" t="s">
        <v>3046</v>
      </c>
      <c r="Y162" s="2954" t="s">
        <v>3283</v>
      </c>
      <c r="Z162" s="2957">
        <v>43362.415821759299</v>
      </c>
      <c r="AA162" s="2954" t="s">
        <v>3292</v>
      </c>
      <c r="AB162" s="2954" t="s">
        <v>3300</v>
      </c>
      <c r="AC162" s="2954" t="s">
        <v>3544</v>
      </c>
      <c r="AD162" s="2954" t="s">
        <v>3283</v>
      </c>
      <c r="AE162" s="2954" t="s">
        <v>3051</v>
      </c>
      <c r="AF162" s="2954" t="s">
        <v>3283</v>
      </c>
    </row>
    <row r="163" spans="1:32" ht="67.5">
      <c r="A163" s="2954">
        <v>6224</v>
      </c>
      <c r="B163" s="2954" t="s">
        <v>3281</v>
      </c>
      <c r="C163" s="2954" t="s">
        <v>3678</v>
      </c>
      <c r="D163" s="2954" t="s">
        <v>3283</v>
      </c>
      <c r="E163" s="2954" t="s">
        <v>3585</v>
      </c>
      <c r="F163" s="2954" t="s">
        <v>3714</v>
      </c>
      <c r="G163" s="2954" t="s">
        <v>3715</v>
      </c>
      <c r="H163" s="2955">
        <v>1216648</v>
      </c>
      <c r="I163" s="2955">
        <v>11410</v>
      </c>
      <c r="J163" s="2955">
        <v>14744</v>
      </c>
      <c r="K163" s="2959">
        <v>106.63</v>
      </c>
      <c r="L163" s="2955">
        <v>82.52</v>
      </c>
      <c r="M163" s="2954" t="s">
        <v>3233</v>
      </c>
      <c r="N163" s="2954" t="s">
        <v>3686</v>
      </c>
      <c r="O163" s="2954" t="s">
        <v>3441</v>
      </c>
      <c r="P163" s="2954" t="s">
        <v>3289</v>
      </c>
      <c r="Q163" s="2954" t="s">
        <v>3682</v>
      </c>
      <c r="R163" s="2954" t="s">
        <v>3291</v>
      </c>
      <c r="S163" s="2954">
        <v>1216648</v>
      </c>
      <c r="T163" s="2954" t="s">
        <v>3233</v>
      </c>
      <c r="U163" s="2954" t="s">
        <v>3299</v>
      </c>
      <c r="V163" s="2956">
        <v>44438</v>
      </c>
      <c r="W163" s="2954" t="s">
        <v>3051</v>
      </c>
      <c r="X163" s="2954" t="s">
        <v>3046</v>
      </c>
      <c r="Y163" s="2954" t="s">
        <v>3283</v>
      </c>
      <c r="Z163" s="2957">
        <v>43362.415821759299</v>
      </c>
      <c r="AA163" s="2954" t="s">
        <v>3292</v>
      </c>
      <c r="AB163" s="2954" t="s">
        <v>3300</v>
      </c>
      <c r="AC163" s="2954" t="s">
        <v>3544</v>
      </c>
      <c r="AD163" s="2954" t="s">
        <v>3283</v>
      </c>
      <c r="AE163" s="2954" t="s">
        <v>3051</v>
      </c>
      <c r="AF163" s="2954" t="s">
        <v>3283</v>
      </c>
    </row>
    <row r="164" spans="1:32" ht="67.5">
      <c r="A164" s="2954">
        <v>6228</v>
      </c>
      <c r="B164" s="2954" t="s">
        <v>3281</v>
      </c>
      <c r="C164" s="2954" t="s">
        <v>3678</v>
      </c>
      <c r="D164" s="2954" t="s">
        <v>3283</v>
      </c>
      <c r="E164" s="2954" t="s">
        <v>3716</v>
      </c>
      <c r="F164" s="2954" t="s">
        <v>3717</v>
      </c>
      <c r="G164" s="2954" t="s">
        <v>3718</v>
      </c>
      <c r="H164" s="2955">
        <v>1218781</v>
      </c>
      <c r="I164" s="2955">
        <v>11430</v>
      </c>
      <c r="J164" s="2955">
        <v>14770</v>
      </c>
      <c r="K164" s="2959">
        <v>106.63</v>
      </c>
      <c r="L164" s="2955">
        <v>82.52</v>
      </c>
      <c r="M164" s="2954" t="s">
        <v>3233</v>
      </c>
      <c r="N164" s="2954" t="s">
        <v>3686</v>
      </c>
      <c r="O164" s="2954" t="s">
        <v>3441</v>
      </c>
      <c r="P164" s="2954" t="s">
        <v>3289</v>
      </c>
      <c r="Q164" s="2954" t="s">
        <v>3682</v>
      </c>
      <c r="R164" s="2954" t="s">
        <v>3291</v>
      </c>
      <c r="S164" s="2954">
        <v>1218781</v>
      </c>
      <c r="T164" s="2954" t="s">
        <v>3233</v>
      </c>
      <c r="U164" s="2954" t="s">
        <v>3299</v>
      </c>
      <c r="V164" s="2956">
        <v>44438</v>
      </c>
      <c r="W164" s="2954" t="s">
        <v>3051</v>
      </c>
      <c r="X164" s="2954" t="s">
        <v>3046</v>
      </c>
      <c r="Y164" s="2954" t="s">
        <v>3283</v>
      </c>
      <c r="Z164" s="2957">
        <v>43362.415821759299</v>
      </c>
      <c r="AA164" s="2954" t="s">
        <v>3292</v>
      </c>
      <c r="AB164" s="2954" t="s">
        <v>3300</v>
      </c>
      <c r="AC164" s="2954" t="s">
        <v>3544</v>
      </c>
      <c r="AD164" s="2954" t="s">
        <v>3283</v>
      </c>
      <c r="AE164" s="2954" t="s">
        <v>3051</v>
      </c>
      <c r="AF164" s="2954" t="s">
        <v>3283</v>
      </c>
    </row>
    <row r="165" spans="1:32" ht="67.5">
      <c r="A165" s="2954">
        <v>6232</v>
      </c>
      <c r="B165" s="2954" t="s">
        <v>3281</v>
      </c>
      <c r="C165" s="2954" t="s">
        <v>3678</v>
      </c>
      <c r="D165" s="2954" t="s">
        <v>3283</v>
      </c>
      <c r="E165" s="2954" t="s">
        <v>3590</v>
      </c>
      <c r="F165" s="2954" t="s">
        <v>3719</v>
      </c>
      <c r="G165" s="2954" t="s">
        <v>3720</v>
      </c>
      <c r="H165" s="2955">
        <v>1220914</v>
      </c>
      <c r="I165" s="2955">
        <v>11450</v>
      </c>
      <c r="J165" s="2955">
        <v>14795</v>
      </c>
      <c r="K165" s="2959">
        <v>106.63</v>
      </c>
      <c r="L165" s="2955">
        <v>82.52</v>
      </c>
      <c r="M165" s="2954" t="s">
        <v>3233</v>
      </c>
      <c r="N165" s="2954" t="s">
        <v>3686</v>
      </c>
      <c r="O165" s="2954" t="s">
        <v>3441</v>
      </c>
      <c r="P165" s="2954" t="s">
        <v>3289</v>
      </c>
      <c r="Q165" s="2954" t="s">
        <v>3682</v>
      </c>
      <c r="R165" s="2954" t="s">
        <v>3291</v>
      </c>
      <c r="S165" s="2954">
        <v>1220914</v>
      </c>
      <c r="T165" s="2954" t="s">
        <v>3233</v>
      </c>
      <c r="U165" s="2954" t="s">
        <v>3299</v>
      </c>
      <c r="V165" s="2956">
        <v>44438</v>
      </c>
      <c r="W165" s="2954" t="s">
        <v>3051</v>
      </c>
      <c r="X165" s="2954" t="s">
        <v>3046</v>
      </c>
      <c r="Y165" s="2954" t="s">
        <v>3283</v>
      </c>
      <c r="Z165" s="2957">
        <v>43362.415821759299</v>
      </c>
      <c r="AA165" s="2954" t="s">
        <v>3292</v>
      </c>
      <c r="AB165" s="2954" t="s">
        <v>3300</v>
      </c>
      <c r="AC165" s="2954" t="s">
        <v>3544</v>
      </c>
      <c r="AD165" s="2954" t="s">
        <v>3283</v>
      </c>
      <c r="AE165" s="2954" t="s">
        <v>3051</v>
      </c>
      <c r="AF165" s="2954" t="s">
        <v>3283</v>
      </c>
    </row>
    <row r="166" spans="1:32" ht="67.5">
      <c r="A166" s="2954">
        <v>6235</v>
      </c>
      <c r="B166" s="2954" t="s">
        <v>3281</v>
      </c>
      <c r="C166" s="2954" t="s">
        <v>3678</v>
      </c>
      <c r="D166" s="2954" t="s">
        <v>3283</v>
      </c>
      <c r="E166" s="2954" t="s">
        <v>3365</v>
      </c>
      <c r="F166" s="2954" t="s">
        <v>3721</v>
      </c>
      <c r="G166" s="2954" t="s">
        <v>3722</v>
      </c>
      <c r="H166" s="2955">
        <v>1223046</v>
      </c>
      <c r="I166" s="2955">
        <v>11470</v>
      </c>
      <c r="J166" s="2955">
        <v>14821</v>
      </c>
      <c r="K166" s="2959">
        <v>106.63</v>
      </c>
      <c r="L166" s="2955">
        <v>82.52</v>
      </c>
      <c r="M166" s="2954" t="s">
        <v>3233</v>
      </c>
      <c r="N166" s="2954" t="s">
        <v>3681</v>
      </c>
      <c r="O166" s="2954" t="s">
        <v>3441</v>
      </c>
      <c r="P166" s="2954" t="s">
        <v>3289</v>
      </c>
      <c r="Q166" s="2954" t="s">
        <v>3682</v>
      </c>
      <c r="R166" s="2954" t="s">
        <v>3291</v>
      </c>
      <c r="S166" s="2954">
        <v>1223046</v>
      </c>
      <c r="T166" s="2954" t="s">
        <v>3233</v>
      </c>
      <c r="U166" s="2954" t="s">
        <v>3299</v>
      </c>
      <c r="V166" s="2956">
        <v>44438</v>
      </c>
      <c r="W166" s="2954" t="s">
        <v>3051</v>
      </c>
      <c r="X166" s="2954" t="s">
        <v>3046</v>
      </c>
      <c r="Y166" s="2954" t="s">
        <v>3283</v>
      </c>
      <c r="Z166" s="2957">
        <v>43362.415821759299</v>
      </c>
      <c r="AA166" s="2954" t="s">
        <v>3292</v>
      </c>
      <c r="AB166" s="2954" t="s">
        <v>3300</v>
      </c>
      <c r="AC166" s="2954" t="s">
        <v>3544</v>
      </c>
      <c r="AD166" s="2954" t="s">
        <v>3283</v>
      </c>
      <c r="AE166" s="2954" t="s">
        <v>3051</v>
      </c>
      <c r="AF166" s="2954" t="s">
        <v>3283</v>
      </c>
    </row>
    <row r="167" spans="1:32" ht="67.5">
      <c r="A167" s="2954">
        <v>6236</v>
      </c>
      <c r="B167" s="2954" t="s">
        <v>3281</v>
      </c>
      <c r="C167" s="2954" t="s">
        <v>3678</v>
      </c>
      <c r="D167" s="2954" t="s">
        <v>3283</v>
      </c>
      <c r="E167" s="2954" t="s">
        <v>3595</v>
      </c>
      <c r="F167" s="2954" t="s">
        <v>3723</v>
      </c>
      <c r="G167" s="2954" t="s">
        <v>3724</v>
      </c>
      <c r="H167" s="2955">
        <v>1223046</v>
      </c>
      <c r="I167" s="2955">
        <v>11470</v>
      </c>
      <c r="J167" s="2955">
        <v>14821</v>
      </c>
      <c r="K167" s="2959">
        <v>106.63</v>
      </c>
      <c r="L167" s="2955">
        <v>82.52</v>
      </c>
      <c r="M167" s="2954" t="s">
        <v>3233</v>
      </c>
      <c r="N167" s="2954" t="s">
        <v>3686</v>
      </c>
      <c r="O167" s="2954" t="s">
        <v>3441</v>
      </c>
      <c r="P167" s="2954" t="s">
        <v>3289</v>
      </c>
      <c r="Q167" s="2954" t="s">
        <v>3682</v>
      </c>
      <c r="R167" s="2954" t="s">
        <v>3291</v>
      </c>
      <c r="S167" s="2954">
        <v>1223046</v>
      </c>
      <c r="T167" s="2954" t="s">
        <v>3233</v>
      </c>
      <c r="U167" s="2954" t="s">
        <v>3299</v>
      </c>
      <c r="V167" s="2956">
        <v>44438</v>
      </c>
      <c r="W167" s="2954" t="s">
        <v>3051</v>
      </c>
      <c r="X167" s="2954" t="s">
        <v>3046</v>
      </c>
      <c r="Y167" s="2954" t="s">
        <v>3283</v>
      </c>
      <c r="Z167" s="2957">
        <v>43362.415821759299</v>
      </c>
      <c r="AA167" s="2954" t="s">
        <v>3292</v>
      </c>
      <c r="AB167" s="2954" t="s">
        <v>3300</v>
      </c>
      <c r="AC167" s="2954" t="s">
        <v>3544</v>
      </c>
      <c r="AD167" s="2954" t="s">
        <v>3283</v>
      </c>
      <c r="AE167" s="2954" t="s">
        <v>3051</v>
      </c>
      <c r="AF167" s="2954" t="s">
        <v>3283</v>
      </c>
    </row>
    <row r="168" spans="1:32" ht="67.5">
      <c r="A168" s="2954">
        <v>6240</v>
      </c>
      <c r="B168" s="2954" t="s">
        <v>3281</v>
      </c>
      <c r="C168" s="2954" t="s">
        <v>3678</v>
      </c>
      <c r="D168" s="2954" t="s">
        <v>3283</v>
      </c>
      <c r="E168" s="2954" t="s">
        <v>3600</v>
      </c>
      <c r="F168" s="2954" t="s">
        <v>3725</v>
      </c>
      <c r="G168" s="2954" t="s">
        <v>3726</v>
      </c>
      <c r="H168" s="2955">
        <v>1225179</v>
      </c>
      <c r="I168" s="2955">
        <v>11490</v>
      </c>
      <c r="J168" s="2955">
        <v>14847</v>
      </c>
      <c r="K168" s="2959">
        <v>106.63</v>
      </c>
      <c r="L168" s="2955">
        <v>82.52</v>
      </c>
      <c r="M168" s="2954" t="s">
        <v>3233</v>
      </c>
      <c r="N168" s="2954" t="s">
        <v>3686</v>
      </c>
      <c r="O168" s="2954" t="s">
        <v>3441</v>
      </c>
      <c r="P168" s="2954" t="s">
        <v>3289</v>
      </c>
      <c r="Q168" s="2954" t="s">
        <v>3682</v>
      </c>
      <c r="R168" s="2954" t="s">
        <v>3291</v>
      </c>
      <c r="S168" s="2954">
        <v>1225179</v>
      </c>
      <c r="T168" s="2954" t="s">
        <v>3233</v>
      </c>
      <c r="U168" s="2954" t="s">
        <v>3299</v>
      </c>
      <c r="V168" s="2956">
        <v>44438</v>
      </c>
      <c r="W168" s="2954" t="s">
        <v>3051</v>
      </c>
      <c r="X168" s="2954" t="s">
        <v>3046</v>
      </c>
      <c r="Y168" s="2954" t="s">
        <v>3283</v>
      </c>
      <c r="Z168" s="2957">
        <v>43362.415821759299</v>
      </c>
      <c r="AA168" s="2954" t="s">
        <v>3292</v>
      </c>
      <c r="AB168" s="2954" t="s">
        <v>3300</v>
      </c>
      <c r="AC168" s="2954" t="s">
        <v>3544</v>
      </c>
      <c r="AD168" s="2954" t="s">
        <v>3283</v>
      </c>
      <c r="AE168" s="2954" t="s">
        <v>3051</v>
      </c>
      <c r="AF168" s="2954" t="s">
        <v>3283</v>
      </c>
    </row>
    <row r="169" spans="1:32" ht="67.5">
      <c r="A169" s="2954">
        <v>6244</v>
      </c>
      <c r="B169" s="2954" t="s">
        <v>3281</v>
      </c>
      <c r="C169" s="2954" t="s">
        <v>3678</v>
      </c>
      <c r="D169" s="2954" t="s">
        <v>3283</v>
      </c>
      <c r="E169" s="2954" t="s">
        <v>3727</v>
      </c>
      <c r="F169" s="2954" t="s">
        <v>3728</v>
      </c>
      <c r="G169" s="2954" t="s">
        <v>3729</v>
      </c>
      <c r="H169" s="2955">
        <v>1227311</v>
      </c>
      <c r="I169" s="2955">
        <v>11510</v>
      </c>
      <c r="J169" s="2955">
        <v>14873</v>
      </c>
      <c r="K169" s="2959">
        <v>106.63</v>
      </c>
      <c r="L169" s="2955">
        <v>82.52</v>
      </c>
      <c r="M169" s="2954" t="s">
        <v>3233</v>
      </c>
      <c r="N169" s="2954" t="s">
        <v>3686</v>
      </c>
      <c r="O169" s="2954" t="s">
        <v>3441</v>
      </c>
      <c r="P169" s="2954" t="s">
        <v>3289</v>
      </c>
      <c r="Q169" s="2954" t="s">
        <v>3682</v>
      </c>
      <c r="R169" s="2954" t="s">
        <v>3291</v>
      </c>
      <c r="S169" s="2954">
        <v>1227311</v>
      </c>
      <c r="T169" s="2954" t="s">
        <v>3233</v>
      </c>
      <c r="U169" s="2954" t="s">
        <v>3299</v>
      </c>
      <c r="V169" s="2956">
        <v>44438</v>
      </c>
      <c r="W169" s="2954" t="s">
        <v>3051</v>
      </c>
      <c r="X169" s="2954" t="s">
        <v>3046</v>
      </c>
      <c r="Y169" s="2954" t="s">
        <v>3283</v>
      </c>
      <c r="Z169" s="2957">
        <v>43362.415821759299</v>
      </c>
      <c r="AA169" s="2954" t="s">
        <v>3292</v>
      </c>
      <c r="AB169" s="2954" t="s">
        <v>3300</v>
      </c>
      <c r="AC169" s="2954" t="s">
        <v>3544</v>
      </c>
      <c r="AD169" s="2954" t="s">
        <v>3283</v>
      </c>
      <c r="AE169" s="2954" t="s">
        <v>3051</v>
      </c>
      <c r="AF169" s="2954" t="s">
        <v>3283</v>
      </c>
    </row>
    <row r="170" spans="1:32" ht="67.5">
      <c r="A170" s="2954">
        <v>6248</v>
      </c>
      <c r="B170" s="2954" t="s">
        <v>3281</v>
      </c>
      <c r="C170" s="2954" t="s">
        <v>3678</v>
      </c>
      <c r="D170" s="2954" t="s">
        <v>3283</v>
      </c>
      <c r="E170" s="2954" t="s">
        <v>3606</v>
      </c>
      <c r="F170" s="2954" t="s">
        <v>3730</v>
      </c>
      <c r="G170" s="2954" t="s">
        <v>3731</v>
      </c>
      <c r="H170" s="2955">
        <v>1229444</v>
      </c>
      <c r="I170" s="2955">
        <v>11530</v>
      </c>
      <c r="J170" s="2955">
        <v>14899</v>
      </c>
      <c r="K170" s="2959">
        <v>106.63</v>
      </c>
      <c r="L170" s="2955">
        <v>82.52</v>
      </c>
      <c r="M170" s="2954" t="s">
        <v>3233</v>
      </c>
      <c r="N170" s="2954" t="s">
        <v>3686</v>
      </c>
      <c r="O170" s="2954" t="s">
        <v>3441</v>
      </c>
      <c r="P170" s="2954" t="s">
        <v>3289</v>
      </c>
      <c r="Q170" s="2954" t="s">
        <v>3682</v>
      </c>
      <c r="R170" s="2954" t="s">
        <v>3291</v>
      </c>
      <c r="S170" s="2954">
        <v>1229444</v>
      </c>
      <c r="T170" s="2954" t="s">
        <v>3233</v>
      </c>
      <c r="U170" s="2954" t="s">
        <v>3299</v>
      </c>
      <c r="V170" s="2956">
        <v>44438</v>
      </c>
      <c r="W170" s="2954" t="s">
        <v>3051</v>
      </c>
      <c r="X170" s="2954" t="s">
        <v>3046</v>
      </c>
      <c r="Y170" s="2954" t="s">
        <v>3283</v>
      </c>
      <c r="Z170" s="2957">
        <v>43362.415821759299</v>
      </c>
      <c r="AA170" s="2954" t="s">
        <v>3292</v>
      </c>
      <c r="AB170" s="2954" t="s">
        <v>3300</v>
      </c>
      <c r="AC170" s="2954" t="s">
        <v>3544</v>
      </c>
      <c r="AD170" s="2954" t="s">
        <v>3283</v>
      </c>
      <c r="AE170" s="2954" t="s">
        <v>3051</v>
      </c>
      <c r="AF170" s="2954" t="s">
        <v>3283</v>
      </c>
    </row>
    <row r="171" spans="1:32" ht="67.5">
      <c r="A171" s="2954">
        <v>6251</v>
      </c>
      <c r="B171" s="2954" t="s">
        <v>3281</v>
      </c>
      <c r="C171" s="2954" t="s">
        <v>3678</v>
      </c>
      <c r="D171" s="2954" t="s">
        <v>3283</v>
      </c>
      <c r="E171" s="2954" t="s">
        <v>3609</v>
      </c>
      <c r="F171" s="2954" t="s">
        <v>3732</v>
      </c>
      <c r="G171" s="2954" t="s">
        <v>3733</v>
      </c>
      <c r="H171" s="2955">
        <v>1229444</v>
      </c>
      <c r="I171" s="2955">
        <v>11530</v>
      </c>
      <c r="J171" s="2955">
        <v>14899</v>
      </c>
      <c r="K171" s="2959">
        <v>106.63</v>
      </c>
      <c r="L171" s="2955">
        <v>82.52</v>
      </c>
      <c r="M171" s="2954" t="s">
        <v>3233</v>
      </c>
      <c r="N171" s="2954" t="s">
        <v>3681</v>
      </c>
      <c r="O171" s="2954" t="s">
        <v>3441</v>
      </c>
      <c r="P171" s="2954" t="s">
        <v>3289</v>
      </c>
      <c r="Q171" s="2954" t="s">
        <v>3682</v>
      </c>
      <c r="R171" s="2954" t="s">
        <v>3291</v>
      </c>
      <c r="S171" s="2954">
        <v>1229444</v>
      </c>
      <c r="T171" s="2954" t="s">
        <v>3233</v>
      </c>
      <c r="U171" s="2954" t="s">
        <v>3299</v>
      </c>
      <c r="V171" s="2956">
        <v>44438</v>
      </c>
      <c r="W171" s="2954" t="s">
        <v>3051</v>
      </c>
      <c r="X171" s="2954" t="s">
        <v>3046</v>
      </c>
      <c r="Y171" s="2954" t="s">
        <v>3283</v>
      </c>
      <c r="Z171" s="2957">
        <v>43362.415821759299</v>
      </c>
      <c r="AA171" s="2954" t="s">
        <v>3292</v>
      </c>
      <c r="AB171" s="2954" t="s">
        <v>3300</v>
      </c>
      <c r="AC171" s="2954" t="s">
        <v>3544</v>
      </c>
      <c r="AD171" s="2954" t="s">
        <v>3283</v>
      </c>
      <c r="AE171" s="2954" t="s">
        <v>3051</v>
      </c>
      <c r="AF171" s="2954" t="s">
        <v>3283</v>
      </c>
    </row>
    <row r="172" spans="1:32" ht="67.5">
      <c r="A172" s="2954">
        <v>6252</v>
      </c>
      <c r="B172" s="2954" t="s">
        <v>3281</v>
      </c>
      <c r="C172" s="2954" t="s">
        <v>3678</v>
      </c>
      <c r="D172" s="2954" t="s">
        <v>3283</v>
      </c>
      <c r="E172" s="2954" t="s">
        <v>3612</v>
      </c>
      <c r="F172" s="2954" t="s">
        <v>3734</v>
      </c>
      <c r="G172" s="2954" t="s">
        <v>3735</v>
      </c>
      <c r="H172" s="2955">
        <v>1229444</v>
      </c>
      <c r="I172" s="2955">
        <v>11530</v>
      </c>
      <c r="J172" s="2955">
        <v>14899</v>
      </c>
      <c r="K172" s="2959">
        <v>106.63</v>
      </c>
      <c r="L172" s="2955">
        <v>82.52</v>
      </c>
      <c r="M172" s="2954" t="s">
        <v>3233</v>
      </c>
      <c r="N172" s="2954" t="s">
        <v>3686</v>
      </c>
      <c r="O172" s="2954" t="s">
        <v>3441</v>
      </c>
      <c r="P172" s="2954" t="s">
        <v>3289</v>
      </c>
      <c r="Q172" s="2954" t="s">
        <v>3682</v>
      </c>
      <c r="R172" s="2954" t="s">
        <v>3291</v>
      </c>
      <c r="S172" s="2954">
        <v>1229444</v>
      </c>
      <c r="T172" s="2954" t="s">
        <v>3233</v>
      </c>
      <c r="U172" s="2954" t="s">
        <v>3299</v>
      </c>
      <c r="V172" s="2956">
        <v>44438</v>
      </c>
      <c r="W172" s="2954" t="s">
        <v>3051</v>
      </c>
      <c r="X172" s="2954" t="s">
        <v>3046</v>
      </c>
      <c r="Y172" s="2954" t="s">
        <v>3283</v>
      </c>
      <c r="Z172" s="2957">
        <v>43362.415821759299</v>
      </c>
      <c r="AA172" s="2954" t="s">
        <v>3292</v>
      </c>
      <c r="AB172" s="2954" t="s">
        <v>3300</v>
      </c>
      <c r="AC172" s="2954" t="s">
        <v>3544</v>
      </c>
      <c r="AD172" s="2954" t="s">
        <v>3283</v>
      </c>
      <c r="AE172" s="2954" t="s">
        <v>3051</v>
      </c>
      <c r="AF172" s="2954" t="s">
        <v>3283</v>
      </c>
    </row>
    <row r="173" spans="1:32" ht="67.5">
      <c r="A173" s="2954">
        <v>6256</v>
      </c>
      <c r="B173" s="2954" t="s">
        <v>3281</v>
      </c>
      <c r="C173" s="2954" t="s">
        <v>3678</v>
      </c>
      <c r="D173" s="2954" t="s">
        <v>3283</v>
      </c>
      <c r="E173" s="2954" t="s">
        <v>3736</v>
      </c>
      <c r="F173" s="2954" t="s">
        <v>3737</v>
      </c>
      <c r="G173" s="2954" t="s">
        <v>3738</v>
      </c>
      <c r="H173" s="2955">
        <v>1229444</v>
      </c>
      <c r="I173" s="2955">
        <v>11530</v>
      </c>
      <c r="J173" s="2955">
        <v>14899</v>
      </c>
      <c r="K173" s="2959">
        <v>106.63</v>
      </c>
      <c r="L173" s="2955">
        <v>82.52</v>
      </c>
      <c r="M173" s="2954" t="s">
        <v>3233</v>
      </c>
      <c r="N173" s="2954" t="s">
        <v>3686</v>
      </c>
      <c r="O173" s="2954" t="s">
        <v>3441</v>
      </c>
      <c r="P173" s="2954" t="s">
        <v>3289</v>
      </c>
      <c r="Q173" s="2954" t="s">
        <v>3682</v>
      </c>
      <c r="R173" s="2954" t="s">
        <v>3291</v>
      </c>
      <c r="S173" s="2954">
        <v>1229444</v>
      </c>
      <c r="T173" s="2954" t="s">
        <v>3233</v>
      </c>
      <c r="U173" s="2954" t="s">
        <v>3299</v>
      </c>
      <c r="V173" s="2956">
        <v>44438</v>
      </c>
      <c r="W173" s="2954" t="s">
        <v>3051</v>
      </c>
      <c r="X173" s="2954" t="s">
        <v>3046</v>
      </c>
      <c r="Y173" s="2954" t="s">
        <v>3283</v>
      </c>
      <c r="Z173" s="2957">
        <v>43362.415821759299</v>
      </c>
      <c r="AA173" s="2954" t="s">
        <v>3292</v>
      </c>
      <c r="AB173" s="2954" t="s">
        <v>3300</v>
      </c>
      <c r="AC173" s="2954" t="s">
        <v>3544</v>
      </c>
      <c r="AD173" s="2954" t="s">
        <v>3283</v>
      </c>
      <c r="AE173" s="2954" t="s">
        <v>3051</v>
      </c>
      <c r="AF173" s="2954" t="s">
        <v>3283</v>
      </c>
    </row>
    <row r="174" spans="1:32" ht="67.5">
      <c r="A174" s="2954">
        <v>6260</v>
      </c>
      <c r="B174" s="2954" t="s">
        <v>3281</v>
      </c>
      <c r="C174" s="2954" t="s">
        <v>3678</v>
      </c>
      <c r="D174" s="2954" t="s">
        <v>3283</v>
      </c>
      <c r="E174" s="2954" t="s">
        <v>3615</v>
      </c>
      <c r="F174" s="2954" t="s">
        <v>3739</v>
      </c>
      <c r="G174" s="2954" t="s">
        <v>3740</v>
      </c>
      <c r="H174" s="2955">
        <v>1227311</v>
      </c>
      <c r="I174" s="2955">
        <v>11510</v>
      </c>
      <c r="J174" s="2955">
        <v>14873</v>
      </c>
      <c r="K174" s="2959">
        <v>106.63</v>
      </c>
      <c r="L174" s="2955">
        <v>82.52</v>
      </c>
      <c r="M174" s="2954" t="s">
        <v>3233</v>
      </c>
      <c r="N174" s="2954" t="s">
        <v>3686</v>
      </c>
      <c r="O174" s="2954" t="s">
        <v>3441</v>
      </c>
      <c r="P174" s="2954" t="s">
        <v>3289</v>
      </c>
      <c r="Q174" s="2954" t="s">
        <v>3682</v>
      </c>
      <c r="R174" s="2954" t="s">
        <v>3291</v>
      </c>
      <c r="S174" s="2954">
        <v>1227311</v>
      </c>
      <c r="T174" s="2954" t="s">
        <v>3233</v>
      </c>
      <c r="U174" s="2954" t="s">
        <v>3299</v>
      </c>
      <c r="V174" s="2956">
        <v>44438</v>
      </c>
      <c r="W174" s="2954" t="s">
        <v>3051</v>
      </c>
      <c r="X174" s="2954" t="s">
        <v>3046</v>
      </c>
      <c r="Y174" s="2954" t="s">
        <v>3283</v>
      </c>
      <c r="Z174" s="2957">
        <v>43362.415821759299</v>
      </c>
      <c r="AA174" s="2954" t="s">
        <v>3292</v>
      </c>
      <c r="AB174" s="2954" t="s">
        <v>3300</v>
      </c>
      <c r="AC174" s="2954" t="s">
        <v>3544</v>
      </c>
      <c r="AD174" s="2954" t="s">
        <v>3283</v>
      </c>
      <c r="AE174" s="2954" t="s">
        <v>3051</v>
      </c>
      <c r="AF174" s="2954" t="s">
        <v>3283</v>
      </c>
    </row>
    <row r="175" spans="1:32" ht="67.5">
      <c r="A175" s="2954">
        <v>6264</v>
      </c>
      <c r="B175" s="2954" t="s">
        <v>3281</v>
      </c>
      <c r="C175" s="2954" t="s">
        <v>3678</v>
      </c>
      <c r="D175" s="2954" t="s">
        <v>3283</v>
      </c>
      <c r="E175" s="2954" t="s">
        <v>3621</v>
      </c>
      <c r="F175" s="2954" t="s">
        <v>3741</v>
      </c>
      <c r="G175" s="2954" t="s">
        <v>3742</v>
      </c>
      <c r="H175" s="2955">
        <v>1227311</v>
      </c>
      <c r="I175" s="2955">
        <v>11510</v>
      </c>
      <c r="J175" s="2955">
        <v>14873</v>
      </c>
      <c r="K175" s="2959">
        <v>106.63</v>
      </c>
      <c r="L175" s="2955">
        <v>82.52</v>
      </c>
      <c r="M175" s="2954" t="s">
        <v>3233</v>
      </c>
      <c r="N175" s="2954" t="s">
        <v>3686</v>
      </c>
      <c r="O175" s="2954" t="s">
        <v>3441</v>
      </c>
      <c r="P175" s="2954" t="s">
        <v>3289</v>
      </c>
      <c r="Q175" s="2954" t="s">
        <v>3682</v>
      </c>
      <c r="R175" s="2954" t="s">
        <v>3291</v>
      </c>
      <c r="S175" s="2954">
        <v>1227311</v>
      </c>
      <c r="T175" s="2954" t="s">
        <v>3233</v>
      </c>
      <c r="U175" s="2954" t="s">
        <v>3299</v>
      </c>
      <c r="V175" s="2956">
        <v>44438</v>
      </c>
      <c r="W175" s="2954" t="s">
        <v>3051</v>
      </c>
      <c r="X175" s="2954" t="s">
        <v>3046</v>
      </c>
      <c r="Y175" s="2954" t="s">
        <v>3283</v>
      </c>
      <c r="Z175" s="2957">
        <v>43362.415821759299</v>
      </c>
      <c r="AA175" s="2954" t="s">
        <v>3292</v>
      </c>
      <c r="AB175" s="2954" t="s">
        <v>3300</v>
      </c>
      <c r="AC175" s="2954" t="s">
        <v>3544</v>
      </c>
      <c r="AD175" s="2954" t="s">
        <v>3283</v>
      </c>
      <c r="AE175" s="2954" t="s">
        <v>3051</v>
      </c>
      <c r="AF175" s="2954" t="s">
        <v>3283</v>
      </c>
    </row>
    <row r="176" spans="1:32" ht="67.5">
      <c r="A176" s="2954">
        <v>6268</v>
      </c>
      <c r="B176" s="2954" t="s">
        <v>3281</v>
      </c>
      <c r="C176" s="2954" t="s">
        <v>3678</v>
      </c>
      <c r="D176" s="2954" t="s">
        <v>3283</v>
      </c>
      <c r="E176" s="2954" t="s">
        <v>3627</v>
      </c>
      <c r="F176" s="2954" t="s">
        <v>3743</v>
      </c>
      <c r="G176" s="2954" t="s">
        <v>3744</v>
      </c>
      <c r="H176" s="2955">
        <v>1227311</v>
      </c>
      <c r="I176" s="2955">
        <v>11510</v>
      </c>
      <c r="J176" s="2955">
        <v>14873</v>
      </c>
      <c r="K176" s="2959">
        <v>106.63</v>
      </c>
      <c r="L176" s="2955">
        <v>82.52</v>
      </c>
      <c r="M176" s="2954" t="s">
        <v>3233</v>
      </c>
      <c r="N176" s="2954" t="s">
        <v>3686</v>
      </c>
      <c r="O176" s="2954" t="s">
        <v>3441</v>
      </c>
      <c r="P176" s="2954" t="s">
        <v>3289</v>
      </c>
      <c r="Q176" s="2954" t="s">
        <v>3682</v>
      </c>
      <c r="R176" s="2954" t="s">
        <v>3291</v>
      </c>
      <c r="S176" s="2954">
        <v>1227311</v>
      </c>
      <c r="T176" s="2954" t="s">
        <v>3233</v>
      </c>
      <c r="U176" s="2954" t="s">
        <v>3299</v>
      </c>
      <c r="V176" s="2956">
        <v>44438</v>
      </c>
      <c r="W176" s="2954" t="s">
        <v>3051</v>
      </c>
      <c r="X176" s="2954" t="s">
        <v>3046</v>
      </c>
      <c r="Y176" s="2954" t="s">
        <v>3283</v>
      </c>
      <c r="Z176" s="2957">
        <v>43362.415821759299</v>
      </c>
      <c r="AA176" s="2954" t="s">
        <v>3292</v>
      </c>
      <c r="AB176" s="2954" t="s">
        <v>3300</v>
      </c>
      <c r="AC176" s="2954" t="s">
        <v>3544</v>
      </c>
      <c r="AD176" s="2954" t="s">
        <v>3283</v>
      </c>
      <c r="AE176" s="2954" t="s">
        <v>3051</v>
      </c>
      <c r="AF176" s="2954" t="s">
        <v>3283</v>
      </c>
    </row>
    <row r="177" spans="1:32" ht="67.5">
      <c r="A177" s="2954">
        <v>6292</v>
      </c>
      <c r="B177" s="2954" t="s">
        <v>3281</v>
      </c>
      <c r="C177" s="2954" t="s">
        <v>3678</v>
      </c>
      <c r="D177" s="2954" t="s">
        <v>3283</v>
      </c>
      <c r="E177" s="2954" t="s">
        <v>3663</v>
      </c>
      <c r="F177" s="2954" t="s">
        <v>3745</v>
      </c>
      <c r="G177" s="2954" t="s">
        <v>3746</v>
      </c>
      <c r="H177" s="2955">
        <v>1223046</v>
      </c>
      <c r="I177" s="2955">
        <v>11470</v>
      </c>
      <c r="J177" s="2955">
        <v>14821</v>
      </c>
      <c r="K177" s="2959">
        <v>106.63</v>
      </c>
      <c r="L177" s="2955">
        <v>82.52</v>
      </c>
      <c r="M177" s="2954" t="s">
        <v>3233</v>
      </c>
      <c r="N177" s="2954" t="s">
        <v>3686</v>
      </c>
      <c r="O177" s="2954" t="s">
        <v>3441</v>
      </c>
      <c r="P177" s="2954" t="s">
        <v>3289</v>
      </c>
      <c r="Q177" s="2954" t="s">
        <v>3682</v>
      </c>
      <c r="R177" s="2954" t="s">
        <v>3291</v>
      </c>
      <c r="S177" s="2954">
        <v>1223046</v>
      </c>
      <c r="T177" s="2954" t="s">
        <v>3233</v>
      </c>
      <c r="U177" s="2954" t="s">
        <v>3299</v>
      </c>
      <c r="V177" s="2956">
        <v>44438</v>
      </c>
      <c r="W177" s="2954" t="s">
        <v>3051</v>
      </c>
      <c r="X177" s="2954" t="s">
        <v>3046</v>
      </c>
      <c r="Y177" s="2954" t="s">
        <v>3283</v>
      </c>
      <c r="Z177" s="2957">
        <v>43362.415821759299</v>
      </c>
      <c r="AA177" s="2954" t="s">
        <v>3292</v>
      </c>
      <c r="AB177" s="2954" t="s">
        <v>3300</v>
      </c>
      <c r="AC177" s="2954" t="s">
        <v>3544</v>
      </c>
      <c r="AD177" s="2954" t="s">
        <v>3283</v>
      </c>
      <c r="AE177" s="2954" t="s">
        <v>3051</v>
      </c>
      <c r="AF177" s="2954" t="s">
        <v>3283</v>
      </c>
    </row>
    <row r="178" spans="1:32" ht="67.5">
      <c r="A178" s="2954">
        <v>6296</v>
      </c>
      <c r="B178" s="2954" t="s">
        <v>3281</v>
      </c>
      <c r="C178" s="2954" t="s">
        <v>3678</v>
      </c>
      <c r="D178" s="2954" t="s">
        <v>3283</v>
      </c>
      <c r="E178" s="2954" t="s">
        <v>3676</v>
      </c>
      <c r="F178" s="2954" t="s">
        <v>3747</v>
      </c>
      <c r="G178" s="2954" t="s">
        <v>3748</v>
      </c>
      <c r="H178" s="2955">
        <v>1220914</v>
      </c>
      <c r="I178" s="2955">
        <v>11450</v>
      </c>
      <c r="J178" s="2955">
        <v>14795</v>
      </c>
      <c r="K178" s="2959">
        <v>106.63</v>
      </c>
      <c r="L178" s="2955">
        <v>82.52</v>
      </c>
      <c r="M178" s="2954" t="s">
        <v>3233</v>
      </c>
      <c r="N178" s="2954" t="s">
        <v>3686</v>
      </c>
      <c r="O178" s="2954" t="s">
        <v>3441</v>
      </c>
      <c r="P178" s="2954" t="s">
        <v>3289</v>
      </c>
      <c r="Q178" s="2954" t="s">
        <v>3682</v>
      </c>
      <c r="R178" s="2954" t="s">
        <v>3291</v>
      </c>
      <c r="S178" s="2954">
        <v>1220914</v>
      </c>
      <c r="T178" s="2954" t="s">
        <v>3233</v>
      </c>
      <c r="U178" s="2954" t="s">
        <v>3299</v>
      </c>
      <c r="V178" s="2956">
        <v>44438</v>
      </c>
      <c r="W178" s="2954" t="s">
        <v>3051</v>
      </c>
      <c r="X178" s="2954" t="s">
        <v>3046</v>
      </c>
      <c r="Y178" s="2954" t="s">
        <v>3283</v>
      </c>
      <c r="Z178" s="2957">
        <v>43362.415821759299</v>
      </c>
      <c r="AA178" s="2954" t="s">
        <v>3292</v>
      </c>
      <c r="AB178" s="2954" t="s">
        <v>3300</v>
      </c>
      <c r="AC178" s="2954" t="s">
        <v>3544</v>
      </c>
      <c r="AD178" s="2954" t="s">
        <v>3283</v>
      </c>
      <c r="AE178" s="2954" t="s">
        <v>3051</v>
      </c>
      <c r="AF178" s="2954" t="s">
        <v>3283</v>
      </c>
    </row>
    <row r="179" spans="1:32" ht="67.5">
      <c r="A179" s="2954">
        <v>6299</v>
      </c>
      <c r="B179" s="2954" t="s">
        <v>3281</v>
      </c>
      <c r="C179" s="2954" t="s">
        <v>3678</v>
      </c>
      <c r="D179" s="2954" t="s">
        <v>3283</v>
      </c>
      <c r="E179" s="2954" t="s">
        <v>3749</v>
      </c>
      <c r="F179" s="2954" t="s">
        <v>3750</v>
      </c>
      <c r="G179" s="2954" t="s">
        <v>3751</v>
      </c>
      <c r="H179" s="2955">
        <v>1220914</v>
      </c>
      <c r="I179" s="2955">
        <v>11450</v>
      </c>
      <c r="J179" s="2955">
        <v>14795</v>
      </c>
      <c r="K179" s="2959">
        <v>106.63</v>
      </c>
      <c r="L179" s="2955">
        <v>82.52</v>
      </c>
      <c r="M179" s="2954" t="s">
        <v>3233</v>
      </c>
      <c r="N179" s="2954" t="s">
        <v>3681</v>
      </c>
      <c r="O179" s="2954" t="s">
        <v>3441</v>
      </c>
      <c r="P179" s="2954" t="s">
        <v>3289</v>
      </c>
      <c r="Q179" s="2954" t="s">
        <v>3682</v>
      </c>
      <c r="R179" s="2954" t="s">
        <v>3291</v>
      </c>
      <c r="S179" s="2954">
        <v>1220914</v>
      </c>
      <c r="T179" s="2954" t="s">
        <v>3233</v>
      </c>
      <c r="U179" s="2954" t="s">
        <v>3299</v>
      </c>
      <c r="V179" s="2956">
        <v>44438</v>
      </c>
      <c r="W179" s="2954" t="s">
        <v>3051</v>
      </c>
      <c r="X179" s="2954" t="s">
        <v>3046</v>
      </c>
      <c r="Y179" s="2954" t="s">
        <v>3283</v>
      </c>
      <c r="Z179" s="2957">
        <v>43362.415810185201</v>
      </c>
      <c r="AA179" s="2954" t="s">
        <v>3292</v>
      </c>
      <c r="AB179" s="2954" t="s">
        <v>3300</v>
      </c>
      <c r="AC179" s="2954" t="s">
        <v>3544</v>
      </c>
      <c r="AD179" s="2954" t="s">
        <v>3283</v>
      </c>
      <c r="AE179" s="2954" t="s">
        <v>3051</v>
      </c>
      <c r="AF179" s="2954" t="s">
        <v>3283</v>
      </c>
    </row>
    <row r="180" spans="1:32" ht="67.5">
      <c r="A180" s="2954">
        <v>6300</v>
      </c>
      <c r="B180" s="2954" t="s">
        <v>3281</v>
      </c>
      <c r="C180" s="2954" t="s">
        <v>3678</v>
      </c>
      <c r="D180" s="2954" t="s">
        <v>3283</v>
      </c>
      <c r="E180" s="2954" t="s">
        <v>3752</v>
      </c>
      <c r="F180" s="2954" t="s">
        <v>3753</v>
      </c>
      <c r="G180" s="2954" t="s">
        <v>3754</v>
      </c>
      <c r="H180" s="2955">
        <v>1220914</v>
      </c>
      <c r="I180" s="2955">
        <v>11450</v>
      </c>
      <c r="J180" s="2955">
        <v>14795</v>
      </c>
      <c r="K180" s="2959">
        <v>106.63</v>
      </c>
      <c r="L180" s="2955">
        <v>82.52</v>
      </c>
      <c r="M180" s="2954" t="s">
        <v>3233</v>
      </c>
      <c r="N180" s="2954" t="s">
        <v>3686</v>
      </c>
      <c r="O180" s="2954" t="s">
        <v>3441</v>
      </c>
      <c r="P180" s="2954" t="s">
        <v>3289</v>
      </c>
      <c r="Q180" s="2954" t="s">
        <v>3682</v>
      </c>
      <c r="R180" s="2954" t="s">
        <v>3291</v>
      </c>
      <c r="S180" s="2954">
        <v>1220914</v>
      </c>
      <c r="T180" s="2954" t="s">
        <v>3233</v>
      </c>
      <c r="U180" s="2954" t="s">
        <v>3299</v>
      </c>
      <c r="V180" s="2956">
        <v>44438</v>
      </c>
      <c r="W180" s="2954" t="s">
        <v>3051</v>
      </c>
      <c r="X180" s="2954" t="s">
        <v>3046</v>
      </c>
      <c r="Y180" s="2954" t="s">
        <v>3283</v>
      </c>
      <c r="Z180" s="2957">
        <v>43362.415810185201</v>
      </c>
      <c r="AA180" s="2954" t="s">
        <v>3292</v>
      </c>
      <c r="AB180" s="2954" t="s">
        <v>3300</v>
      </c>
      <c r="AC180" s="2954" t="s">
        <v>3544</v>
      </c>
      <c r="AD180" s="2954" t="s">
        <v>3283</v>
      </c>
      <c r="AE180" s="2954" t="s">
        <v>3051</v>
      </c>
      <c r="AF180" s="2954" t="s">
        <v>3283</v>
      </c>
    </row>
    <row r="181" spans="1:32" ht="67.5">
      <c r="A181" s="2954">
        <v>6303</v>
      </c>
      <c r="B181" s="2954" t="s">
        <v>3281</v>
      </c>
      <c r="C181" s="2954" t="s">
        <v>3678</v>
      </c>
      <c r="D181" s="2954" t="s">
        <v>3283</v>
      </c>
      <c r="E181" s="2954" t="s">
        <v>3755</v>
      </c>
      <c r="F181" s="2954" t="s">
        <v>3756</v>
      </c>
      <c r="G181" s="2954" t="s">
        <v>3757</v>
      </c>
      <c r="H181" s="2955">
        <v>1220914</v>
      </c>
      <c r="I181" s="2955">
        <v>11450</v>
      </c>
      <c r="J181" s="2955">
        <v>14795</v>
      </c>
      <c r="K181" s="2959">
        <v>106.63</v>
      </c>
      <c r="L181" s="2955">
        <v>82.52</v>
      </c>
      <c r="M181" s="2954" t="s">
        <v>3233</v>
      </c>
      <c r="N181" s="2954" t="s">
        <v>3681</v>
      </c>
      <c r="O181" s="2954" t="s">
        <v>3441</v>
      </c>
      <c r="P181" s="2954" t="s">
        <v>3289</v>
      </c>
      <c r="Q181" s="2954" t="s">
        <v>3682</v>
      </c>
      <c r="R181" s="2954" t="s">
        <v>3291</v>
      </c>
      <c r="S181" s="2954">
        <v>1220914</v>
      </c>
      <c r="T181" s="2954" t="s">
        <v>3233</v>
      </c>
      <c r="U181" s="2954" t="s">
        <v>3299</v>
      </c>
      <c r="V181" s="2956">
        <v>44438</v>
      </c>
      <c r="W181" s="2954" t="s">
        <v>3051</v>
      </c>
      <c r="X181" s="2954" t="s">
        <v>3046</v>
      </c>
      <c r="Y181" s="2954" t="s">
        <v>3283</v>
      </c>
      <c r="Z181" s="2957">
        <v>43362.415810185201</v>
      </c>
      <c r="AA181" s="2954" t="s">
        <v>3292</v>
      </c>
      <c r="AB181" s="2954" t="s">
        <v>3300</v>
      </c>
      <c r="AC181" s="2954" t="s">
        <v>3544</v>
      </c>
      <c r="AD181" s="2954" t="s">
        <v>3283</v>
      </c>
      <c r="AE181" s="2954" t="s">
        <v>3051</v>
      </c>
      <c r="AF181" s="2954" t="s">
        <v>3283</v>
      </c>
    </row>
    <row r="182" spans="1:32" ht="67.5">
      <c r="A182" s="2954">
        <v>6304</v>
      </c>
      <c r="B182" s="2954" t="s">
        <v>3281</v>
      </c>
      <c r="C182" s="2954" t="s">
        <v>3678</v>
      </c>
      <c r="D182" s="2954" t="s">
        <v>3283</v>
      </c>
      <c r="E182" s="2954" t="s">
        <v>3758</v>
      </c>
      <c r="F182" s="2954" t="s">
        <v>3759</v>
      </c>
      <c r="G182" s="2954" t="s">
        <v>3760</v>
      </c>
      <c r="H182" s="2955">
        <v>1220914</v>
      </c>
      <c r="I182" s="2955">
        <v>11450</v>
      </c>
      <c r="J182" s="2955">
        <v>14795</v>
      </c>
      <c r="K182" s="2959">
        <v>106.63</v>
      </c>
      <c r="L182" s="2955">
        <v>82.52</v>
      </c>
      <c r="M182" s="2954" t="s">
        <v>3233</v>
      </c>
      <c r="N182" s="2954" t="s">
        <v>3686</v>
      </c>
      <c r="O182" s="2954" t="s">
        <v>3441</v>
      </c>
      <c r="P182" s="2954" t="s">
        <v>3289</v>
      </c>
      <c r="Q182" s="2954" t="s">
        <v>3682</v>
      </c>
      <c r="R182" s="2954" t="s">
        <v>3291</v>
      </c>
      <c r="S182" s="2954">
        <v>1220914</v>
      </c>
      <c r="T182" s="2954" t="s">
        <v>3233</v>
      </c>
      <c r="U182" s="2954" t="s">
        <v>3299</v>
      </c>
      <c r="V182" s="2956">
        <v>44438</v>
      </c>
      <c r="W182" s="2954" t="s">
        <v>3051</v>
      </c>
      <c r="X182" s="2954" t="s">
        <v>3046</v>
      </c>
      <c r="Y182" s="2954" t="s">
        <v>3283</v>
      </c>
      <c r="Z182" s="2957">
        <v>43362.415810185201</v>
      </c>
      <c r="AA182" s="2954" t="s">
        <v>3292</v>
      </c>
      <c r="AB182" s="2954" t="s">
        <v>3300</v>
      </c>
      <c r="AC182" s="2954" t="s">
        <v>3544</v>
      </c>
      <c r="AD182" s="2954" t="s">
        <v>3283</v>
      </c>
      <c r="AE182" s="2954" t="s">
        <v>3051</v>
      </c>
      <c r="AF182" s="2954" t="s">
        <v>3283</v>
      </c>
    </row>
    <row r="183" spans="1:32" ht="67.5">
      <c r="A183" s="2954">
        <v>6307</v>
      </c>
      <c r="B183" s="2954" t="s">
        <v>3281</v>
      </c>
      <c r="C183" s="2954" t="s">
        <v>3678</v>
      </c>
      <c r="D183" s="2954" t="s">
        <v>3283</v>
      </c>
      <c r="E183" s="2954" t="s">
        <v>3761</v>
      </c>
      <c r="F183" s="2954" t="s">
        <v>3762</v>
      </c>
      <c r="G183" s="2954" t="s">
        <v>3763</v>
      </c>
      <c r="H183" s="2955">
        <v>1210251</v>
      </c>
      <c r="I183" s="2955">
        <v>11350</v>
      </c>
      <c r="J183" s="2955">
        <v>14666</v>
      </c>
      <c r="K183" s="2959">
        <v>106.63</v>
      </c>
      <c r="L183" s="2955">
        <v>82.52</v>
      </c>
      <c r="M183" s="2954" t="s">
        <v>3233</v>
      </c>
      <c r="N183" s="2954" t="s">
        <v>3681</v>
      </c>
      <c r="O183" s="2954" t="s">
        <v>3441</v>
      </c>
      <c r="P183" s="2954" t="s">
        <v>3289</v>
      </c>
      <c r="Q183" s="2954" t="s">
        <v>3682</v>
      </c>
      <c r="R183" s="2954" t="s">
        <v>3291</v>
      </c>
      <c r="S183" s="2954">
        <v>1210251</v>
      </c>
      <c r="T183" s="2954" t="s">
        <v>3233</v>
      </c>
      <c r="U183" s="2954" t="s">
        <v>3299</v>
      </c>
      <c r="V183" s="2956">
        <v>44438</v>
      </c>
      <c r="W183" s="2954" t="s">
        <v>3051</v>
      </c>
      <c r="X183" s="2954" t="s">
        <v>3046</v>
      </c>
      <c r="Y183" s="2954" t="s">
        <v>3283</v>
      </c>
      <c r="Z183" s="2957">
        <v>43362.415810185201</v>
      </c>
      <c r="AA183" s="2954" t="s">
        <v>3292</v>
      </c>
      <c r="AB183" s="2954" t="s">
        <v>3673</v>
      </c>
      <c r="AC183" s="2954" t="s">
        <v>3544</v>
      </c>
      <c r="AD183" s="2954" t="s">
        <v>3283</v>
      </c>
      <c r="AE183" s="2954" t="s">
        <v>3051</v>
      </c>
      <c r="AF183" s="2954" t="s">
        <v>3283</v>
      </c>
    </row>
    <row r="184" spans="1:32" ht="67.5">
      <c r="A184" s="2954">
        <v>6308</v>
      </c>
      <c r="B184" s="2954" t="s">
        <v>3281</v>
      </c>
      <c r="C184" s="2954" t="s">
        <v>3678</v>
      </c>
      <c r="D184" s="2954" t="s">
        <v>3283</v>
      </c>
      <c r="E184" s="2954" t="s">
        <v>3764</v>
      </c>
      <c r="F184" s="2954" t="s">
        <v>4417</v>
      </c>
      <c r="G184" s="2954" t="s">
        <v>3765</v>
      </c>
      <c r="H184" s="2955">
        <v>1210251</v>
      </c>
      <c r="I184" s="2955">
        <v>11350</v>
      </c>
      <c r="J184" s="2955">
        <v>14666</v>
      </c>
      <c r="K184" s="2959">
        <v>106.63</v>
      </c>
      <c r="L184" s="2955">
        <v>82.52</v>
      </c>
      <c r="M184" s="2954" t="s">
        <v>3233</v>
      </c>
      <c r="N184" s="2954" t="s">
        <v>3686</v>
      </c>
      <c r="O184" s="2954" t="s">
        <v>3441</v>
      </c>
      <c r="P184" s="2954" t="s">
        <v>3289</v>
      </c>
      <c r="Q184" s="2954" t="s">
        <v>3682</v>
      </c>
      <c r="R184" s="2954" t="s">
        <v>3291</v>
      </c>
      <c r="S184" s="2954">
        <v>1210251</v>
      </c>
      <c r="T184" s="2954" t="s">
        <v>3233</v>
      </c>
      <c r="U184" s="2954" t="s">
        <v>3299</v>
      </c>
      <c r="V184" s="2956">
        <v>44438</v>
      </c>
      <c r="W184" s="2954" t="s">
        <v>3051</v>
      </c>
      <c r="X184" s="2954" t="s">
        <v>3046</v>
      </c>
      <c r="Y184" s="2954" t="s">
        <v>3283</v>
      </c>
      <c r="Z184" s="2957">
        <v>43362.415810185201</v>
      </c>
      <c r="AA184" s="2954" t="s">
        <v>3292</v>
      </c>
      <c r="AB184" s="2954" t="s">
        <v>3673</v>
      </c>
      <c r="AC184" s="2954" t="s">
        <v>3544</v>
      </c>
      <c r="AD184" s="2954" t="s">
        <v>3283</v>
      </c>
      <c r="AE184" s="2954" t="s">
        <v>3051</v>
      </c>
      <c r="AF184" s="2954" t="s">
        <v>3283</v>
      </c>
    </row>
    <row r="185" spans="1:32" s="2968" customFormat="1">
      <c r="A185" s="2964"/>
      <c r="B185" s="2964"/>
      <c r="C185" s="2964"/>
      <c r="D185" s="2964"/>
      <c r="E185" s="2964"/>
      <c r="F185" s="2964" t="s">
        <v>4418</v>
      </c>
      <c r="G185" s="2964"/>
      <c r="H185" s="2965"/>
      <c r="I185" s="2965"/>
      <c r="J185" s="2965"/>
      <c r="K185" s="2965">
        <f>SUM(K148:K184)</f>
        <v>3945.3100000000027</v>
      </c>
      <c r="L185" s="2965"/>
      <c r="M185" s="2964"/>
      <c r="N185" s="2964"/>
      <c r="O185" s="2964"/>
      <c r="P185" s="2964"/>
      <c r="Q185" s="2964"/>
      <c r="R185" s="2964"/>
      <c r="S185" s="2964"/>
      <c r="T185" s="2964"/>
      <c r="U185" s="2964"/>
      <c r="V185" s="2966"/>
      <c r="W185" s="2964"/>
      <c r="X185" s="2964"/>
      <c r="Y185" s="2964"/>
      <c r="Z185" s="2967"/>
      <c r="AA185" s="2964"/>
      <c r="AB185" s="2964"/>
      <c r="AC185" s="2964"/>
      <c r="AD185" s="2964"/>
      <c r="AE185" s="2964"/>
      <c r="AF185" s="2964"/>
    </row>
    <row r="186" spans="1:32" ht="67.5">
      <c r="A186" s="2954">
        <v>6630</v>
      </c>
      <c r="B186" s="2954" t="s">
        <v>3281</v>
      </c>
      <c r="C186" s="2954" t="s">
        <v>3766</v>
      </c>
      <c r="D186" s="2954" t="s">
        <v>3283</v>
      </c>
      <c r="E186" s="2954" t="s">
        <v>3296</v>
      </c>
      <c r="F186" s="2954" t="s">
        <v>3767</v>
      </c>
      <c r="G186" s="2954" t="s">
        <v>3768</v>
      </c>
      <c r="H186" s="2955">
        <v>1035426</v>
      </c>
      <c r="I186" s="2955">
        <v>11080</v>
      </c>
      <c r="J186" s="2955">
        <v>14343</v>
      </c>
      <c r="K186" s="2959">
        <v>93.45</v>
      </c>
      <c r="L186" s="2955">
        <v>72.19</v>
      </c>
      <c r="M186" s="2954" t="s">
        <v>3233</v>
      </c>
      <c r="N186" s="2954" t="s">
        <v>3769</v>
      </c>
      <c r="O186" s="2954" t="s">
        <v>3770</v>
      </c>
      <c r="P186" s="2954" t="s">
        <v>3289</v>
      </c>
      <c r="Q186" s="2954" t="s">
        <v>3771</v>
      </c>
      <c r="R186" s="2954" t="s">
        <v>3291</v>
      </c>
      <c r="S186" s="2954">
        <v>1035426</v>
      </c>
      <c r="T186" s="2954" t="s">
        <v>3233</v>
      </c>
      <c r="U186" s="2954" t="s">
        <v>3299</v>
      </c>
      <c r="V186" s="2956">
        <v>44499</v>
      </c>
      <c r="W186" s="2954" t="s">
        <v>3051</v>
      </c>
      <c r="X186" s="2954" t="s">
        <v>3046</v>
      </c>
      <c r="Y186" s="2954" t="s">
        <v>3283</v>
      </c>
      <c r="Z186" s="2957">
        <v>43374.417256944398</v>
      </c>
      <c r="AA186" s="2954" t="s">
        <v>3772</v>
      </c>
      <c r="AB186" s="2954" t="s">
        <v>3300</v>
      </c>
      <c r="AC186" s="2954" t="s">
        <v>3544</v>
      </c>
      <c r="AD186" s="2954" t="s">
        <v>3283</v>
      </c>
      <c r="AE186" s="2954" t="s">
        <v>3051</v>
      </c>
      <c r="AF186" s="2954" t="s">
        <v>3283</v>
      </c>
    </row>
    <row r="187" spans="1:32" ht="67.5">
      <c r="A187" s="2954">
        <v>6631</v>
      </c>
      <c r="B187" s="2954" t="s">
        <v>3281</v>
      </c>
      <c r="C187" s="2954" t="s">
        <v>3766</v>
      </c>
      <c r="D187" s="2954" t="s">
        <v>3283</v>
      </c>
      <c r="E187" s="2954" t="s">
        <v>3301</v>
      </c>
      <c r="F187" s="2954" t="s">
        <v>3773</v>
      </c>
      <c r="G187" s="2954" t="s">
        <v>3774</v>
      </c>
      <c r="H187" s="2955">
        <v>1130156</v>
      </c>
      <c r="I187" s="2955">
        <v>10580</v>
      </c>
      <c r="J187" s="2955">
        <v>13696</v>
      </c>
      <c r="K187" s="2959">
        <v>106.82</v>
      </c>
      <c r="L187" s="2955">
        <v>82.52</v>
      </c>
      <c r="M187" s="2954" t="s">
        <v>3233</v>
      </c>
      <c r="N187" s="2954" t="s">
        <v>3681</v>
      </c>
      <c r="O187" s="2954" t="s">
        <v>3441</v>
      </c>
      <c r="P187" s="2954" t="s">
        <v>3289</v>
      </c>
      <c r="Q187" s="2954" t="s">
        <v>3771</v>
      </c>
      <c r="R187" s="2954" t="s">
        <v>3291</v>
      </c>
      <c r="S187" s="2954">
        <v>1130156</v>
      </c>
      <c r="T187" s="2954" t="s">
        <v>3233</v>
      </c>
      <c r="U187" s="2954" t="s">
        <v>3299</v>
      </c>
      <c r="V187" s="2956">
        <v>44499</v>
      </c>
      <c r="W187" s="2954" t="s">
        <v>3051</v>
      </c>
      <c r="X187" s="2954" t="s">
        <v>3046</v>
      </c>
      <c r="Y187" s="2954" t="s">
        <v>3283</v>
      </c>
      <c r="Z187" s="2957">
        <v>43374.417256944398</v>
      </c>
      <c r="AA187" s="2954" t="s">
        <v>3772</v>
      </c>
      <c r="AB187" s="2954" t="s">
        <v>3300</v>
      </c>
      <c r="AC187" s="2954" t="s">
        <v>3544</v>
      </c>
      <c r="AD187" s="2954" t="s">
        <v>3283</v>
      </c>
      <c r="AE187" s="2954" t="s">
        <v>3051</v>
      </c>
      <c r="AF187" s="2954" t="s">
        <v>3283</v>
      </c>
    </row>
    <row r="188" spans="1:32" ht="67.5">
      <c r="A188" s="2954">
        <v>6632</v>
      </c>
      <c r="B188" s="2954" t="s">
        <v>3281</v>
      </c>
      <c r="C188" s="2954" t="s">
        <v>3766</v>
      </c>
      <c r="D188" s="2954" t="s">
        <v>3283</v>
      </c>
      <c r="E188" s="2954" t="s">
        <v>3683</v>
      </c>
      <c r="F188" s="2954" t="s">
        <v>3775</v>
      </c>
      <c r="G188" s="2954" t="s">
        <v>3776</v>
      </c>
      <c r="H188" s="2955">
        <v>1130156</v>
      </c>
      <c r="I188" s="2955">
        <v>10580</v>
      </c>
      <c r="J188" s="2955">
        <v>13696</v>
      </c>
      <c r="K188" s="2959">
        <v>106.82</v>
      </c>
      <c r="L188" s="2955">
        <v>82.52</v>
      </c>
      <c r="M188" s="2954" t="s">
        <v>3233</v>
      </c>
      <c r="N188" s="2954" t="s">
        <v>3686</v>
      </c>
      <c r="O188" s="2954" t="s">
        <v>3441</v>
      </c>
      <c r="P188" s="2954" t="s">
        <v>3289</v>
      </c>
      <c r="Q188" s="2954" t="s">
        <v>3771</v>
      </c>
      <c r="R188" s="2954" t="s">
        <v>3291</v>
      </c>
      <c r="S188" s="2954">
        <v>1130156</v>
      </c>
      <c r="T188" s="2954" t="s">
        <v>3233</v>
      </c>
      <c r="U188" s="2954" t="s">
        <v>3299</v>
      </c>
      <c r="V188" s="2956">
        <v>44499</v>
      </c>
      <c r="W188" s="2954" t="s">
        <v>3051</v>
      </c>
      <c r="X188" s="2954" t="s">
        <v>3046</v>
      </c>
      <c r="Y188" s="2954" t="s">
        <v>3283</v>
      </c>
      <c r="Z188" s="2957">
        <v>43374.417256944398</v>
      </c>
      <c r="AA188" s="2954" t="s">
        <v>3772</v>
      </c>
      <c r="AB188" s="2954" t="s">
        <v>3300</v>
      </c>
      <c r="AC188" s="2954" t="s">
        <v>3544</v>
      </c>
      <c r="AD188" s="2954" t="s">
        <v>3283</v>
      </c>
      <c r="AE188" s="2954" t="s">
        <v>3051</v>
      </c>
      <c r="AF188" s="2954" t="s">
        <v>3283</v>
      </c>
    </row>
    <row r="189" spans="1:32" ht="67.5">
      <c r="A189" s="2954">
        <v>6633</v>
      </c>
      <c r="B189" s="2954" t="s">
        <v>3281</v>
      </c>
      <c r="C189" s="2954" t="s">
        <v>3766</v>
      </c>
      <c r="D189" s="2954" t="s">
        <v>3283</v>
      </c>
      <c r="E189" s="2954" t="s">
        <v>3538</v>
      </c>
      <c r="F189" s="2954" t="s">
        <v>3777</v>
      </c>
      <c r="G189" s="2954" t="s">
        <v>3778</v>
      </c>
      <c r="H189" s="2955">
        <v>1048702</v>
      </c>
      <c r="I189" s="2955">
        <v>11280</v>
      </c>
      <c r="J189" s="2955">
        <v>14602</v>
      </c>
      <c r="K189" s="2959">
        <v>92.97</v>
      </c>
      <c r="L189" s="2955">
        <v>71.819999999999993</v>
      </c>
      <c r="M189" s="2954" t="s">
        <v>3233</v>
      </c>
      <c r="N189" s="2954" t="s">
        <v>3779</v>
      </c>
      <c r="O189" s="2954" t="s">
        <v>3770</v>
      </c>
      <c r="P189" s="2954" t="s">
        <v>3289</v>
      </c>
      <c r="Q189" s="2954" t="s">
        <v>3771</v>
      </c>
      <c r="R189" s="2954" t="s">
        <v>3291</v>
      </c>
      <c r="S189" s="2954">
        <v>1048702</v>
      </c>
      <c r="T189" s="2954" t="s">
        <v>3233</v>
      </c>
      <c r="U189" s="2954" t="s">
        <v>3299</v>
      </c>
      <c r="V189" s="2956">
        <v>44499</v>
      </c>
      <c r="W189" s="2954" t="s">
        <v>3051</v>
      </c>
      <c r="X189" s="2954" t="s">
        <v>3046</v>
      </c>
      <c r="Y189" s="2954" t="s">
        <v>3283</v>
      </c>
      <c r="Z189" s="2957">
        <v>43374.417256944398</v>
      </c>
      <c r="AA189" s="2954" t="s">
        <v>3772</v>
      </c>
      <c r="AB189" s="2954" t="s">
        <v>3300</v>
      </c>
      <c r="AC189" s="2954" t="s">
        <v>3544</v>
      </c>
      <c r="AD189" s="2954" t="s">
        <v>3283</v>
      </c>
      <c r="AE189" s="2954" t="s">
        <v>3051</v>
      </c>
      <c r="AF189" s="2954" t="s">
        <v>3283</v>
      </c>
    </row>
    <row r="190" spans="1:32" ht="67.5">
      <c r="A190" s="2954">
        <v>6635</v>
      </c>
      <c r="B190" s="2954" t="s">
        <v>3281</v>
      </c>
      <c r="C190" s="2954" t="s">
        <v>3766</v>
      </c>
      <c r="D190" s="2954" t="s">
        <v>3283</v>
      </c>
      <c r="E190" s="2954" t="s">
        <v>3308</v>
      </c>
      <c r="F190" s="2954" t="s">
        <v>3780</v>
      </c>
      <c r="G190" s="2954" t="s">
        <v>3781</v>
      </c>
      <c r="H190" s="2955">
        <v>1132292</v>
      </c>
      <c r="I190" s="2955">
        <v>10600</v>
      </c>
      <c r="J190" s="2955">
        <v>13721</v>
      </c>
      <c r="K190" s="2959">
        <v>106.82</v>
      </c>
      <c r="L190" s="2955">
        <v>82.52</v>
      </c>
      <c r="M190" s="2954" t="s">
        <v>3233</v>
      </c>
      <c r="N190" s="2954" t="s">
        <v>3681</v>
      </c>
      <c r="O190" s="2954" t="s">
        <v>3441</v>
      </c>
      <c r="P190" s="2954" t="s">
        <v>3289</v>
      </c>
      <c r="Q190" s="2954" t="s">
        <v>3771</v>
      </c>
      <c r="R190" s="2954" t="s">
        <v>3291</v>
      </c>
      <c r="S190" s="2954">
        <v>1132292</v>
      </c>
      <c r="T190" s="2954" t="s">
        <v>3233</v>
      </c>
      <c r="U190" s="2954" t="s">
        <v>3299</v>
      </c>
      <c r="V190" s="2956">
        <v>44499</v>
      </c>
      <c r="W190" s="2954" t="s">
        <v>3051</v>
      </c>
      <c r="X190" s="2954" t="s">
        <v>3046</v>
      </c>
      <c r="Y190" s="2954" t="s">
        <v>3283</v>
      </c>
      <c r="Z190" s="2957">
        <v>43374.417256944398</v>
      </c>
      <c r="AA190" s="2954" t="s">
        <v>3772</v>
      </c>
      <c r="AB190" s="2954" t="s">
        <v>3300</v>
      </c>
      <c r="AC190" s="2954" t="s">
        <v>3544</v>
      </c>
      <c r="AD190" s="2954" t="s">
        <v>3283</v>
      </c>
      <c r="AE190" s="2954" t="s">
        <v>3051</v>
      </c>
      <c r="AF190" s="2954" t="s">
        <v>3283</v>
      </c>
    </row>
    <row r="191" spans="1:32" ht="67.5">
      <c r="A191" s="2954">
        <v>6636</v>
      </c>
      <c r="B191" s="2954" t="s">
        <v>3281</v>
      </c>
      <c r="C191" s="2954" t="s">
        <v>3766</v>
      </c>
      <c r="D191" s="2954" t="s">
        <v>3283</v>
      </c>
      <c r="E191" s="2954" t="s">
        <v>3548</v>
      </c>
      <c r="F191" s="2954" t="s">
        <v>3782</v>
      </c>
      <c r="G191" s="2954" t="s">
        <v>3783</v>
      </c>
      <c r="H191" s="2955">
        <v>1132292</v>
      </c>
      <c r="I191" s="2955">
        <v>10600</v>
      </c>
      <c r="J191" s="2955">
        <v>13721</v>
      </c>
      <c r="K191" s="2959">
        <v>106.82</v>
      </c>
      <c r="L191" s="2955">
        <v>82.52</v>
      </c>
      <c r="M191" s="2954" t="s">
        <v>3233</v>
      </c>
      <c r="N191" s="2954" t="s">
        <v>3686</v>
      </c>
      <c r="O191" s="2954" t="s">
        <v>3441</v>
      </c>
      <c r="P191" s="2954" t="s">
        <v>3289</v>
      </c>
      <c r="Q191" s="2954" t="s">
        <v>3771</v>
      </c>
      <c r="R191" s="2954" t="s">
        <v>3291</v>
      </c>
      <c r="S191" s="2954">
        <v>1132292</v>
      </c>
      <c r="T191" s="2954" t="s">
        <v>3233</v>
      </c>
      <c r="U191" s="2954" t="s">
        <v>3299</v>
      </c>
      <c r="V191" s="2956">
        <v>44499</v>
      </c>
      <c r="W191" s="2954" t="s">
        <v>3051</v>
      </c>
      <c r="X191" s="2954" t="s">
        <v>3046</v>
      </c>
      <c r="Y191" s="2954" t="s">
        <v>3283</v>
      </c>
      <c r="Z191" s="2957">
        <v>43374.417256944398</v>
      </c>
      <c r="AA191" s="2954" t="s">
        <v>3772</v>
      </c>
      <c r="AB191" s="2954" t="s">
        <v>3300</v>
      </c>
      <c r="AC191" s="2954" t="s">
        <v>3544</v>
      </c>
      <c r="AD191" s="2954" t="s">
        <v>3283</v>
      </c>
      <c r="AE191" s="2954" t="s">
        <v>3051</v>
      </c>
      <c r="AF191" s="2954" t="s">
        <v>3283</v>
      </c>
    </row>
    <row r="192" spans="1:32" ht="67.5">
      <c r="A192" s="2954">
        <v>6637</v>
      </c>
      <c r="B192" s="2954" t="s">
        <v>3281</v>
      </c>
      <c r="C192" s="2954" t="s">
        <v>3766</v>
      </c>
      <c r="D192" s="2954" t="s">
        <v>3283</v>
      </c>
      <c r="E192" s="2954" t="s">
        <v>3784</v>
      </c>
      <c r="F192" s="2954" t="s">
        <v>3785</v>
      </c>
      <c r="G192" s="2954" t="s">
        <v>3786</v>
      </c>
      <c r="H192" s="2955">
        <v>1050561</v>
      </c>
      <c r="I192" s="2955">
        <v>11300</v>
      </c>
      <c r="J192" s="2955">
        <v>14628</v>
      </c>
      <c r="K192" s="2959">
        <v>92.97</v>
      </c>
      <c r="L192" s="2955">
        <v>71.819999999999993</v>
      </c>
      <c r="M192" s="2954" t="s">
        <v>3233</v>
      </c>
      <c r="N192" s="2954" t="s">
        <v>3779</v>
      </c>
      <c r="O192" s="2954" t="s">
        <v>3770</v>
      </c>
      <c r="P192" s="2954" t="s">
        <v>3289</v>
      </c>
      <c r="Q192" s="2954" t="s">
        <v>3771</v>
      </c>
      <c r="R192" s="2954" t="s">
        <v>3291</v>
      </c>
      <c r="S192" s="2954">
        <v>1050561</v>
      </c>
      <c r="T192" s="2954" t="s">
        <v>3233</v>
      </c>
      <c r="U192" s="2954" t="s">
        <v>3299</v>
      </c>
      <c r="V192" s="2956">
        <v>44499</v>
      </c>
      <c r="W192" s="2954" t="s">
        <v>3051</v>
      </c>
      <c r="X192" s="2954" t="s">
        <v>3046</v>
      </c>
      <c r="Y192" s="2954" t="s">
        <v>3283</v>
      </c>
      <c r="Z192" s="2957">
        <v>43374.417256944398</v>
      </c>
      <c r="AA192" s="2954" t="s">
        <v>3772</v>
      </c>
      <c r="AB192" s="2954" t="s">
        <v>3300</v>
      </c>
      <c r="AC192" s="2954" t="s">
        <v>3544</v>
      </c>
      <c r="AD192" s="2954" t="s">
        <v>3283</v>
      </c>
      <c r="AE192" s="2954" t="s">
        <v>3051</v>
      </c>
      <c r="AF192" s="2954" t="s">
        <v>3283</v>
      </c>
    </row>
    <row r="193" spans="1:32" ht="67.5">
      <c r="A193" s="2954">
        <v>6638</v>
      </c>
      <c r="B193" s="2954" t="s">
        <v>3281</v>
      </c>
      <c r="C193" s="2954" t="s">
        <v>3766</v>
      </c>
      <c r="D193" s="2954" t="s">
        <v>3283</v>
      </c>
      <c r="E193" s="2954" t="s">
        <v>3311</v>
      </c>
      <c r="F193" s="2954" t="s">
        <v>3787</v>
      </c>
      <c r="G193" s="2954" t="s">
        <v>3788</v>
      </c>
      <c r="H193" s="2955">
        <v>1039164</v>
      </c>
      <c r="I193" s="2955">
        <v>11120</v>
      </c>
      <c r="J193" s="2955">
        <v>14395</v>
      </c>
      <c r="K193" s="2959">
        <v>93.45</v>
      </c>
      <c r="L193" s="2955">
        <v>72.19</v>
      </c>
      <c r="M193" s="2954" t="s">
        <v>3233</v>
      </c>
      <c r="N193" s="2954" t="s">
        <v>3769</v>
      </c>
      <c r="O193" s="2954" t="s">
        <v>3770</v>
      </c>
      <c r="P193" s="2954" t="s">
        <v>3289</v>
      </c>
      <c r="Q193" s="2954" t="s">
        <v>3771</v>
      </c>
      <c r="R193" s="2954" t="s">
        <v>3291</v>
      </c>
      <c r="S193" s="2954">
        <v>1039164</v>
      </c>
      <c r="T193" s="2954" t="s">
        <v>3233</v>
      </c>
      <c r="U193" s="2954" t="s">
        <v>3299</v>
      </c>
      <c r="V193" s="2956">
        <v>44499</v>
      </c>
      <c r="W193" s="2954" t="s">
        <v>3051</v>
      </c>
      <c r="X193" s="2954" t="s">
        <v>3046</v>
      </c>
      <c r="Y193" s="2954" t="s">
        <v>3283</v>
      </c>
      <c r="Z193" s="2957">
        <v>43374.417256944398</v>
      </c>
      <c r="AA193" s="2954" t="s">
        <v>3772</v>
      </c>
      <c r="AB193" s="2954" t="s">
        <v>3300</v>
      </c>
      <c r="AC193" s="2954" t="s">
        <v>3544</v>
      </c>
      <c r="AD193" s="2954" t="s">
        <v>3283</v>
      </c>
      <c r="AE193" s="2954" t="s">
        <v>3051</v>
      </c>
      <c r="AF193" s="2954" t="s">
        <v>3283</v>
      </c>
    </row>
    <row r="194" spans="1:32" ht="67.5">
      <c r="A194" s="2954">
        <v>6639</v>
      </c>
      <c r="B194" s="2954" t="s">
        <v>3281</v>
      </c>
      <c r="C194" s="2954" t="s">
        <v>3766</v>
      </c>
      <c r="D194" s="2954" t="s">
        <v>3283</v>
      </c>
      <c r="E194" s="2954" t="s">
        <v>3314</v>
      </c>
      <c r="F194" s="2954" t="s">
        <v>3789</v>
      </c>
      <c r="G194" s="2954" t="s">
        <v>3790</v>
      </c>
      <c r="H194" s="2955">
        <v>1134428</v>
      </c>
      <c r="I194" s="2955">
        <v>10620</v>
      </c>
      <c r="J194" s="2955">
        <v>13747</v>
      </c>
      <c r="K194" s="2959">
        <v>106.82</v>
      </c>
      <c r="L194" s="2955">
        <v>82.52</v>
      </c>
      <c r="M194" s="2954" t="s">
        <v>3233</v>
      </c>
      <c r="N194" s="2954" t="s">
        <v>3681</v>
      </c>
      <c r="O194" s="2954" t="s">
        <v>3441</v>
      </c>
      <c r="P194" s="2954" t="s">
        <v>3289</v>
      </c>
      <c r="Q194" s="2954" t="s">
        <v>3771</v>
      </c>
      <c r="R194" s="2954" t="s">
        <v>3291</v>
      </c>
      <c r="S194" s="2954">
        <v>1134428</v>
      </c>
      <c r="T194" s="2954" t="s">
        <v>3233</v>
      </c>
      <c r="U194" s="2954" t="s">
        <v>3299</v>
      </c>
      <c r="V194" s="2956">
        <v>44499</v>
      </c>
      <c r="W194" s="2954" t="s">
        <v>3051</v>
      </c>
      <c r="X194" s="2954" t="s">
        <v>3046</v>
      </c>
      <c r="Y194" s="2954" t="s">
        <v>3283</v>
      </c>
      <c r="Z194" s="2957">
        <v>43374.417256944398</v>
      </c>
      <c r="AA194" s="2954" t="s">
        <v>3772</v>
      </c>
      <c r="AB194" s="2954" t="s">
        <v>3300</v>
      </c>
      <c r="AC194" s="2954" t="s">
        <v>3544</v>
      </c>
      <c r="AD194" s="2954" t="s">
        <v>3283</v>
      </c>
      <c r="AE194" s="2954" t="s">
        <v>3051</v>
      </c>
      <c r="AF194" s="2954" t="s">
        <v>3283</v>
      </c>
    </row>
    <row r="195" spans="1:32" ht="67.5">
      <c r="A195" s="2954">
        <v>6640</v>
      </c>
      <c r="B195" s="2954" t="s">
        <v>3281</v>
      </c>
      <c r="C195" s="2954" t="s">
        <v>3766</v>
      </c>
      <c r="D195" s="2954" t="s">
        <v>3283</v>
      </c>
      <c r="E195" s="2954" t="s">
        <v>3554</v>
      </c>
      <c r="F195" s="2954" t="s">
        <v>3791</v>
      </c>
      <c r="G195" s="2954" t="s">
        <v>3792</v>
      </c>
      <c r="H195" s="2955">
        <v>1134428</v>
      </c>
      <c r="I195" s="2955">
        <v>10620</v>
      </c>
      <c r="J195" s="2955">
        <v>13747</v>
      </c>
      <c r="K195" s="2959">
        <v>106.82</v>
      </c>
      <c r="L195" s="2955">
        <v>82.52</v>
      </c>
      <c r="M195" s="2954" t="s">
        <v>3233</v>
      </c>
      <c r="N195" s="2954" t="s">
        <v>3686</v>
      </c>
      <c r="O195" s="2954" t="s">
        <v>3441</v>
      </c>
      <c r="P195" s="2954" t="s">
        <v>3289</v>
      </c>
      <c r="Q195" s="2954" t="s">
        <v>3771</v>
      </c>
      <c r="R195" s="2954" t="s">
        <v>3291</v>
      </c>
      <c r="S195" s="2954">
        <v>1134428</v>
      </c>
      <c r="T195" s="2954" t="s">
        <v>3233</v>
      </c>
      <c r="U195" s="2954" t="s">
        <v>3299</v>
      </c>
      <c r="V195" s="2956">
        <v>44499</v>
      </c>
      <c r="W195" s="2954" t="s">
        <v>3051</v>
      </c>
      <c r="X195" s="2954" t="s">
        <v>3046</v>
      </c>
      <c r="Y195" s="2954" t="s">
        <v>3283</v>
      </c>
      <c r="Z195" s="2957">
        <v>43374.417256944398</v>
      </c>
      <c r="AA195" s="2954" t="s">
        <v>3772</v>
      </c>
      <c r="AB195" s="2954" t="s">
        <v>3300</v>
      </c>
      <c r="AC195" s="2954" t="s">
        <v>3544</v>
      </c>
      <c r="AD195" s="2954" t="s">
        <v>3283</v>
      </c>
      <c r="AE195" s="2954" t="s">
        <v>3051</v>
      </c>
      <c r="AF195" s="2954" t="s">
        <v>3283</v>
      </c>
    </row>
    <row r="196" spans="1:32" ht="67.5">
      <c r="A196" s="2954">
        <v>6641</v>
      </c>
      <c r="B196" s="2954" t="s">
        <v>3281</v>
      </c>
      <c r="C196" s="2954" t="s">
        <v>3766</v>
      </c>
      <c r="D196" s="2954" t="s">
        <v>3283</v>
      </c>
      <c r="E196" s="2954" t="s">
        <v>3557</v>
      </c>
      <c r="F196" s="2954" t="s">
        <v>3793</v>
      </c>
      <c r="G196" s="2954" t="s">
        <v>3794</v>
      </c>
      <c r="H196" s="2955">
        <v>1052420</v>
      </c>
      <c r="I196" s="2955">
        <v>11320</v>
      </c>
      <c r="J196" s="2955">
        <v>14654</v>
      </c>
      <c r="K196" s="2959">
        <v>92.97</v>
      </c>
      <c r="L196" s="2955">
        <v>71.819999999999993</v>
      </c>
      <c r="M196" s="2954" t="s">
        <v>3233</v>
      </c>
      <c r="N196" s="2954" t="s">
        <v>3779</v>
      </c>
      <c r="O196" s="2954" t="s">
        <v>3770</v>
      </c>
      <c r="P196" s="2954" t="s">
        <v>3289</v>
      </c>
      <c r="Q196" s="2954" t="s">
        <v>3771</v>
      </c>
      <c r="R196" s="2954" t="s">
        <v>3291</v>
      </c>
      <c r="S196" s="2954">
        <v>1052420</v>
      </c>
      <c r="T196" s="2954" t="s">
        <v>3233</v>
      </c>
      <c r="U196" s="2954" t="s">
        <v>3299</v>
      </c>
      <c r="V196" s="2956">
        <v>44499</v>
      </c>
      <c r="W196" s="2954" t="s">
        <v>3051</v>
      </c>
      <c r="X196" s="2954" t="s">
        <v>3046</v>
      </c>
      <c r="Y196" s="2954" t="s">
        <v>3283</v>
      </c>
      <c r="Z196" s="2957">
        <v>43374.417256944398</v>
      </c>
      <c r="AA196" s="2954" t="s">
        <v>3772</v>
      </c>
      <c r="AB196" s="2954" t="s">
        <v>3300</v>
      </c>
      <c r="AC196" s="2954" t="s">
        <v>3544</v>
      </c>
      <c r="AD196" s="2954" t="s">
        <v>3283</v>
      </c>
      <c r="AE196" s="2954" t="s">
        <v>3051</v>
      </c>
      <c r="AF196" s="2954" t="s">
        <v>3283</v>
      </c>
    </row>
    <row r="197" spans="1:32" ht="67.5">
      <c r="A197" s="2954">
        <v>6644</v>
      </c>
      <c r="B197" s="2954" t="s">
        <v>3281</v>
      </c>
      <c r="C197" s="2954" t="s">
        <v>3766</v>
      </c>
      <c r="D197" s="2954" t="s">
        <v>3283</v>
      </c>
      <c r="E197" s="2954" t="s">
        <v>3562</v>
      </c>
      <c r="F197" s="2954" t="s">
        <v>3795</v>
      </c>
      <c r="G197" s="2954" t="s">
        <v>3796</v>
      </c>
      <c r="H197" s="2955">
        <v>1136565</v>
      </c>
      <c r="I197" s="2955">
        <v>10640</v>
      </c>
      <c r="J197" s="2955">
        <v>13773</v>
      </c>
      <c r="K197" s="2959">
        <v>106.82</v>
      </c>
      <c r="L197" s="2955">
        <v>82.52</v>
      </c>
      <c r="M197" s="2954" t="s">
        <v>3233</v>
      </c>
      <c r="N197" s="2954" t="s">
        <v>3686</v>
      </c>
      <c r="O197" s="2954" t="s">
        <v>3441</v>
      </c>
      <c r="P197" s="2954" t="s">
        <v>3289</v>
      </c>
      <c r="Q197" s="2954" t="s">
        <v>3771</v>
      </c>
      <c r="R197" s="2954" t="s">
        <v>3291</v>
      </c>
      <c r="S197" s="2954">
        <v>1136565</v>
      </c>
      <c r="T197" s="2954" t="s">
        <v>3233</v>
      </c>
      <c r="U197" s="2954" t="s">
        <v>3299</v>
      </c>
      <c r="V197" s="2956">
        <v>44499</v>
      </c>
      <c r="W197" s="2954" t="s">
        <v>3051</v>
      </c>
      <c r="X197" s="2954" t="s">
        <v>3046</v>
      </c>
      <c r="Y197" s="2954" t="s">
        <v>3283</v>
      </c>
      <c r="Z197" s="2957">
        <v>43374.417256944398</v>
      </c>
      <c r="AA197" s="2954" t="s">
        <v>3772</v>
      </c>
      <c r="AB197" s="2954" t="s">
        <v>3300</v>
      </c>
      <c r="AC197" s="2954" t="s">
        <v>3544</v>
      </c>
      <c r="AD197" s="2954" t="s">
        <v>3283</v>
      </c>
      <c r="AE197" s="2954" t="s">
        <v>3051</v>
      </c>
      <c r="AF197" s="2954" t="s">
        <v>3283</v>
      </c>
    </row>
    <row r="198" spans="1:32" ht="67.5">
      <c r="A198" s="2954">
        <v>6645</v>
      </c>
      <c r="B198" s="2954" t="s">
        <v>3281</v>
      </c>
      <c r="C198" s="2954" t="s">
        <v>3766</v>
      </c>
      <c r="D198" s="2954" t="s">
        <v>3283</v>
      </c>
      <c r="E198" s="2954" t="s">
        <v>3797</v>
      </c>
      <c r="F198" s="2954" t="s">
        <v>3798</v>
      </c>
      <c r="G198" s="2954" t="s">
        <v>3799</v>
      </c>
      <c r="H198" s="2955">
        <v>1054280</v>
      </c>
      <c r="I198" s="2955">
        <v>11340</v>
      </c>
      <c r="J198" s="2955">
        <v>14679</v>
      </c>
      <c r="K198" s="2959">
        <v>92.97</v>
      </c>
      <c r="L198" s="2955">
        <v>71.819999999999993</v>
      </c>
      <c r="M198" s="2954" t="s">
        <v>3233</v>
      </c>
      <c r="N198" s="2954" t="s">
        <v>3779</v>
      </c>
      <c r="O198" s="2954" t="s">
        <v>3770</v>
      </c>
      <c r="P198" s="2954" t="s">
        <v>3289</v>
      </c>
      <c r="Q198" s="2954" t="s">
        <v>3771</v>
      </c>
      <c r="R198" s="2954" t="s">
        <v>3291</v>
      </c>
      <c r="S198" s="2954">
        <v>1054280</v>
      </c>
      <c r="T198" s="2954" t="s">
        <v>3233</v>
      </c>
      <c r="U198" s="2954" t="s">
        <v>3299</v>
      </c>
      <c r="V198" s="2956">
        <v>44499</v>
      </c>
      <c r="W198" s="2954" t="s">
        <v>3051</v>
      </c>
      <c r="X198" s="2954" t="s">
        <v>3046</v>
      </c>
      <c r="Y198" s="2954" t="s">
        <v>3283</v>
      </c>
      <c r="Z198" s="2957">
        <v>43374.417256944398</v>
      </c>
      <c r="AA198" s="2954" t="s">
        <v>3772</v>
      </c>
      <c r="AB198" s="2954" t="s">
        <v>3300</v>
      </c>
      <c r="AC198" s="2954" t="s">
        <v>3544</v>
      </c>
      <c r="AD198" s="2954" t="s">
        <v>3283</v>
      </c>
      <c r="AE198" s="2954" t="s">
        <v>3051</v>
      </c>
      <c r="AF198" s="2954" t="s">
        <v>3283</v>
      </c>
    </row>
    <row r="199" spans="1:32" ht="67.5">
      <c r="A199" s="2954">
        <v>6647</v>
      </c>
      <c r="B199" s="2954" t="s">
        <v>3281</v>
      </c>
      <c r="C199" s="2954" t="s">
        <v>3766</v>
      </c>
      <c r="D199" s="2954" t="s">
        <v>3283</v>
      </c>
      <c r="E199" s="2954" t="s">
        <v>3323</v>
      </c>
      <c r="F199" s="2954" t="s">
        <v>3800</v>
      </c>
      <c r="G199" s="2954" t="s">
        <v>3801</v>
      </c>
      <c r="H199" s="2955">
        <v>1138701</v>
      </c>
      <c r="I199" s="2955">
        <v>10660</v>
      </c>
      <c r="J199" s="2955">
        <v>13799</v>
      </c>
      <c r="K199" s="2959">
        <v>106.82</v>
      </c>
      <c r="L199" s="2955">
        <v>82.52</v>
      </c>
      <c r="M199" s="2954" t="s">
        <v>3233</v>
      </c>
      <c r="N199" s="2954" t="s">
        <v>3681</v>
      </c>
      <c r="O199" s="2954" t="s">
        <v>3441</v>
      </c>
      <c r="P199" s="2954" t="s">
        <v>3289</v>
      </c>
      <c r="Q199" s="2954" t="s">
        <v>3771</v>
      </c>
      <c r="R199" s="2954" t="s">
        <v>3291</v>
      </c>
      <c r="S199" s="2954">
        <v>1138701</v>
      </c>
      <c r="T199" s="2954" t="s">
        <v>3233</v>
      </c>
      <c r="U199" s="2954" t="s">
        <v>3299</v>
      </c>
      <c r="V199" s="2956">
        <v>44499</v>
      </c>
      <c r="W199" s="2954" t="s">
        <v>3051</v>
      </c>
      <c r="X199" s="2954" t="s">
        <v>3046</v>
      </c>
      <c r="Y199" s="2954" t="s">
        <v>3283</v>
      </c>
      <c r="Z199" s="2957">
        <v>43374.417256944398</v>
      </c>
      <c r="AA199" s="2954" t="s">
        <v>3772</v>
      </c>
      <c r="AB199" s="2954" t="s">
        <v>3300</v>
      </c>
      <c r="AC199" s="2954" t="s">
        <v>3544</v>
      </c>
      <c r="AD199" s="2954" t="s">
        <v>3283</v>
      </c>
      <c r="AE199" s="2954" t="s">
        <v>3051</v>
      </c>
      <c r="AF199" s="2954" t="s">
        <v>3283</v>
      </c>
    </row>
    <row r="200" spans="1:32" ht="67.5">
      <c r="A200" s="2954">
        <v>6651</v>
      </c>
      <c r="B200" s="2954" t="s">
        <v>3281</v>
      </c>
      <c r="C200" s="2954" t="s">
        <v>3766</v>
      </c>
      <c r="D200" s="2954" t="s">
        <v>3283</v>
      </c>
      <c r="E200" s="2954" t="s">
        <v>3401</v>
      </c>
      <c r="F200" s="2954" t="s">
        <v>3802</v>
      </c>
      <c r="G200" s="2954" t="s">
        <v>3803</v>
      </c>
      <c r="H200" s="2955">
        <v>1140838</v>
      </c>
      <c r="I200" s="2955">
        <v>10680</v>
      </c>
      <c r="J200" s="2955">
        <v>13825</v>
      </c>
      <c r="K200" s="2959">
        <v>106.82</v>
      </c>
      <c r="L200" s="2955">
        <v>82.52</v>
      </c>
      <c r="M200" s="2954" t="s">
        <v>3233</v>
      </c>
      <c r="N200" s="2954" t="s">
        <v>3681</v>
      </c>
      <c r="O200" s="2954" t="s">
        <v>3441</v>
      </c>
      <c r="P200" s="2954" t="s">
        <v>3289</v>
      </c>
      <c r="Q200" s="2954" t="s">
        <v>3771</v>
      </c>
      <c r="R200" s="2954" t="s">
        <v>3291</v>
      </c>
      <c r="S200" s="2954">
        <v>1140838</v>
      </c>
      <c r="T200" s="2954" t="s">
        <v>3233</v>
      </c>
      <c r="U200" s="2954" t="s">
        <v>3299</v>
      </c>
      <c r="V200" s="2956">
        <v>44499</v>
      </c>
      <c r="W200" s="2954" t="s">
        <v>3051</v>
      </c>
      <c r="X200" s="2954" t="s">
        <v>3046</v>
      </c>
      <c r="Y200" s="2954" t="s">
        <v>3283</v>
      </c>
      <c r="Z200" s="2957">
        <v>43374.417256944398</v>
      </c>
      <c r="AA200" s="2954" t="s">
        <v>3772</v>
      </c>
      <c r="AB200" s="2954" t="s">
        <v>3300</v>
      </c>
      <c r="AC200" s="2954" t="s">
        <v>3544</v>
      </c>
      <c r="AD200" s="2954" t="s">
        <v>3283</v>
      </c>
      <c r="AE200" s="2954" t="s">
        <v>3051</v>
      </c>
      <c r="AF200" s="2954" t="s">
        <v>3283</v>
      </c>
    </row>
    <row r="201" spans="1:32" ht="67.5">
      <c r="A201" s="2954">
        <v>6655</v>
      </c>
      <c r="B201" s="2954" t="s">
        <v>3281</v>
      </c>
      <c r="C201" s="2954" t="s">
        <v>3766</v>
      </c>
      <c r="D201" s="2954" t="s">
        <v>3283</v>
      </c>
      <c r="E201" s="2954" t="s">
        <v>3332</v>
      </c>
      <c r="F201" s="2954" t="s">
        <v>3804</v>
      </c>
      <c r="G201" s="2954" t="s">
        <v>3805</v>
      </c>
      <c r="H201" s="2955">
        <v>1142974</v>
      </c>
      <c r="I201" s="2955">
        <v>10700</v>
      </c>
      <c r="J201" s="2955">
        <v>13851</v>
      </c>
      <c r="K201" s="2959">
        <v>106.82</v>
      </c>
      <c r="L201" s="2955">
        <v>82.52</v>
      </c>
      <c r="M201" s="2954" t="s">
        <v>3233</v>
      </c>
      <c r="N201" s="2954" t="s">
        <v>3681</v>
      </c>
      <c r="O201" s="2954" t="s">
        <v>3441</v>
      </c>
      <c r="P201" s="2954" t="s">
        <v>3289</v>
      </c>
      <c r="Q201" s="2954" t="s">
        <v>3771</v>
      </c>
      <c r="R201" s="2954" t="s">
        <v>3291</v>
      </c>
      <c r="S201" s="2954">
        <v>1142974</v>
      </c>
      <c r="T201" s="2954" t="s">
        <v>3233</v>
      </c>
      <c r="U201" s="2954" t="s">
        <v>3299</v>
      </c>
      <c r="V201" s="2956">
        <v>44499</v>
      </c>
      <c r="W201" s="2954" t="s">
        <v>3051</v>
      </c>
      <c r="X201" s="2954" t="s">
        <v>3046</v>
      </c>
      <c r="Y201" s="2954" t="s">
        <v>3283</v>
      </c>
      <c r="Z201" s="2957">
        <v>43374.417256944398</v>
      </c>
      <c r="AA201" s="2954" t="s">
        <v>3772</v>
      </c>
      <c r="AB201" s="2954" t="s">
        <v>3300</v>
      </c>
      <c r="AC201" s="2954" t="s">
        <v>3544</v>
      </c>
      <c r="AD201" s="2954" t="s">
        <v>3283</v>
      </c>
      <c r="AE201" s="2954" t="s">
        <v>3051</v>
      </c>
      <c r="AF201" s="2954" t="s">
        <v>3283</v>
      </c>
    </row>
    <row r="202" spans="1:32" ht="67.5">
      <c r="A202" s="2954">
        <v>6656</v>
      </c>
      <c r="B202" s="2954" t="s">
        <v>3281</v>
      </c>
      <c r="C202" s="2954" t="s">
        <v>3766</v>
      </c>
      <c r="D202" s="2954" t="s">
        <v>3283</v>
      </c>
      <c r="E202" s="2954" t="s">
        <v>3705</v>
      </c>
      <c r="F202" s="2954" t="s">
        <v>3806</v>
      </c>
      <c r="G202" s="2954" t="s">
        <v>3807</v>
      </c>
      <c r="H202" s="2955">
        <v>1142974</v>
      </c>
      <c r="I202" s="2955">
        <v>10700</v>
      </c>
      <c r="J202" s="2955">
        <v>13851</v>
      </c>
      <c r="K202" s="2959">
        <v>106.82</v>
      </c>
      <c r="L202" s="2955">
        <v>82.52</v>
      </c>
      <c r="M202" s="2954" t="s">
        <v>3233</v>
      </c>
      <c r="N202" s="2954" t="s">
        <v>3686</v>
      </c>
      <c r="O202" s="2954" t="s">
        <v>3441</v>
      </c>
      <c r="P202" s="2954" t="s">
        <v>3289</v>
      </c>
      <c r="Q202" s="2954" t="s">
        <v>3771</v>
      </c>
      <c r="R202" s="2954" t="s">
        <v>3291</v>
      </c>
      <c r="S202" s="2954">
        <v>1142974</v>
      </c>
      <c r="T202" s="2954" t="s">
        <v>3233</v>
      </c>
      <c r="U202" s="2954" t="s">
        <v>3299</v>
      </c>
      <c r="V202" s="2956">
        <v>44499</v>
      </c>
      <c r="W202" s="2954" t="s">
        <v>3051</v>
      </c>
      <c r="X202" s="2954" t="s">
        <v>3046</v>
      </c>
      <c r="Y202" s="2954" t="s">
        <v>3283</v>
      </c>
      <c r="Z202" s="2957">
        <v>43374.417256944398</v>
      </c>
      <c r="AA202" s="2954" t="s">
        <v>3772</v>
      </c>
      <c r="AB202" s="2954" t="s">
        <v>3300</v>
      </c>
      <c r="AC202" s="2954" t="s">
        <v>3544</v>
      </c>
      <c r="AD202" s="2954" t="s">
        <v>3283</v>
      </c>
      <c r="AE202" s="2954" t="s">
        <v>3051</v>
      </c>
      <c r="AF202" s="2954" t="s">
        <v>3283</v>
      </c>
    </row>
    <row r="203" spans="1:32" ht="67.5">
      <c r="A203" s="2954">
        <v>6663</v>
      </c>
      <c r="B203" s="2954" t="s">
        <v>3281</v>
      </c>
      <c r="C203" s="2954" t="s">
        <v>3766</v>
      </c>
      <c r="D203" s="2954" t="s">
        <v>3283</v>
      </c>
      <c r="E203" s="2954" t="s">
        <v>3341</v>
      </c>
      <c r="F203" s="2954" t="s">
        <v>3808</v>
      </c>
      <c r="G203" s="2954" t="s">
        <v>3809</v>
      </c>
      <c r="H203" s="2955">
        <v>1147247</v>
      </c>
      <c r="I203" s="2955">
        <v>10740</v>
      </c>
      <c r="J203" s="2955">
        <v>13903</v>
      </c>
      <c r="K203" s="2959">
        <v>106.82</v>
      </c>
      <c r="L203" s="2955">
        <v>82.52</v>
      </c>
      <c r="M203" s="2954" t="s">
        <v>3233</v>
      </c>
      <c r="N203" s="2954" t="s">
        <v>3681</v>
      </c>
      <c r="O203" s="2954" t="s">
        <v>3441</v>
      </c>
      <c r="P203" s="2954" t="s">
        <v>3289</v>
      </c>
      <c r="Q203" s="2954" t="s">
        <v>3771</v>
      </c>
      <c r="R203" s="2954" t="s">
        <v>3291</v>
      </c>
      <c r="S203" s="2954">
        <v>1147247</v>
      </c>
      <c r="T203" s="2954" t="s">
        <v>3233</v>
      </c>
      <c r="U203" s="2954" t="s">
        <v>3299</v>
      </c>
      <c r="V203" s="2956">
        <v>44499</v>
      </c>
      <c r="W203" s="2954" t="s">
        <v>3051</v>
      </c>
      <c r="X203" s="2954" t="s">
        <v>3046</v>
      </c>
      <c r="Y203" s="2954" t="s">
        <v>3283</v>
      </c>
      <c r="Z203" s="2957">
        <v>43374.417256944398</v>
      </c>
      <c r="AA203" s="2954" t="s">
        <v>3772</v>
      </c>
      <c r="AB203" s="2954" t="s">
        <v>3300</v>
      </c>
      <c r="AC203" s="2954" t="s">
        <v>3544</v>
      </c>
      <c r="AD203" s="2954" t="s">
        <v>3283</v>
      </c>
      <c r="AE203" s="2954" t="s">
        <v>3051</v>
      </c>
      <c r="AF203" s="2954" t="s">
        <v>3283</v>
      </c>
    </row>
    <row r="204" spans="1:32" ht="67.5">
      <c r="A204" s="2954">
        <v>6667</v>
      </c>
      <c r="B204" s="2954" t="s">
        <v>3281</v>
      </c>
      <c r="C204" s="2954" t="s">
        <v>3766</v>
      </c>
      <c r="D204" s="2954" t="s">
        <v>3283</v>
      </c>
      <c r="E204" s="2954" t="s">
        <v>3347</v>
      </c>
      <c r="F204" s="2954" t="s">
        <v>3810</v>
      </c>
      <c r="G204" s="2954" t="s">
        <v>3811</v>
      </c>
      <c r="H204" s="2955">
        <v>1149383</v>
      </c>
      <c r="I204" s="2955">
        <v>10760</v>
      </c>
      <c r="J204" s="2955">
        <v>13929</v>
      </c>
      <c r="K204" s="2959">
        <v>106.82</v>
      </c>
      <c r="L204" s="2955">
        <v>82.52</v>
      </c>
      <c r="M204" s="2954" t="s">
        <v>3233</v>
      </c>
      <c r="N204" s="2954" t="s">
        <v>3681</v>
      </c>
      <c r="O204" s="2954" t="s">
        <v>3441</v>
      </c>
      <c r="P204" s="2954" t="s">
        <v>3289</v>
      </c>
      <c r="Q204" s="2954" t="s">
        <v>3771</v>
      </c>
      <c r="R204" s="2954" t="s">
        <v>3291</v>
      </c>
      <c r="S204" s="2954">
        <v>1149383</v>
      </c>
      <c r="T204" s="2954" t="s">
        <v>3233</v>
      </c>
      <c r="U204" s="2954" t="s">
        <v>3299</v>
      </c>
      <c r="V204" s="2956">
        <v>44499</v>
      </c>
      <c r="W204" s="2954" t="s">
        <v>3051</v>
      </c>
      <c r="X204" s="2954" t="s">
        <v>3046</v>
      </c>
      <c r="Y204" s="2954" t="s">
        <v>3283</v>
      </c>
      <c r="Z204" s="2957">
        <v>43374.417256944398</v>
      </c>
      <c r="AA204" s="2954" t="s">
        <v>3772</v>
      </c>
      <c r="AB204" s="2954" t="s">
        <v>3300</v>
      </c>
      <c r="AC204" s="2954" t="s">
        <v>3544</v>
      </c>
      <c r="AD204" s="2954" t="s">
        <v>3283</v>
      </c>
      <c r="AE204" s="2954" t="s">
        <v>3051</v>
      </c>
      <c r="AF204" s="2954" t="s">
        <v>3283</v>
      </c>
    </row>
    <row r="205" spans="1:32" ht="67.5">
      <c r="A205" s="2954">
        <v>6677</v>
      </c>
      <c r="B205" s="2954" t="s">
        <v>3281</v>
      </c>
      <c r="C205" s="2954" t="s">
        <v>3766</v>
      </c>
      <c r="D205" s="2954" t="s">
        <v>3283</v>
      </c>
      <c r="E205" s="2954" t="s">
        <v>3812</v>
      </c>
      <c r="F205" s="2954" t="s">
        <v>3813</v>
      </c>
      <c r="G205" s="2954" t="s">
        <v>3814</v>
      </c>
      <c r="H205" s="2955">
        <v>1069155</v>
      </c>
      <c r="I205" s="2955">
        <v>11500</v>
      </c>
      <c r="J205" s="2955">
        <v>14887</v>
      </c>
      <c r="K205" s="2959">
        <v>92.97</v>
      </c>
      <c r="L205" s="2955">
        <v>71.819999999999993</v>
      </c>
      <c r="M205" s="2954" t="s">
        <v>3233</v>
      </c>
      <c r="N205" s="2954" t="s">
        <v>3779</v>
      </c>
      <c r="O205" s="2954" t="s">
        <v>3770</v>
      </c>
      <c r="P205" s="2954" t="s">
        <v>3289</v>
      </c>
      <c r="Q205" s="2954" t="s">
        <v>3771</v>
      </c>
      <c r="R205" s="2954" t="s">
        <v>3291</v>
      </c>
      <c r="S205" s="2954">
        <v>1069155</v>
      </c>
      <c r="T205" s="2954" t="s">
        <v>3233</v>
      </c>
      <c r="U205" s="2954" t="s">
        <v>3299</v>
      </c>
      <c r="V205" s="2956">
        <v>44499</v>
      </c>
      <c r="W205" s="2954" t="s">
        <v>3051</v>
      </c>
      <c r="X205" s="2954" t="s">
        <v>3046</v>
      </c>
      <c r="Y205" s="2954" t="s">
        <v>3283</v>
      </c>
      <c r="Z205" s="2957">
        <v>43374.417256944398</v>
      </c>
      <c r="AA205" s="2954" t="s">
        <v>3772</v>
      </c>
      <c r="AB205" s="2954" t="s">
        <v>3300</v>
      </c>
      <c r="AC205" s="2954" t="s">
        <v>3544</v>
      </c>
      <c r="AD205" s="2954" t="s">
        <v>3283</v>
      </c>
      <c r="AE205" s="2954" t="s">
        <v>3051</v>
      </c>
      <c r="AF205" s="2954" t="s">
        <v>3283</v>
      </c>
    </row>
    <row r="206" spans="1:32" ht="67.5">
      <c r="A206" s="2954">
        <v>6678</v>
      </c>
      <c r="B206" s="2954" t="s">
        <v>3281</v>
      </c>
      <c r="C206" s="2954" t="s">
        <v>3766</v>
      </c>
      <c r="D206" s="2954" t="s">
        <v>3283</v>
      </c>
      <c r="E206" s="2954" t="s">
        <v>3362</v>
      </c>
      <c r="F206" s="2954" t="s">
        <v>3815</v>
      </c>
      <c r="G206" s="2954" t="s">
        <v>3816</v>
      </c>
      <c r="H206" s="2955">
        <v>1057854</v>
      </c>
      <c r="I206" s="2955">
        <v>11320</v>
      </c>
      <c r="J206" s="2955">
        <v>14654</v>
      </c>
      <c r="K206" s="2959">
        <v>93.45</v>
      </c>
      <c r="L206" s="2955">
        <v>72.19</v>
      </c>
      <c r="M206" s="2954" t="s">
        <v>3233</v>
      </c>
      <c r="N206" s="2954" t="s">
        <v>3769</v>
      </c>
      <c r="O206" s="2954" t="s">
        <v>3770</v>
      </c>
      <c r="P206" s="2954" t="s">
        <v>3289</v>
      </c>
      <c r="Q206" s="2954" t="s">
        <v>3771</v>
      </c>
      <c r="R206" s="2954" t="s">
        <v>3291</v>
      </c>
      <c r="S206" s="2954">
        <v>1057854</v>
      </c>
      <c r="T206" s="2954" t="s">
        <v>3233</v>
      </c>
      <c r="U206" s="2954" t="s">
        <v>3299</v>
      </c>
      <c r="V206" s="2956">
        <v>44499</v>
      </c>
      <c r="W206" s="2954" t="s">
        <v>3051</v>
      </c>
      <c r="X206" s="2954" t="s">
        <v>3046</v>
      </c>
      <c r="Y206" s="2954" t="s">
        <v>3283</v>
      </c>
      <c r="Z206" s="2957">
        <v>43374.417256944398</v>
      </c>
      <c r="AA206" s="2954" t="s">
        <v>3772</v>
      </c>
      <c r="AB206" s="2954" t="s">
        <v>3300</v>
      </c>
      <c r="AC206" s="2954" t="s">
        <v>3544</v>
      </c>
      <c r="AD206" s="2954" t="s">
        <v>3283</v>
      </c>
      <c r="AE206" s="2954" t="s">
        <v>3051</v>
      </c>
      <c r="AF206" s="2954" t="s">
        <v>3283</v>
      </c>
    </row>
    <row r="207" spans="1:32" ht="67.5">
      <c r="A207" s="2954">
        <v>6679</v>
      </c>
      <c r="B207" s="2954" t="s">
        <v>3281</v>
      </c>
      <c r="C207" s="2954" t="s">
        <v>3766</v>
      </c>
      <c r="D207" s="2954" t="s">
        <v>3283</v>
      </c>
      <c r="E207" s="2954" t="s">
        <v>3365</v>
      </c>
      <c r="F207" s="2954" t="s">
        <v>3817</v>
      </c>
      <c r="G207" s="2954" t="s">
        <v>3818</v>
      </c>
      <c r="H207" s="2955">
        <v>1155792</v>
      </c>
      <c r="I207" s="2955">
        <v>10820</v>
      </c>
      <c r="J207" s="2955">
        <v>14006</v>
      </c>
      <c r="K207" s="2959">
        <v>106.82</v>
      </c>
      <c r="L207" s="2955">
        <v>82.52</v>
      </c>
      <c r="M207" s="2954" t="s">
        <v>3233</v>
      </c>
      <c r="N207" s="2954" t="s">
        <v>3681</v>
      </c>
      <c r="O207" s="2954" t="s">
        <v>3441</v>
      </c>
      <c r="P207" s="2954" t="s">
        <v>3289</v>
      </c>
      <c r="Q207" s="2954" t="s">
        <v>3771</v>
      </c>
      <c r="R207" s="2954" t="s">
        <v>3291</v>
      </c>
      <c r="S207" s="2954">
        <v>1155792</v>
      </c>
      <c r="T207" s="2954" t="s">
        <v>3233</v>
      </c>
      <c r="U207" s="2954" t="s">
        <v>3299</v>
      </c>
      <c r="V207" s="2956">
        <v>44499</v>
      </c>
      <c r="W207" s="2954" t="s">
        <v>3051</v>
      </c>
      <c r="X207" s="2954" t="s">
        <v>3046</v>
      </c>
      <c r="Y207" s="2954" t="s">
        <v>3283</v>
      </c>
      <c r="Z207" s="2957">
        <v>43374.417256944398</v>
      </c>
      <c r="AA207" s="2954" t="s">
        <v>3772</v>
      </c>
      <c r="AB207" s="2954" t="s">
        <v>3300</v>
      </c>
      <c r="AC207" s="2954" t="s">
        <v>3544</v>
      </c>
      <c r="AD207" s="2954" t="s">
        <v>3283</v>
      </c>
      <c r="AE207" s="2954" t="s">
        <v>3051</v>
      </c>
      <c r="AF207" s="2954" t="s">
        <v>3283</v>
      </c>
    </row>
    <row r="208" spans="1:32" ht="67.5">
      <c r="A208" s="2954">
        <v>6680</v>
      </c>
      <c r="B208" s="2954" t="s">
        <v>3281</v>
      </c>
      <c r="C208" s="2954" t="s">
        <v>3766</v>
      </c>
      <c r="D208" s="2954" t="s">
        <v>3283</v>
      </c>
      <c r="E208" s="2954" t="s">
        <v>3595</v>
      </c>
      <c r="F208" s="2954" t="s">
        <v>3819</v>
      </c>
      <c r="G208" s="2954" t="s">
        <v>3820</v>
      </c>
      <c r="H208" s="2955">
        <v>1155792</v>
      </c>
      <c r="I208" s="2955">
        <v>10820</v>
      </c>
      <c r="J208" s="2955">
        <v>14006</v>
      </c>
      <c r="K208" s="2959">
        <v>106.82</v>
      </c>
      <c r="L208" s="2955">
        <v>82.52</v>
      </c>
      <c r="M208" s="2954" t="s">
        <v>3233</v>
      </c>
      <c r="N208" s="2954" t="s">
        <v>3686</v>
      </c>
      <c r="O208" s="2954" t="s">
        <v>3441</v>
      </c>
      <c r="P208" s="2954" t="s">
        <v>3289</v>
      </c>
      <c r="Q208" s="2954" t="s">
        <v>3771</v>
      </c>
      <c r="R208" s="2954" t="s">
        <v>3291</v>
      </c>
      <c r="S208" s="2954">
        <v>1155792</v>
      </c>
      <c r="T208" s="2954" t="s">
        <v>3233</v>
      </c>
      <c r="U208" s="2954" t="s">
        <v>3299</v>
      </c>
      <c r="V208" s="2956">
        <v>44499</v>
      </c>
      <c r="W208" s="2954" t="s">
        <v>3051</v>
      </c>
      <c r="X208" s="2954" t="s">
        <v>3046</v>
      </c>
      <c r="Y208" s="2954" t="s">
        <v>3283</v>
      </c>
      <c r="Z208" s="2957">
        <v>43374.417256944398</v>
      </c>
      <c r="AA208" s="2954" t="s">
        <v>3772</v>
      </c>
      <c r="AB208" s="2954" t="s">
        <v>3300</v>
      </c>
      <c r="AC208" s="2954" t="s">
        <v>3544</v>
      </c>
      <c r="AD208" s="2954" t="s">
        <v>3283</v>
      </c>
      <c r="AE208" s="2954" t="s">
        <v>3051</v>
      </c>
      <c r="AF208" s="2954" t="s">
        <v>3283</v>
      </c>
    </row>
    <row r="209" spans="1:32" ht="67.5">
      <c r="A209" s="2954">
        <v>6681</v>
      </c>
      <c r="B209" s="2954" t="s">
        <v>3281</v>
      </c>
      <c r="C209" s="2954" t="s">
        <v>3766</v>
      </c>
      <c r="D209" s="2954" t="s">
        <v>3283</v>
      </c>
      <c r="E209" s="2954" t="s">
        <v>3821</v>
      </c>
      <c r="F209" s="2954" t="s">
        <v>3822</v>
      </c>
      <c r="G209" s="2954" t="s">
        <v>3823</v>
      </c>
      <c r="H209" s="2955">
        <v>1071014</v>
      </c>
      <c r="I209" s="2955">
        <v>11520</v>
      </c>
      <c r="J209" s="2955">
        <v>14912</v>
      </c>
      <c r="K209" s="2959">
        <v>92.97</v>
      </c>
      <c r="L209" s="2955">
        <v>71.819999999999993</v>
      </c>
      <c r="M209" s="2954" t="s">
        <v>3233</v>
      </c>
      <c r="N209" s="2954" t="s">
        <v>3779</v>
      </c>
      <c r="O209" s="2954" t="s">
        <v>3770</v>
      </c>
      <c r="P209" s="2954" t="s">
        <v>3289</v>
      </c>
      <c r="Q209" s="2954" t="s">
        <v>3771</v>
      </c>
      <c r="R209" s="2954" t="s">
        <v>3291</v>
      </c>
      <c r="S209" s="2954">
        <v>1071014</v>
      </c>
      <c r="T209" s="2954" t="s">
        <v>3233</v>
      </c>
      <c r="U209" s="2954" t="s">
        <v>3299</v>
      </c>
      <c r="V209" s="2956">
        <v>44499</v>
      </c>
      <c r="W209" s="2954" t="s">
        <v>3051</v>
      </c>
      <c r="X209" s="2954" t="s">
        <v>3046</v>
      </c>
      <c r="Y209" s="2954" t="s">
        <v>3283</v>
      </c>
      <c r="Z209" s="2957">
        <v>43374.417256944398</v>
      </c>
      <c r="AA209" s="2954" t="s">
        <v>3772</v>
      </c>
      <c r="AB209" s="2954" t="s">
        <v>3300</v>
      </c>
      <c r="AC209" s="2954" t="s">
        <v>3544</v>
      </c>
      <c r="AD209" s="2954" t="s">
        <v>3283</v>
      </c>
      <c r="AE209" s="2954" t="s">
        <v>3051</v>
      </c>
      <c r="AF209" s="2954" t="s">
        <v>3283</v>
      </c>
    </row>
    <row r="210" spans="1:32" ht="67.5">
      <c r="A210" s="2954">
        <v>6691</v>
      </c>
      <c r="B210" s="2954" t="s">
        <v>3281</v>
      </c>
      <c r="C210" s="2954" t="s">
        <v>3766</v>
      </c>
      <c r="D210" s="2954" t="s">
        <v>3283</v>
      </c>
      <c r="E210" s="2954" t="s">
        <v>3603</v>
      </c>
      <c r="F210" s="2954" t="s">
        <v>3824</v>
      </c>
      <c r="G210" s="2954" t="s">
        <v>3825</v>
      </c>
      <c r="H210" s="2955">
        <v>1162202</v>
      </c>
      <c r="I210" s="2955">
        <v>10880</v>
      </c>
      <c r="J210" s="2955">
        <v>14084</v>
      </c>
      <c r="K210" s="2959">
        <v>106.82</v>
      </c>
      <c r="L210" s="2955">
        <v>82.52</v>
      </c>
      <c r="M210" s="2954" t="s">
        <v>3233</v>
      </c>
      <c r="N210" s="2954" t="s">
        <v>3681</v>
      </c>
      <c r="O210" s="2954" t="s">
        <v>3441</v>
      </c>
      <c r="P210" s="2954" t="s">
        <v>3289</v>
      </c>
      <c r="Q210" s="2954" t="s">
        <v>3771</v>
      </c>
      <c r="R210" s="2954" t="s">
        <v>3291</v>
      </c>
      <c r="S210" s="2954">
        <v>1162202</v>
      </c>
      <c r="T210" s="2954" t="s">
        <v>3233</v>
      </c>
      <c r="U210" s="2954" t="s">
        <v>3299</v>
      </c>
      <c r="V210" s="2956">
        <v>44499</v>
      </c>
      <c r="W210" s="2954" t="s">
        <v>3051</v>
      </c>
      <c r="X210" s="2954" t="s">
        <v>3046</v>
      </c>
      <c r="Y210" s="2954" t="s">
        <v>3283</v>
      </c>
      <c r="Z210" s="2957">
        <v>43374.417256944398</v>
      </c>
      <c r="AA210" s="2954" t="s">
        <v>3772</v>
      </c>
      <c r="AB210" s="2954" t="s">
        <v>3300</v>
      </c>
      <c r="AC210" s="2954" t="s">
        <v>3544</v>
      </c>
      <c r="AD210" s="2954" t="s">
        <v>3283</v>
      </c>
      <c r="AE210" s="2954" t="s">
        <v>3051</v>
      </c>
      <c r="AF210" s="2954" t="s">
        <v>3283</v>
      </c>
    </row>
    <row r="211" spans="1:32" ht="67.5">
      <c r="A211" s="2954">
        <v>6695</v>
      </c>
      <c r="B211" s="2954" t="s">
        <v>3281</v>
      </c>
      <c r="C211" s="2954" t="s">
        <v>3766</v>
      </c>
      <c r="D211" s="2954" t="s">
        <v>3283</v>
      </c>
      <c r="E211" s="2954" t="s">
        <v>3609</v>
      </c>
      <c r="F211" s="2954" t="s">
        <v>3826</v>
      </c>
      <c r="G211" s="2954" t="s">
        <v>3827</v>
      </c>
      <c r="H211" s="2955">
        <v>1162202</v>
      </c>
      <c r="I211" s="2955">
        <v>10880</v>
      </c>
      <c r="J211" s="2955">
        <v>14084</v>
      </c>
      <c r="K211" s="2959">
        <v>106.82</v>
      </c>
      <c r="L211" s="2955">
        <v>82.52</v>
      </c>
      <c r="M211" s="2954" t="s">
        <v>3233</v>
      </c>
      <c r="N211" s="2954" t="s">
        <v>3681</v>
      </c>
      <c r="O211" s="2954" t="s">
        <v>3441</v>
      </c>
      <c r="P211" s="2954" t="s">
        <v>3289</v>
      </c>
      <c r="Q211" s="2954" t="s">
        <v>3771</v>
      </c>
      <c r="R211" s="2954" t="s">
        <v>3291</v>
      </c>
      <c r="S211" s="2954">
        <v>1162202</v>
      </c>
      <c r="T211" s="2954" t="s">
        <v>3233</v>
      </c>
      <c r="U211" s="2954" t="s">
        <v>3299</v>
      </c>
      <c r="V211" s="2956">
        <v>44499</v>
      </c>
      <c r="W211" s="2954" t="s">
        <v>3051</v>
      </c>
      <c r="X211" s="2954" t="s">
        <v>3046</v>
      </c>
      <c r="Y211" s="2954" t="s">
        <v>3283</v>
      </c>
      <c r="Z211" s="2957">
        <v>43374.417256944398</v>
      </c>
      <c r="AA211" s="2954" t="s">
        <v>3772</v>
      </c>
      <c r="AB211" s="2954" t="s">
        <v>3300</v>
      </c>
      <c r="AC211" s="2954" t="s">
        <v>3544</v>
      </c>
      <c r="AD211" s="2954" t="s">
        <v>3283</v>
      </c>
      <c r="AE211" s="2954" t="s">
        <v>3051</v>
      </c>
      <c r="AF211" s="2954" t="s">
        <v>3283</v>
      </c>
    </row>
    <row r="212" spans="1:32" ht="67.5">
      <c r="A212" s="2954">
        <v>6696</v>
      </c>
      <c r="B212" s="2954" t="s">
        <v>3281</v>
      </c>
      <c r="C212" s="2954" t="s">
        <v>3766</v>
      </c>
      <c r="D212" s="2954" t="s">
        <v>3283</v>
      </c>
      <c r="E212" s="2954" t="s">
        <v>3612</v>
      </c>
      <c r="F212" s="2954" t="s">
        <v>3828</v>
      </c>
      <c r="G212" s="2954" t="s">
        <v>3829</v>
      </c>
      <c r="H212" s="2955">
        <v>1162202</v>
      </c>
      <c r="I212" s="2955">
        <v>10880</v>
      </c>
      <c r="J212" s="2955">
        <v>14084</v>
      </c>
      <c r="K212" s="2959">
        <v>106.82</v>
      </c>
      <c r="L212" s="2955">
        <v>82.52</v>
      </c>
      <c r="M212" s="2954" t="s">
        <v>3233</v>
      </c>
      <c r="N212" s="2954" t="s">
        <v>3686</v>
      </c>
      <c r="O212" s="2954" t="s">
        <v>3441</v>
      </c>
      <c r="P212" s="2954" t="s">
        <v>3289</v>
      </c>
      <c r="Q212" s="2954" t="s">
        <v>3771</v>
      </c>
      <c r="R212" s="2954" t="s">
        <v>3291</v>
      </c>
      <c r="S212" s="2954">
        <v>1162202</v>
      </c>
      <c r="T212" s="2954" t="s">
        <v>3233</v>
      </c>
      <c r="U212" s="2954" t="s">
        <v>3299</v>
      </c>
      <c r="V212" s="2956">
        <v>44499</v>
      </c>
      <c r="W212" s="2954" t="s">
        <v>3051</v>
      </c>
      <c r="X212" s="2954" t="s">
        <v>3046</v>
      </c>
      <c r="Y212" s="2954" t="s">
        <v>3283</v>
      </c>
      <c r="Z212" s="2957">
        <v>43374.417256944398</v>
      </c>
      <c r="AA212" s="2954" t="s">
        <v>3772</v>
      </c>
      <c r="AB212" s="2954" t="s">
        <v>3300</v>
      </c>
      <c r="AC212" s="2954" t="s">
        <v>3544</v>
      </c>
      <c r="AD212" s="2954" t="s">
        <v>3283</v>
      </c>
      <c r="AE212" s="2954" t="s">
        <v>3051</v>
      </c>
      <c r="AF212" s="2954" t="s">
        <v>3283</v>
      </c>
    </row>
    <row r="213" spans="1:32" ht="67.5">
      <c r="A213" s="2954">
        <v>6699</v>
      </c>
      <c r="B213" s="2954" t="s">
        <v>3281</v>
      </c>
      <c r="C213" s="2954" t="s">
        <v>3766</v>
      </c>
      <c r="D213" s="2954" t="s">
        <v>3283</v>
      </c>
      <c r="E213" s="2954" t="s">
        <v>3830</v>
      </c>
      <c r="F213" s="2954" t="s">
        <v>3831</v>
      </c>
      <c r="G213" s="2954" t="s">
        <v>3832</v>
      </c>
      <c r="H213" s="2955">
        <v>1162202</v>
      </c>
      <c r="I213" s="2955">
        <v>10880</v>
      </c>
      <c r="J213" s="2955">
        <v>14084</v>
      </c>
      <c r="K213" s="2959">
        <v>106.82</v>
      </c>
      <c r="L213" s="2955">
        <v>82.52</v>
      </c>
      <c r="M213" s="2954" t="s">
        <v>3233</v>
      </c>
      <c r="N213" s="2954" t="s">
        <v>3681</v>
      </c>
      <c r="O213" s="2954" t="s">
        <v>3441</v>
      </c>
      <c r="P213" s="2954" t="s">
        <v>3289</v>
      </c>
      <c r="Q213" s="2954" t="s">
        <v>3771</v>
      </c>
      <c r="R213" s="2954" t="s">
        <v>3291</v>
      </c>
      <c r="S213" s="2954">
        <v>1162202</v>
      </c>
      <c r="T213" s="2954" t="s">
        <v>3233</v>
      </c>
      <c r="U213" s="2954" t="s">
        <v>3299</v>
      </c>
      <c r="V213" s="2956">
        <v>44499</v>
      </c>
      <c r="W213" s="2954" t="s">
        <v>3051</v>
      </c>
      <c r="X213" s="2954" t="s">
        <v>3046</v>
      </c>
      <c r="Y213" s="2954" t="s">
        <v>3283</v>
      </c>
      <c r="Z213" s="2957">
        <v>43374.417256944398</v>
      </c>
      <c r="AA213" s="2954" t="s">
        <v>3772</v>
      </c>
      <c r="AB213" s="2954" t="s">
        <v>3300</v>
      </c>
      <c r="AC213" s="2954" t="s">
        <v>3544</v>
      </c>
      <c r="AD213" s="2954" t="s">
        <v>3283</v>
      </c>
      <c r="AE213" s="2954" t="s">
        <v>3051</v>
      </c>
      <c r="AF213" s="2954" t="s">
        <v>3283</v>
      </c>
    </row>
    <row r="214" spans="1:32" ht="67.5">
      <c r="A214" s="2954">
        <v>6703</v>
      </c>
      <c r="B214" s="2954" t="s">
        <v>3281</v>
      </c>
      <c r="C214" s="2954" t="s">
        <v>3766</v>
      </c>
      <c r="D214" s="2954" t="s">
        <v>3283</v>
      </c>
      <c r="E214" s="2954" t="s">
        <v>3833</v>
      </c>
      <c r="F214" s="2954" t="s">
        <v>3834</v>
      </c>
      <c r="G214" s="2954" t="s">
        <v>3835</v>
      </c>
      <c r="H214" s="2955">
        <v>1160065</v>
      </c>
      <c r="I214" s="2955">
        <v>10860</v>
      </c>
      <c r="J214" s="2955">
        <v>14058</v>
      </c>
      <c r="K214" s="2959">
        <v>106.82</v>
      </c>
      <c r="L214" s="2955">
        <v>82.52</v>
      </c>
      <c r="M214" s="2954" t="s">
        <v>3233</v>
      </c>
      <c r="N214" s="2954" t="s">
        <v>3681</v>
      </c>
      <c r="O214" s="2954" t="s">
        <v>3441</v>
      </c>
      <c r="P214" s="2954" t="s">
        <v>3289</v>
      </c>
      <c r="Q214" s="2954" t="s">
        <v>3771</v>
      </c>
      <c r="R214" s="2954" t="s">
        <v>3291</v>
      </c>
      <c r="S214" s="2954">
        <v>1160065</v>
      </c>
      <c r="T214" s="2954" t="s">
        <v>3233</v>
      </c>
      <c r="U214" s="2954" t="s">
        <v>3299</v>
      </c>
      <c r="V214" s="2956">
        <v>44499</v>
      </c>
      <c r="W214" s="2954" t="s">
        <v>3051</v>
      </c>
      <c r="X214" s="2954" t="s">
        <v>3046</v>
      </c>
      <c r="Y214" s="2954" t="s">
        <v>3283</v>
      </c>
      <c r="Z214" s="2957">
        <v>43374.417256944398</v>
      </c>
      <c r="AA214" s="2954" t="s">
        <v>3772</v>
      </c>
      <c r="AB214" s="2954" t="s">
        <v>3300</v>
      </c>
      <c r="AC214" s="2954" t="s">
        <v>3544</v>
      </c>
      <c r="AD214" s="2954" t="s">
        <v>3283</v>
      </c>
      <c r="AE214" s="2954" t="s">
        <v>3051</v>
      </c>
      <c r="AF214" s="2954" t="s">
        <v>3283</v>
      </c>
    </row>
    <row r="215" spans="1:32" ht="67.5">
      <c r="A215" s="2954">
        <v>6707</v>
      </c>
      <c r="B215" s="2954" t="s">
        <v>3281</v>
      </c>
      <c r="C215" s="2954" t="s">
        <v>3766</v>
      </c>
      <c r="D215" s="2954" t="s">
        <v>3283</v>
      </c>
      <c r="E215" s="2954" t="s">
        <v>3618</v>
      </c>
      <c r="F215" s="2954" t="s">
        <v>3836</v>
      </c>
      <c r="G215" s="2954" t="s">
        <v>3837</v>
      </c>
      <c r="H215" s="2955">
        <v>1160065</v>
      </c>
      <c r="I215" s="2955">
        <v>10860</v>
      </c>
      <c r="J215" s="2955">
        <v>14058</v>
      </c>
      <c r="K215" s="2959">
        <v>106.82</v>
      </c>
      <c r="L215" s="2955">
        <v>82.52</v>
      </c>
      <c r="M215" s="2954" t="s">
        <v>3233</v>
      </c>
      <c r="N215" s="2954" t="s">
        <v>3681</v>
      </c>
      <c r="O215" s="2954" t="s">
        <v>3441</v>
      </c>
      <c r="P215" s="2954" t="s">
        <v>3289</v>
      </c>
      <c r="Q215" s="2954" t="s">
        <v>3771</v>
      </c>
      <c r="R215" s="2954" t="s">
        <v>3291</v>
      </c>
      <c r="S215" s="2954">
        <v>1160065</v>
      </c>
      <c r="T215" s="2954" t="s">
        <v>3233</v>
      </c>
      <c r="U215" s="2954" t="s">
        <v>3299</v>
      </c>
      <c r="V215" s="2956">
        <v>44499</v>
      </c>
      <c r="W215" s="2954" t="s">
        <v>3051</v>
      </c>
      <c r="X215" s="2954" t="s">
        <v>3046</v>
      </c>
      <c r="Y215" s="2954" t="s">
        <v>3283</v>
      </c>
      <c r="Z215" s="2957">
        <v>43374.417256944398</v>
      </c>
      <c r="AA215" s="2954" t="s">
        <v>3772</v>
      </c>
      <c r="AB215" s="2954" t="s">
        <v>3300</v>
      </c>
      <c r="AC215" s="2954" t="s">
        <v>3544</v>
      </c>
      <c r="AD215" s="2954" t="s">
        <v>3283</v>
      </c>
      <c r="AE215" s="2954" t="s">
        <v>3051</v>
      </c>
      <c r="AF215" s="2954" t="s">
        <v>3283</v>
      </c>
    </row>
    <row r="216" spans="1:32" ht="67.5">
      <c r="A216" s="2954">
        <v>6708</v>
      </c>
      <c r="B216" s="2954" t="s">
        <v>3281</v>
      </c>
      <c r="C216" s="2954" t="s">
        <v>3766</v>
      </c>
      <c r="D216" s="2954" t="s">
        <v>3283</v>
      </c>
      <c r="E216" s="2954" t="s">
        <v>3621</v>
      </c>
      <c r="F216" s="2954" t="s">
        <v>3838</v>
      </c>
      <c r="G216" s="2954" t="s">
        <v>3839</v>
      </c>
      <c r="H216" s="2955">
        <v>1160065</v>
      </c>
      <c r="I216" s="2955">
        <v>10860</v>
      </c>
      <c r="J216" s="2955">
        <v>14058</v>
      </c>
      <c r="K216" s="2959">
        <v>106.82</v>
      </c>
      <c r="L216" s="2955">
        <v>82.52</v>
      </c>
      <c r="M216" s="2954" t="s">
        <v>3233</v>
      </c>
      <c r="N216" s="2954" t="s">
        <v>3686</v>
      </c>
      <c r="O216" s="2954" t="s">
        <v>3441</v>
      </c>
      <c r="P216" s="2954" t="s">
        <v>3289</v>
      </c>
      <c r="Q216" s="2954" t="s">
        <v>3771</v>
      </c>
      <c r="R216" s="2954" t="s">
        <v>3291</v>
      </c>
      <c r="S216" s="2954">
        <v>1160065</v>
      </c>
      <c r="T216" s="2954" t="s">
        <v>3233</v>
      </c>
      <c r="U216" s="2954" t="s">
        <v>3299</v>
      </c>
      <c r="V216" s="2956">
        <v>44499</v>
      </c>
      <c r="W216" s="2954" t="s">
        <v>3051</v>
      </c>
      <c r="X216" s="2954" t="s">
        <v>3046</v>
      </c>
      <c r="Y216" s="2954" t="s">
        <v>3283</v>
      </c>
      <c r="Z216" s="2957">
        <v>43374.417256944398</v>
      </c>
      <c r="AA216" s="2954" t="s">
        <v>3772</v>
      </c>
      <c r="AB216" s="2954" t="s">
        <v>3300</v>
      </c>
      <c r="AC216" s="2954" t="s">
        <v>3544</v>
      </c>
      <c r="AD216" s="2954" t="s">
        <v>3283</v>
      </c>
      <c r="AE216" s="2954" t="s">
        <v>3051</v>
      </c>
      <c r="AF216" s="2954" t="s">
        <v>3283</v>
      </c>
    </row>
    <row r="217" spans="1:32" ht="67.5">
      <c r="A217" s="2954">
        <v>6715</v>
      </c>
      <c r="B217" s="2954" t="s">
        <v>3281</v>
      </c>
      <c r="C217" s="2954" t="s">
        <v>3766</v>
      </c>
      <c r="D217" s="2954" t="s">
        <v>3283</v>
      </c>
      <c r="E217" s="2954" t="s">
        <v>3630</v>
      </c>
      <c r="F217" s="2954" t="s">
        <v>3840</v>
      </c>
      <c r="G217" s="2954" t="s">
        <v>3841</v>
      </c>
      <c r="H217" s="2955">
        <v>1157929</v>
      </c>
      <c r="I217" s="2955">
        <v>10840</v>
      </c>
      <c r="J217" s="2955">
        <v>14032</v>
      </c>
      <c r="K217" s="2959">
        <v>106.82</v>
      </c>
      <c r="L217" s="2955">
        <v>82.52</v>
      </c>
      <c r="M217" s="2954" t="s">
        <v>3233</v>
      </c>
      <c r="N217" s="2954" t="s">
        <v>3681</v>
      </c>
      <c r="O217" s="2954" t="s">
        <v>3441</v>
      </c>
      <c r="P217" s="2954" t="s">
        <v>3289</v>
      </c>
      <c r="Q217" s="2954" t="s">
        <v>3771</v>
      </c>
      <c r="R217" s="2954" t="s">
        <v>3291</v>
      </c>
      <c r="S217" s="2954">
        <v>1157929</v>
      </c>
      <c r="T217" s="2954" t="s">
        <v>3233</v>
      </c>
      <c r="U217" s="2954" t="s">
        <v>3299</v>
      </c>
      <c r="V217" s="2956">
        <v>44499</v>
      </c>
      <c r="W217" s="2954" t="s">
        <v>3051</v>
      </c>
      <c r="X217" s="2954" t="s">
        <v>3046</v>
      </c>
      <c r="Y217" s="2954" t="s">
        <v>3283</v>
      </c>
      <c r="Z217" s="2957">
        <v>43374.417256944398</v>
      </c>
      <c r="AA217" s="2954" t="s">
        <v>3772</v>
      </c>
      <c r="AB217" s="2954" t="s">
        <v>3300</v>
      </c>
      <c r="AC217" s="2954" t="s">
        <v>3544</v>
      </c>
      <c r="AD217" s="2954" t="s">
        <v>3283</v>
      </c>
      <c r="AE217" s="2954" t="s">
        <v>3051</v>
      </c>
      <c r="AF217" s="2954" t="s">
        <v>3283</v>
      </c>
    </row>
    <row r="218" spans="1:32" ht="67.5">
      <c r="A218" s="2954">
        <v>6719</v>
      </c>
      <c r="B218" s="2954" t="s">
        <v>3281</v>
      </c>
      <c r="C218" s="2954" t="s">
        <v>3766</v>
      </c>
      <c r="D218" s="2954" t="s">
        <v>3283</v>
      </c>
      <c r="E218" s="2954" t="s">
        <v>3636</v>
      </c>
      <c r="F218" s="2954" t="s">
        <v>3842</v>
      </c>
      <c r="G218" s="2954" t="s">
        <v>3843</v>
      </c>
      <c r="H218" s="2955">
        <v>1157929</v>
      </c>
      <c r="I218" s="2955">
        <v>10840</v>
      </c>
      <c r="J218" s="2955">
        <v>14032</v>
      </c>
      <c r="K218" s="2959">
        <v>106.82</v>
      </c>
      <c r="L218" s="2955">
        <v>82.52</v>
      </c>
      <c r="M218" s="2954" t="s">
        <v>3233</v>
      </c>
      <c r="N218" s="2954" t="s">
        <v>3681</v>
      </c>
      <c r="O218" s="2954" t="s">
        <v>3441</v>
      </c>
      <c r="P218" s="2954" t="s">
        <v>3289</v>
      </c>
      <c r="Q218" s="2954" t="s">
        <v>3771</v>
      </c>
      <c r="R218" s="2954" t="s">
        <v>3291</v>
      </c>
      <c r="S218" s="2954">
        <v>1157929</v>
      </c>
      <c r="T218" s="2954" t="s">
        <v>3233</v>
      </c>
      <c r="U218" s="2954" t="s">
        <v>3299</v>
      </c>
      <c r="V218" s="2956">
        <v>44499</v>
      </c>
      <c r="W218" s="2954" t="s">
        <v>3051</v>
      </c>
      <c r="X218" s="2954" t="s">
        <v>3046</v>
      </c>
      <c r="Y218" s="2954" t="s">
        <v>3283</v>
      </c>
      <c r="Z218" s="2957">
        <v>43374.417256944398</v>
      </c>
      <c r="AA218" s="2954" t="s">
        <v>3772</v>
      </c>
      <c r="AB218" s="2954" t="s">
        <v>3300</v>
      </c>
      <c r="AC218" s="2954" t="s">
        <v>3544</v>
      </c>
      <c r="AD218" s="2954" t="s">
        <v>3283</v>
      </c>
      <c r="AE218" s="2954" t="s">
        <v>3051</v>
      </c>
      <c r="AF218" s="2954" t="s">
        <v>3283</v>
      </c>
    </row>
    <row r="219" spans="1:32" ht="67.5">
      <c r="A219" s="2954">
        <v>6723</v>
      </c>
      <c r="B219" s="2954" t="s">
        <v>3281</v>
      </c>
      <c r="C219" s="2954" t="s">
        <v>3766</v>
      </c>
      <c r="D219" s="2954" t="s">
        <v>3283</v>
      </c>
      <c r="E219" s="2954" t="s">
        <v>3642</v>
      </c>
      <c r="F219" s="2954" t="s">
        <v>3844</v>
      </c>
      <c r="G219" s="2954" t="s">
        <v>3845</v>
      </c>
      <c r="H219" s="2955">
        <v>1157929</v>
      </c>
      <c r="I219" s="2955">
        <v>10840</v>
      </c>
      <c r="J219" s="2955">
        <v>14032</v>
      </c>
      <c r="K219" s="2959">
        <v>106.82</v>
      </c>
      <c r="L219" s="2955">
        <v>82.52</v>
      </c>
      <c r="M219" s="2954" t="s">
        <v>3233</v>
      </c>
      <c r="N219" s="2954" t="s">
        <v>3681</v>
      </c>
      <c r="O219" s="2954" t="s">
        <v>3441</v>
      </c>
      <c r="P219" s="2954" t="s">
        <v>3289</v>
      </c>
      <c r="Q219" s="2954" t="s">
        <v>3771</v>
      </c>
      <c r="R219" s="2954" t="s">
        <v>3291</v>
      </c>
      <c r="S219" s="2954">
        <v>1157929</v>
      </c>
      <c r="T219" s="2954" t="s">
        <v>3233</v>
      </c>
      <c r="U219" s="2954" t="s">
        <v>3299</v>
      </c>
      <c r="V219" s="2956">
        <v>44499</v>
      </c>
      <c r="W219" s="2954" t="s">
        <v>3051</v>
      </c>
      <c r="X219" s="2954" t="s">
        <v>3046</v>
      </c>
      <c r="Y219" s="2954" t="s">
        <v>3283</v>
      </c>
      <c r="Z219" s="2957">
        <v>43374.417256944398</v>
      </c>
      <c r="AA219" s="2954" t="s">
        <v>3772</v>
      </c>
      <c r="AB219" s="2954" t="s">
        <v>3300</v>
      </c>
      <c r="AC219" s="2954" t="s">
        <v>3544</v>
      </c>
      <c r="AD219" s="2954" t="s">
        <v>3283</v>
      </c>
      <c r="AE219" s="2954" t="s">
        <v>3051</v>
      </c>
      <c r="AF219" s="2954" t="s">
        <v>3283</v>
      </c>
    </row>
    <row r="220" spans="1:32" ht="67.5">
      <c r="A220" s="2954">
        <v>6727</v>
      </c>
      <c r="B220" s="2954" t="s">
        <v>3281</v>
      </c>
      <c r="C220" s="2954" t="s">
        <v>3766</v>
      </c>
      <c r="D220" s="2954" t="s">
        <v>3283</v>
      </c>
      <c r="E220" s="2954" t="s">
        <v>3648</v>
      </c>
      <c r="F220" s="2954" t="s">
        <v>3846</v>
      </c>
      <c r="G220" s="2954" t="s">
        <v>3847</v>
      </c>
      <c r="H220" s="2955">
        <v>1155792</v>
      </c>
      <c r="I220" s="2955">
        <v>10820</v>
      </c>
      <c r="J220" s="2955">
        <v>14006</v>
      </c>
      <c r="K220" s="2959">
        <v>106.82</v>
      </c>
      <c r="L220" s="2955">
        <v>82.52</v>
      </c>
      <c r="M220" s="2954" t="s">
        <v>3233</v>
      </c>
      <c r="N220" s="2954" t="s">
        <v>3681</v>
      </c>
      <c r="O220" s="2954" t="s">
        <v>3441</v>
      </c>
      <c r="P220" s="2954" t="s">
        <v>3289</v>
      </c>
      <c r="Q220" s="2954" t="s">
        <v>3771</v>
      </c>
      <c r="R220" s="2954" t="s">
        <v>3291</v>
      </c>
      <c r="S220" s="2954">
        <v>1155792</v>
      </c>
      <c r="T220" s="2954" t="s">
        <v>3233</v>
      </c>
      <c r="U220" s="2954" t="s">
        <v>3299</v>
      </c>
      <c r="V220" s="2956">
        <v>44499</v>
      </c>
      <c r="W220" s="2954" t="s">
        <v>3051</v>
      </c>
      <c r="X220" s="2954" t="s">
        <v>3046</v>
      </c>
      <c r="Y220" s="2954" t="s">
        <v>3283</v>
      </c>
      <c r="Z220" s="2957">
        <v>43374.417256944398</v>
      </c>
      <c r="AA220" s="2954" t="s">
        <v>3772</v>
      </c>
      <c r="AB220" s="2954" t="s">
        <v>3300</v>
      </c>
      <c r="AC220" s="2954" t="s">
        <v>3544</v>
      </c>
      <c r="AD220" s="2954" t="s">
        <v>3283</v>
      </c>
      <c r="AE220" s="2954" t="s">
        <v>3051</v>
      </c>
      <c r="AF220" s="2954" t="s">
        <v>3283</v>
      </c>
    </row>
    <row r="221" spans="1:32" ht="67.5">
      <c r="A221" s="2954">
        <v>6731</v>
      </c>
      <c r="B221" s="2954" t="s">
        <v>3281</v>
      </c>
      <c r="C221" s="2954" t="s">
        <v>3766</v>
      </c>
      <c r="D221" s="2954" t="s">
        <v>3283</v>
      </c>
      <c r="E221" s="2954" t="s">
        <v>3654</v>
      </c>
      <c r="F221" s="2954" t="s">
        <v>3848</v>
      </c>
      <c r="G221" s="2954" t="s">
        <v>3849</v>
      </c>
      <c r="H221" s="2955">
        <v>1155792</v>
      </c>
      <c r="I221" s="2955">
        <v>10820</v>
      </c>
      <c r="J221" s="2955">
        <v>14006</v>
      </c>
      <c r="K221" s="2959">
        <v>106.82</v>
      </c>
      <c r="L221" s="2955">
        <v>82.52</v>
      </c>
      <c r="M221" s="2954" t="s">
        <v>3233</v>
      </c>
      <c r="N221" s="2954" t="s">
        <v>3681</v>
      </c>
      <c r="O221" s="2954" t="s">
        <v>3441</v>
      </c>
      <c r="P221" s="2954" t="s">
        <v>3289</v>
      </c>
      <c r="Q221" s="2954" t="s">
        <v>3771</v>
      </c>
      <c r="R221" s="2954" t="s">
        <v>3291</v>
      </c>
      <c r="S221" s="2954">
        <v>1155792</v>
      </c>
      <c r="T221" s="2954" t="s">
        <v>3233</v>
      </c>
      <c r="U221" s="2954" t="s">
        <v>3299</v>
      </c>
      <c r="V221" s="2956">
        <v>44499</v>
      </c>
      <c r="W221" s="2954" t="s">
        <v>3051</v>
      </c>
      <c r="X221" s="2954" t="s">
        <v>3046</v>
      </c>
      <c r="Y221" s="2954" t="s">
        <v>3283</v>
      </c>
      <c r="Z221" s="2957">
        <v>43374.417256944398</v>
      </c>
      <c r="AA221" s="2954" t="s">
        <v>3772</v>
      </c>
      <c r="AB221" s="2954" t="s">
        <v>3300</v>
      </c>
      <c r="AC221" s="2954" t="s">
        <v>3544</v>
      </c>
      <c r="AD221" s="2954" t="s">
        <v>3283</v>
      </c>
      <c r="AE221" s="2954" t="s">
        <v>3051</v>
      </c>
      <c r="AF221" s="2954" t="s">
        <v>3283</v>
      </c>
    </row>
    <row r="222" spans="1:32" ht="67.5">
      <c r="A222" s="2954">
        <v>6732</v>
      </c>
      <c r="B222" s="2954" t="s">
        <v>3281</v>
      </c>
      <c r="C222" s="2954" t="s">
        <v>3766</v>
      </c>
      <c r="D222" s="2954" t="s">
        <v>3283</v>
      </c>
      <c r="E222" s="2954" t="s">
        <v>3657</v>
      </c>
      <c r="F222" s="2954" t="s">
        <v>3850</v>
      </c>
      <c r="G222" s="2954" t="s">
        <v>3851</v>
      </c>
      <c r="H222" s="2955">
        <v>1155792</v>
      </c>
      <c r="I222" s="2955">
        <v>10820</v>
      </c>
      <c r="J222" s="2955">
        <v>14006</v>
      </c>
      <c r="K222" s="2959">
        <v>106.82</v>
      </c>
      <c r="L222" s="2955">
        <v>82.52</v>
      </c>
      <c r="M222" s="2954" t="s">
        <v>3233</v>
      </c>
      <c r="N222" s="2954" t="s">
        <v>3686</v>
      </c>
      <c r="O222" s="2954" t="s">
        <v>3441</v>
      </c>
      <c r="P222" s="2954" t="s">
        <v>3289</v>
      </c>
      <c r="Q222" s="2954" t="s">
        <v>3771</v>
      </c>
      <c r="R222" s="2954" t="s">
        <v>3291</v>
      </c>
      <c r="S222" s="2954">
        <v>1155792</v>
      </c>
      <c r="T222" s="2954" t="s">
        <v>3233</v>
      </c>
      <c r="U222" s="2954" t="s">
        <v>3299</v>
      </c>
      <c r="V222" s="2956">
        <v>44499</v>
      </c>
      <c r="W222" s="2954" t="s">
        <v>3051</v>
      </c>
      <c r="X222" s="2954" t="s">
        <v>3046</v>
      </c>
      <c r="Y222" s="2954" t="s">
        <v>3283</v>
      </c>
      <c r="Z222" s="2957">
        <v>43374.417256944398</v>
      </c>
      <c r="AA222" s="2954" t="s">
        <v>3772</v>
      </c>
      <c r="AB222" s="2954" t="s">
        <v>3300</v>
      </c>
      <c r="AC222" s="2954" t="s">
        <v>3544</v>
      </c>
      <c r="AD222" s="2954" t="s">
        <v>3283</v>
      </c>
      <c r="AE222" s="2954" t="s">
        <v>3051</v>
      </c>
      <c r="AF222" s="2954" t="s">
        <v>3283</v>
      </c>
    </row>
    <row r="223" spans="1:32" ht="67.5">
      <c r="A223" s="2954">
        <v>6734</v>
      </c>
      <c r="B223" s="2954" t="s">
        <v>3281</v>
      </c>
      <c r="C223" s="2954" t="s">
        <v>3766</v>
      </c>
      <c r="D223" s="2954" t="s">
        <v>3283</v>
      </c>
      <c r="E223" s="2954" t="s">
        <v>3852</v>
      </c>
      <c r="F223" s="2954" t="s">
        <v>3853</v>
      </c>
      <c r="G223" s="2954" t="s">
        <v>3854</v>
      </c>
      <c r="H223" s="2955">
        <v>1048509</v>
      </c>
      <c r="I223" s="2955">
        <v>11220</v>
      </c>
      <c r="J223" s="2955">
        <v>14524</v>
      </c>
      <c r="K223" s="2959">
        <v>93.45</v>
      </c>
      <c r="L223" s="2955">
        <v>72.19</v>
      </c>
      <c r="M223" s="2954" t="s">
        <v>3233</v>
      </c>
      <c r="N223" s="2954" t="s">
        <v>3769</v>
      </c>
      <c r="O223" s="2954" t="s">
        <v>3770</v>
      </c>
      <c r="P223" s="2954" t="s">
        <v>3289</v>
      </c>
      <c r="Q223" s="2954" t="s">
        <v>3771</v>
      </c>
      <c r="R223" s="2954" t="s">
        <v>3291</v>
      </c>
      <c r="S223" s="2954">
        <v>1048509</v>
      </c>
      <c r="T223" s="2954" t="s">
        <v>3233</v>
      </c>
      <c r="U223" s="2954" t="s">
        <v>3299</v>
      </c>
      <c r="V223" s="2956">
        <v>44499</v>
      </c>
      <c r="W223" s="2954" t="s">
        <v>3051</v>
      </c>
      <c r="X223" s="2954" t="s">
        <v>3046</v>
      </c>
      <c r="Y223" s="2954" t="s">
        <v>3283</v>
      </c>
      <c r="Z223" s="2957">
        <v>43374.417256944398</v>
      </c>
      <c r="AA223" s="2954" t="s">
        <v>3772</v>
      </c>
      <c r="AB223" s="2954" t="s">
        <v>3673</v>
      </c>
      <c r="AC223" s="2954" t="s">
        <v>3544</v>
      </c>
      <c r="AD223" s="2954" t="s">
        <v>3283</v>
      </c>
      <c r="AE223" s="2954" t="s">
        <v>3051</v>
      </c>
      <c r="AF223" s="2954" t="s">
        <v>3283</v>
      </c>
    </row>
    <row r="224" spans="1:32" ht="67.5">
      <c r="A224" s="2954">
        <v>6735</v>
      </c>
      <c r="B224" s="2954" t="s">
        <v>3281</v>
      </c>
      <c r="C224" s="2954" t="s">
        <v>3766</v>
      </c>
      <c r="D224" s="2954" t="s">
        <v>3283</v>
      </c>
      <c r="E224" s="2954" t="s">
        <v>3660</v>
      </c>
      <c r="F224" s="2954" t="s">
        <v>3855</v>
      </c>
      <c r="G224" s="2954" t="s">
        <v>3856</v>
      </c>
      <c r="H224" s="2955">
        <v>1145110</v>
      </c>
      <c r="I224" s="2955">
        <v>10720</v>
      </c>
      <c r="J224" s="2955">
        <v>13877</v>
      </c>
      <c r="K224" s="2959">
        <v>106.82</v>
      </c>
      <c r="L224" s="2955">
        <v>82.52</v>
      </c>
      <c r="M224" s="2954" t="s">
        <v>3233</v>
      </c>
      <c r="N224" s="2954" t="s">
        <v>3681</v>
      </c>
      <c r="O224" s="2954" t="s">
        <v>3441</v>
      </c>
      <c r="P224" s="2954" t="s">
        <v>3289</v>
      </c>
      <c r="Q224" s="2954" t="s">
        <v>3771</v>
      </c>
      <c r="R224" s="2954" t="s">
        <v>3291</v>
      </c>
      <c r="S224" s="2954">
        <v>1145110</v>
      </c>
      <c r="T224" s="2954" t="s">
        <v>3233</v>
      </c>
      <c r="U224" s="2954" t="s">
        <v>3299</v>
      </c>
      <c r="V224" s="2956">
        <v>44499</v>
      </c>
      <c r="W224" s="2954" t="s">
        <v>3051</v>
      </c>
      <c r="X224" s="2954" t="s">
        <v>3046</v>
      </c>
      <c r="Y224" s="2954" t="s">
        <v>3283</v>
      </c>
      <c r="Z224" s="2957">
        <v>43374.417256944398</v>
      </c>
      <c r="AA224" s="2954" t="s">
        <v>3772</v>
      </c>
      <c r="AB224" s="2954" t="s">
        <v>3673</v>
      </c>
      <c r="AC224" s="2954" t="s">
        <v>3544</v>
      </c>
      <c r="AD224" s="2954" t="s">
        <v>3283</v>
      </c>
      <c r="AE224" s="2954" t="s">
        <v>3051</v>
      </c>
      <c r="AF224" s="2954" t="s">
        <v>3283</v>
      </c>
    </row>
    <row r="225" spans="1:32" ht="67.5">
      <c r="A225" s="2954">
        <v>6736</v>
      </c>
      <c r="B225" s="2954" t="s">
        <v>3281</v>
      </c>
      <c r="C225" s="2954" t="s">
        <v>3766</v>
      </c>
      <c r="D225" s="2954" t="s">
        <v>3283</v>
      </c>
      <c r="E225" s="2954" t="s">
        <v>3663</v>
      </c>
      <c r="F225" s="2954" t="s">
        <v>3857</v>
      </c>
      <c r="G225" s="2954" t="s">
        <v>3858</v>
      </c>
      <c r="H225" s="2955">
        <v>1145110</v>
      </c>
      <c r="I225" s="2955">
        <v>10720</v>
      </c>
      <c r="J225" s="2955">
        <v>13877</v>
      </c>
      <c r="K225" s="2959">
        <v>106.82</v>
      </c>
      <c r="L225" s="2955">
        <v>82.52</v>
      </c>
      <c r="M225" s="2954" t="s">
        <v>3233</v>
      </c>
      <c r="N225" s="2954" t="s">
        <v>3686</v>
      </c>
      <c r="O225" s="2954" t="s">
        <v>3441</v>
      </c>
      <c r="P225" s="2954" t="s">
        <v>3289</v>
      </c>
      <c r="Q225" s="2954" t="s">
        <v>3771</v>
      </c>
      <c r="R225" s="2954" t="s">
        <v>3291</v>
      </c>
      <c r="S225" s="2954">
        <v>1145110</v>
      </c>
      <c r="T225" s="2954" t="s">
        <v>3233</v>
      </c>
      <c r="U225" s="2954" t="s">
        <v>3299</v>
      </c>
      <c r="V225" s="2956">
        <v>44499</v>
      </c>
      <c r="W225" s="2954" t="s">
        <v>3051</v>
      </c>
      <c r="X225" s="2954" t="s">
        <v>3046</v>
      </c>
      <c r="Y225" s="2954" t="s">
        <v>3283</v>
      </c>
      <c r="Z225" s="2957">
        <v>43374.417256944398</v>
      </c>
      <c r="AA225" s="2954" t="s">
        <v>3772</v>
      </c>
      <c r="AB225" s="2954" t="s">
        <v>3673</v>
      </c>
      <c r="AC225" s="2954" t="s">
        <v>3544</v>
      </c>
      <c r="AD225" s="2954" t="s">
        <v>3283</v>
      </c>
      <c r="AE225" s="2954" t="s">
        <v>3051</v>
      </c>
      <c r="AF225" s="2954" t="s">
        <v>3283</v>
      </c>
    </row>
    <row r="226" spans="1:32" ht="67.5">
      <c r="A226" s="2954">
        <v>6737</v>
      </c>
      <c r="B226" s="2954" t="s">
        <v>3281</v>
      </c>
      <c r="C226" s="2954" t="s">
        <v>3766</v>
      </c>
      <c r="D226" s="2954" t="s">
        <v>3283</v>
      </c>
      <c r="E226" s="2954" t="s">
        <v>3666</v>
      </c>
      <c r="F226" s="2954" t="s">
        <v>3859</v>
      </c>
      <c r="G226" s="2954" t="s">
        <v>3860</v>
      </c>
      <c r="H226" s="2955">
        <v>1061717</v>
      </c>
      <c r="I226" s="2955">
        <v>11420</v>
      </c>
      <c r="J226" s="2955">
        <v>14783</v>
      </c>
      <c r="K226" s="2959">
        <v>92.97</v>
      </c>
      <c r="L226" s="2955">
        <v>71.819999999999993</v>
      </c>
      <c r="M226" s="2954" t="s">
        <v>3233</v>
      </c>
      <c r="N226" s="2954" t="s">
        <v>3779</v>
      </c>
      <c r="O226" s="2954" t="s">
        <v>3770</v>
      </c>
      <c r="P226" s="2954" t="s">
        <v>3289</v>
      </c>
      <c r="Q226" s="2954" t="s">
        <v>3771</v>
      </c>
      <c r="R226" s="2954" t="s">
        <v>3291</v>
      </c>
      <c r="S226" s="2954">
        <v>1061717</v>
      </c>
      <c r="T226" s="2954" t="s">
        <v>3233</v>
      </c>
      <c r="U226" s="2954" t="s">
        <v>3299</v>
      </c>
      <c r="V226" s="2956">
        <v>44499</v>
      </c>
      <c r="W226" s="2954" t="s">
        <v>3051</v>
      </c>
      <c r="X226" s="2954" t="s">
        <v>3046</v>
      </c>
      <c r="Y226" s="2954" t="s">
        <v>3283</v>
      </c>
      <c r="Z226" s="2957">
        <v>43374.417256944398</v>
      </c>
      <c r="AA226" s="2954" t="s">
        <v>3772</v>
      </c>
      <c r="AB226" s="2954" t="s">
        <v>3673</v>
      </c>
      <c r="AC226" s="2954" t="s">
        <v>3544</v>
      </c>
      <c r="AD226" s="2954" t="s">
        <v>3283</v>
      </c>
      <c r="AE226" s="2954" t="s">
        <v>3051</v>
      </c>
      <c r="AF226" s="2954" t="s">
        <v>3283</v>
      </c>
    </row>
    <row r="227" spans="1:32" ht="67.5">
      <c r="A227" s="2954">
        <v>6742</v>
      </c>
      <c r="B227" s="2954" t="s">
        <v>3281</v>
      </c>
      <c r="C227" s="2954" t="s">
        <v>3861</v>
      </c>
      <c r="D227" s="2954" t="s">
        <v>3283</v>
      </c>
      <c r="E227" s="2954" t="s">
        <v>3296</v>
      </c>
      <c r="F227" s="2954" t="s">
        <v>3862</v>
      </c>
      <c r="G227" s="2954" t="s">
        <v>3863</v>
      </c>
      <c r="H227" s="2955">
        <v>1030108</v>
      </c>
      <c r="I227" s="2955">
        <v>11080</v>
      </c>
      <c r="J227" s="2955">
        <v>14343</v>
      </c>
      <c r="K227" s="2959">
        <v>92.97</v>
      </c>
      <c r="L227" s="2955">
        <v>71.819999999999993</v>
      </c>
      <c r="M227" s="2954" t="s">
        <v>3233</v>
      </c>
      <c r="N227" s="2954" t="s">
        <v>3769</v>
      </c>
      <c r="O227" s="2954" t="s">
        <v>3770</v>
      </c>
      <c r="P227" s="2954" t="s">
        <v>3289</v>
      </c>
      <c r="Q227" s="2954" t="s">
        <v>3864</v>
      </c>
      <c r="R227" s="2954" t="s">
        <v>3291</v>
      </c>
      <c r="S227" s="2954">
        <v>1030108</v>
      </c>
      <c r="T227" s="2954" t="s">
        <v>3233</v>
      </c>
      <c r="U227" s="2954" t="s">
        <v>3299</v>
      </c>
      <c r="V227" s="2956">
        <v>44499</v>
      </c>
      <c r="W227" s="2954" t="s">
        <v>3051</v>
      </c>
      <c r="X227" s="2954" t="s">
        <v>3046</v>
      </c>
      <c r="Y227" s="2954" t="s">
        <v>3283</v>
      </c>
      <c r="Z227" s="2957">
        <v>43374.417488425897</v>
      </c>
      <c r="AA227" s="2954" t="s">
        <v>3772</v>
      </c>
      <c r="AB227" s="2954" t="s">
        <v>3300</v>
      </c>
      <c r="AC227" s="2954" t="s">
        <v>3544</v>
      </c>
      <c r="AD227" s="2954" t="s">
        <v>3283</v>
      </c>
      <c r="AE227" s="2954" t="s">
        <v>3051</v>
      </c>
      <c r="AF227" s="2954" t="s">
        <v>3283</v>
      </c>
    </row>
    <row r="228" spans="1:32" ht="67.5">
      <c r="A228" s="2954">
        <v>6744</v>
      </c>
      <c r="B228" s="2954" t="s">
        <v>3281</v>
      </c>
      <c r="C228" s="2954" t="s">
        <v>3861</v>
      </c>
      <c r="D228" s="2954" t="s">
        <v>3283</v>
      </c>
      <c r="E228" s="2954" t="s">
        <v>3683</v>
      </c>
      <c r="F228" s="2954" t="s">
        <v>3865</v>
      </c>
      <c r="G228" s="2954" t="s">
        <v>3866</v>
      </c>
      <c r="H228" s="2955">
        <v>1130156</v>
      </c>
      <c r="I228" s="2955">
        <v>10580</v>
      </c>
      <c r="J228" s="2955">
        <v>13696</v>
      </c>
      <c r="K228" s="2959">
        <v>106.82</v>
      </c>
      <c r="L228" s="2955">
        <v>82.52</v>
      </c>
      <c r="M228" s="2954" t="s">
        <v>3233</v>
      </c>
      <c r="N228" s="2954" t="s">
        <v>3686</v>
      </c>
      <c r="O228" s="2954" t="s">
        <v>3441</v>
      </c>
      <c r="P228" s="2954" t="s">
        <v>3289</v>
      </c>
      <c r="Q228" s="2954" t="s">
        <v>3864</v>
      </c>
      <c r="R228" s="2954" t="s">
        <v>3291</v>
      </c>
      <c r="S228" s="2954">
        <v>1130156</v>
      </c>
      <c r="T228" s="2954" t="s">
        <v>3233</v>
      </c>
      <c r="U228" s="2954" t="s">
        <v>3299</v>
      </c>
      <c r="V228" s="2956">
        <v>44499</v>
      </c>
      <c r="W228" s="2954" t="s">
        <v>3051</v>
      </c>
      <c r="X228" s="2954" t="s">
        <v>3046</v>
      </c>
      <c r="Y228" s="2954" t="s">
        <v>3283</v>
      </c>
      <c r="Z228" s="2957">
        <v>43374.417488425897</v>
      </c>
      <c r="AA228" s="2954" t="s">
        <v>3772</v>
      </c>
      <c r="AB228" s="2954" t="s">
        <v>3300</v>
      </c>
      <c r="AC228" s="2954" t="s">
        <v>3544</v>
      </c>
      <c r="AD228" s="2954" t="s">
        <v>3283</v>
      </c>
      <c r="AE228" s="2954" t="s">
        <v>3051</v>
      </c>
      <c r="AF228" s="2954" t="s">
        <v>3283</v>
      </c>
    </row>
    <row r="229" spans="1:32" ht="67.5">
      <c r="A229" s="2954">
        <v>6745</v>
      </c>
      <c r="B229" s="2954" t="s">
        <v>3281</v>
      </c>
      <c r="C229" s="2954" t="s">
        <v>3861</v>
      </c>
      <c r="D229" s="2954" t="s">
        <v>3283</v>
      </c>
      <c r="E229" s="2954" t="s">
        <v>3538</v>
      </c>
      <c r="F229" s="2954" t="s">
        <v>3867</v>
      </c>
      <c r="G229" s="2954" t="s">
        <v>3868</v>
      </c>
      <c r="H229" s="2955">
        <v>1026081</v>
      </c>
      <c r="I229" s="2955">
        <v>10980</v>
      </c>
      <c r="J229" s="2955">
        <v>14214</v>
      </c>
      <c r="K229" s="2959">
        <v>93.45</v>
      </c>
      <c r="L229" s="2955">
        <v>72.19</v>
      </c>
      <c r="M229" s="2954" t="s">
        <v>3233</v>
      </c>
      <c r="N229" s="2954" t="s">
        <v>3779</v>
      </c>
      <c r="O229" s="2954" t="s">
        <v>3770</v>
      </c>
      <c r="P229" s="2954" t="s">
        <v>3289</v>
      </c>
      <c r="Q229" s="2954" t="s">
        <v>3864</v>
      </c>
      <c r="R229" s="2954" t="s">
        <v>3291</v>
      </c>
      <c r="S229" s="2954">
        <v>1026081</v>
      </c>
      <c r="T229" s="2954" t="s">
        <v>3233</v>
      </c>
      <c r="U229" s="2954" t="s">
        <v>3299</v>
      </c>
      <c r="V229" s="2956">
        <v>44499</v>
      </c>
      <c r="W229" s="2954" t="s">
        <v>3051</v>
      </c>
      <c r="X229" s="2954" t="s">
        <v>3046</v>
      </c>
      <c r="Y229" s="2954" t="s">
        <v>3283</v>
      </c>
      <c r="Z229" s="2957">
        <v>43374.417488425897</v>
      </c>
      <c r="AA229" s="2954" t="s">
        <v>3772</v>
      </c>
      <c r="AB229" s="2954" t="s">
        <v>3300</v>
      </c>
      <c r="AC229" s="2954" t="s">
        <v>3544</v>
      </c>
      <c r="AD229" s="2954" t="s">
        <v>3283</v>
      </c>
      <c r="AE229" s="2954" t="s">
        <v>3051</v>
      </c>
      <c r="AF229" s="2954" t="s">
        <v>3283</v>
      </c>
    </row>
    <row r="230" spans="1:32" ht="67.5">
      <c r="A230" s="2954">
        <v>6746</v>
      </c>
      <c r="B230" s="2954" t="s">
        <v>3281</v>
      </c>
      <c r="C230" s="2954" t="s">
        <v>3861</v>
      </c>
      <c r="D230" s="2954" t="s">
        <v>3283</v>
      </c>
      <c r="E230" s="2954" t="s">
        <v>3305</v>
      </c>
      <c r="F230" s="2954" t="s">
        <v>3869</v>
      </c>
      <c r="G230" s="2954" t="s">
        <v>3870</v>
      </c>
      <c r="H230" s="2955">
        <v>1031967</v>
      </c>
      <c r="I230" s="2955">
        <v>11100</v>
      </c>
      <c r="J230" s="2955">
        <v>14369</v>
      </c>
      <c r="K230" s="2959">
        <v>92.97</v>
      </c>
      <c r="L230" s="2955">
        <v>71.819999999999993</v>
      </c>
      <c r="M230" s="2954" t="s">
        <v>3233</v>
      </c>
      <c r="N230" s="2954" t="s">
        <v>3769</v>
      </c>
      <c r="O230" s="2954" t="s">
        <v>3770</v>
      </c>
      <c r="P230" s="2954" t="s">
        <v>3289</v>
      </c>
      <c r="Q230" s="2954" t="s">
        <v>3864</v>
      </c>
      <c r="R230" s="2954" t="s">
        <v>3291</v>
      </c>
      <c r="S230" s="2954">
        <v>1031967</v>
      </c>
      <c r="T230" s="2954" t="s">
        <v>3233</v>
      </c>
      <c r="U230" s="2954" t="s">
        <v>3299</v>
      </c>
      <c r="V230" s="2956">
        <v>44499</v>
      </c>
      <c r="W230" s="2954" t="s">
        <v>3051</v>
      </c>
      <c r="X230" s="2954" t="s">
        <v>3046</v>
      </c>
      <c r="Y230" s="2954" t="s">
        <v>3283</v>
      </c>
      <c r="Z230" s="2957">
        <v>43374.417488425897</v>
      </c>
      <c r="AA230" s="2954" t="s">
        <v>3772</v>
      </c>
      <c r="AB230" s="2954" t="s">
        <v>3300</v>
      </c>
      <c r="AC230" s="2954" t="s">
        <v>3544</v>
      </c>
      <c r="AD230" s="2954" t="s">
        <v>3283</v>
      </c>
      <c r="AE230" s="2954" t="s">
        <v>3051</v>
      </c>
      <c r="AF230" s="2954" t="s">
        <v>3283</v>
      </c>
    </row>
    <row r="231" spans="1:32" ht="67.5">
      <c r="A231" s="2954">
        <v>6747</v>
      </c>
      <c r="B231" s="2954" t="s">
        <v>3281</v>
      </c>
      <c r="C231" s="2954" t="s">
        <v>3861</v>
      </c>
      <c r="D231" s="2954" t="s">
        <v>3283</v>
      </c>
      <c r="E231" s="2954" t="s">
        <v>3308</v>
      </c>
      <c r="F231" s="2954" t="s">
        <v>3871</v>
      </c>
      <c r="G231" s="2954" t="s">
        <v>3872</v>
      </c>
      <c r="H231" s="2955">
        <v>1121610</v>
      </c>
      <c r="I231" s="2955">
        <v>10500</v>
      </c>
      <c r="J231" s="2955">
        <v>13592</v>
      </c>
      <c r="K231" s="2959">
        <v>106.82</v>
      </c>
      <c r="L231" s="2955">
        <v>82.52</v>
      </c>
      <c r="M231" s="2954" t="s">
        <v>3233</v>
      </c>
      <c r="N231" s="2954" t="s">
        <v>3681</v>
      </c>
      <c r="O231" s="2954" t="s">
        <v>3441</v>
      </c>
      <c r="P231" s="2954" t="s">
        <v>3289</v>
      </c>
      <c r="Q231" s="2954" t="s">
        <v>3864</v>
      </c>
      <c r="R231" s="2954" t="s">
        <v>3291</v>
      </c>
      <c r="S231" s="2954">
        <v>1121610</v>
      </c>
      <c r="T231" s="2954" t="s">
        <v>3233</v>
      </c>
      <c r="U231" s="2954" t="s">
        <v>3299</v>
      </c>
      <c r="V231" s="2956">
        <v>44499</v>
      </c>
      <c r="W231" s="2954" t="s">
        <v>3051</v>
      </c>
      <c r="X231" s="2954" t="s">
        <v>3046</v>
      </c>
      <c r="Y231" s="2954" t="s">
        <v>3283</v>
      </c>
      <c r="Z231" s="2957">
        <v>43374.417488425897</v>
      </c>
      <c r="AA231" s="2954" t="s">
        <v>3772</v>
      </c>
      <c r="AB231" s="2954" t="s">
        <v>3300</v>
      </c>
      <c r="AC231" s="2954" t="s">
        <v>3544</v>
      </c>
      <c r="AD231" s="2954" t="s">
        <v>3283</v>
      </c>
      <c r="AE231" s="2954" t="s">
        <v>3051</v>
      </c>
      <c r="AF231" s="2954" t="s">
        <v>3283</v>
      </c>
    </row>
    <row r="232" spans="1:32" ht="67.5">
      <c r="A232" s="2954">
        <v>6748</v>
      </c>
      <c r="B232" s="2954" t="s">
        <v>3281</v>
      </c>
      <c r="C232" s="2954" t="s">
        <v>3861</v>
      </c>
      <c r="D232" s="2954" t="s">
        <v>3283</v>
      </c>
      <c r="E232" s="2954" t="s">
        <v>3548</v>
      </c>
      <c r="F232" s="2954" t="s">
        <v>3873</v>
      </c>
      <c r="G232" s="2954" t="s">
        <v>3874</v>
      </c>
      <c r="H232" s="2955">
        <v>1132292</v>
      </c>
      <c r="I232" s="2955">
        <v>10600</v>
      </c>
      <c r="J232" s="2955">
        <v>13721</v>
      </c>
      <c r="K232" s="2959">
        <v>106.82</v>
      </c>
      <c r="L232" s="2955">
        <v>82.52</v>
      </c>
      <c r="M232" s="2954" t="s">
        <v>3233</v>
      </c>
      <c r="N232" s="2954" t="s">
        <v>3686</v>
      </c>
      <c r="O232" s="2954" t="s">
        <v>3441</v>
      </c>
      <c r="P232" s="2954" t="s">
        <v>3289</v>
      </c>
      <c r="Q232" s="2954" t="s">
        <v>3864</v>
      </c>
      <c r="R232" s="2954" t="s">
        <v>3291</v>
      </c>
      <c r="S232" s="2954">
        <v>1132292</v>
      </c>
      <c r="T232" s="2954" t="s">
        <v>3233</v>
      </c>
      <c r="U232" s="2954" t="s">
        <v>3299</v>
      </c>
      <c r="V232" s="2956">
        <v>44499</v>
      </c>
      <c r="W232" s="2954" t="s">
        <v>3051</v>
      </c>
      <c r="X232" s="2954" t="s">
        <v>3046</v>
      </c>
      <c r="Y232" s="2954" t="s">
        <v>3283</v>
      </c>
      <c r="Z232" s="2957">
        <v>43374.417488425897</v>
      </c>
      <c r="AA232" s="2954" t="s">
        <v>3772</v>
      </c>
      <c r="AB232" s="2954" t="s">
        <v>3300</v>
      </c>
      <c r="AC232" s="2954" t="s">
        <v>3544</v>
      </c>
      <c r="AD232" s="2954" t="s">
        <v>3283</v>
      </c>
      <c r="AE232" s="2954" t="s">
        <v>3051</v>
      </c>
      <c r="AF232" s="2954" t="s">
        <v>3283</v>
      </c>
    </row>
    <row r="233" spans="1:32" ht="67.5">
      <c r="A233" s="2954">
        <v>6749</v>
      </c>
      <c r="B233" s="2954" t="s">
        <v>3281</v>
      </c>
      <c r="C233" s="2954" t="s">
        <v>3861</v>
      </c>
      <c r="D233" s="2954" t="s">
        <v>3283</v>
      </c>
      <c r="E233" s="2954" t="s">
        <v>3784</v>
      </c>
      <c r="F233" s="2954" t="s">
        <v>3875</v>
      </c>
      <c r="G233" s="2954" t="s">
        <v>3876</v>
      </c>
      <c r="H233" s="2955">
        <v>1027950</v>
      </c>
      <c r="I233" s="2955">
        <v>11000</v>
      </c>
      <c r="J233" s="2955">
        <v>14240</v>
      </c>
      <c r="K233" s="2959">
        <v>93.45</v>
      </c>
      <c r="L233" s="2955">
        <v>72.19</v>
      </c>
      <c r="M233" s="2954" t="s">
        <v>3233</v>
      </c>
      <c r="N233" s="2954" t="s">
        <v>3779</v>
      </c>
      <c r="O233" s="2954" t="s">
        <v>3770</v>
      </c>
      <c r="P233" s="2954" t="s">
        <v>3289</v>
      </c>
      <c r="Q233" s="2954" t="s">
        <v>3864</v>
      </c>
      <c r="R233" s="2954" t="s">
        <v>3291</v>
      </c>
      <c r="S233" s="2954">
        <v>1027950</v>
      </c>
      <c r="T233" s="2954" t="s">
        <v>3233</v>
      </c>
      <c r="U233" s="2954" t="s">
        <v>3299</v>
      </c>
      <c r="V233" s="2956">
        <v>44499</v>
      </c>
      <c r="W233" s="2954" t="s">
        <v>3051</v>
      </c>
      <c r="X233" s="2954" t="s">
        <v>3046</v>
      </c>
      <c r="Y233" s="2954" t="s">
        <v>3283</v>
      </c>
      <c r="Z233" s="2957">
        <v>43374.417488425897</v>
      </c>
      <c r="AA233" s="2954" t="s">
        <v>3772</v>
      </c>
      <c r="AB233" s="2954" t="s">
        <v>3300</v>
      </c>
      <c r="AC233" s="2954" t="s">
        <v>3544</v>
      </c>
      <c r="AD233" s="2954" t="s">
        <v>3283</v>
      </c>
      <c r="AE233" s="2954" t="s">
        <v>3051</v>
      </c>
      <c r="AF233" s="2954" t="s">
        <v>3283</v>
      </c>
    </row>
    <row r="234" spans="1:32" ht="67.5">
      <c r="A234" s="2954">
        <v>6750</v>
      </c>
      <c r="B234" s="2954" t="s">
        <v>3281</v>
      </c>
      <c r="C234" s="2954" t="s">
        <v>3861</v>
      </c>
      <c r="D234" s="2954" t="s">
        <v>3283</v>
      </c>
      <c r="E234" s="2954" t="s">
        <v>3311</v>
      </c>
      <c r="F234" s="2954" t="s">
        <v>3877</v>
      </c>
      <c r="G234" s="2954" t="s">
        <v>3878</v>
      </c>
      <c r="H234" s="2955">
        <v>1033826</v>
      </c>
      <c r="I234" s="2955">
        <v>11120</v>
      </c>
      <c r="J234" s="2955">
        <v>14395</v>
      </c>
      <c r="K234" s="2959">
        <v>92.97</v>
      </c>
      <c r="L234" s="2955">
        <v>71.819999999999993</v>
      </c>
      <c r="M234" s="2954" t="s">
        <v>3233</v>
      </c>
      <c r="N234" s="2954" t="s">
        <v>3769</v>
      </c>
      <c r="O234" s="2954" t="s">
        <v>3770</v>
      </c>
      <c r="P234" s="2954" t="s">
        <v>3289</v>
      </c>
      <c r="Q234" s="2954" t="s">
        <v>3864</v>
      </c>
      <c r="R234" s="2954" t="s">
        <v>3291</v>
      </c>
      <c r="S234" s="2954">
        <v>1033826</v>
      </c>
      <c r="T234" s="2954" t="s">
        <v>3233</v>
      </c>
      <c r="U234" s="2954" t="s">
        <v>3299</v>
      </c>
      <c r="V234" s="2956">
        <v>44499</v>
      </c>
      <c r="W234" s="2954" t="s">
        <v>3051</v>
      </c>
      <c r="X234" s="2954" t="s">
        <v>3046</v>
      </c>
      <c r="Y234" s="2954" t="s">
        <v>3283</v>
      </c>
      <c r="Z234" s="2957">
        <v>43374.417488425897</v>
      </c>
      <c r="AA234" s="2954" t="s">
        <v>3772</v>
      </c>
      <c r="AB234" s="2954" t="s">
        <v>3300</v>
      </c>
      <c r="AC234" s="2954" t="s">
        <v>3544</v>
      </c>
      <c r="AD234" s="2954" t="s">
        <v>3283</v>
      </c>
      <c r="AE234" s="2954" t="s">
        <v>3051</v>
      </c>
      <c r="AF234" s="2954" t="s">
        <v>3283</v>
      </c>
    </row>
    <row r="235" spans="1:32" ht="67.5">
      <c r="A235" s="2954">
        <v>6751</v>
      </c>
      <c r="B235" s="2954" t="s">
        <v>3281</v>
      </c>
      <c r="C235" s="2954" t="s">
        <v>3861</v>
      </c>
      <c r="D235" s="2954" t="s">
        <v>3283</v>
      </c>
      <c r="E235" s="2954" t="s">
        <v>3314</v>
      </c>
      <c r="F235" s="2954" t="s">
        <v>3879</v>
      </c>
      <c r="G235" s="2954" t="s">
        <v>3880</v>
      </c>
      <c r="H235" s="2955">
        <v>1123746</v>
      </c>
      <c r="I235" s="2955">
        <v>10520</v>
      </c>
      <c r="J235" s="2955">
        <v>13618</v>
      </c>
      <c r="K235" s="2959">
        <v>106.82</v>
      </c>
      <c r="L235" s="2955">
        <v>82.52</v>
      </c>
      <c r="M235" s="2954" t="s">
        <v>3233</v>
      </c>
      <c r="N235" s="2954" t="s">
        <v>3681</v>
      </c>
      <c r="O235" s="2954" t="s">
        <v>3441</v>
      </c>
      <c r="P235" s="2954" t="s">
        <v>3289</v>
      </c>
      <c r="Q235" s="2954" t="s">
        <v>3864</v>
      </c>
      <c r="R235" s="2954" t="s">
        <v>3291</v>
      </c>
      <c r="S235" s="2954">
        <v>1123746</v>
      </c>
      <c r="T235" s="2954" t="s">
        <v>3233</v>
      </c>
      <c r="U235" s="2954" t="s">
        <v>3299</v>
      </c>
      <c r="V235" s="2956">
        <v>44499</v>
      </c>
      <c r="W235" s="2954" t="s">
        <v>3051</v>
      </c>
      <c r="X235" s="2954" t="s">
        <v>3046</v>
      </c>
      <c r="Y235" s="2954" t="s">
        <v>3283</v>
      </c>
      <c r="Z235" s="2957">
        <v>43374.417488425897</v>
      </c>
      <c r="AA235" s="2954" t="s">
        <v>3772</v>
      </c>
      <c r="AB235" s="2954" t="s">
        <v>3300</v>
      </c>
      <c r="AC235" s="2954" t="s">
        <v>3544</v>
      </c>
      <c r="AD235" s="2954" t="s">
        <v>3283</v>
      </c>
      <c r="AE235" s="2954" t="s">
        <v>3051</v>
      </c>
      <c r="AF235" s="2954" t="s">
        <v>3283</v>
      </c>
    </row>
    <row r="236" spans="1:32" ht="67.5">
      <c r="A236" s="2954">
        <v>6752</v>
      </c>
      <c r="B236" s="2954" t="s">
        <v>3281</v>
      </c>
      <c r="C236" s="2954" t="s">
        <v>3861</v>
      </c>
      <c r="D236" s="2954" t="s">
        <v>3283</v>
      </c>
      <c r="E236" s="2954" t="s">
        <v>3554</v>
      </c>
      <c r="F236" s="2954" t="s">
        <v>3881</v>
      </c>
      <c r="G236" s="2954" t="s">
        <v>3882</v>
      </c>
      <c r="H236" s="2955">
        <v>1134428</v>
      </c>
      <c r="I236" s="2955">
        <v>10620</v>
      </c>
      <c r="J236" s="2955">
        <v>13747</v>
      </c>
      <c r="K236" s="2959">
        <v>106.82</v>
      </c>
      <c r="L236" s="2955">
        <v>82.52</v>
      </c>
      <c r="M236" s="2954" t="s">
        <v>3233</v>
      </c>
      <c r="N236" s="2954" t="s">
        <v>3686</v>
      </c>
      <c r="O236" s="2954" t="s">
        <v>3441</v>
      </c>
      <c r="P236" s="2954" t="s">
        <v>3289</v>
      </c>
      <c r="Q236" s="2954" t="s">
        <v>3864</v>
      </c>
      <c r="R236" s="2954" t="s">
        <v>3291</v>
      </c>
      <c r="S236" s="2954">
        <v>1134428</v>
      </c>
      <c r="T236" s="2954" t="s">
        <v>3233</v>
      </c>
      <c r="U236" s="2954" t="s">
        <v>3299</v>
      </c>
      <c r="V236" s="2956">
        <v>44499</v>
      </c>
      <c r="W236" s="2954" t="s">
        <v>3051</v>
      </c>
      <c r="X236" s="2954" t="s">
        <v>3046</v>
      </c>
      <c r="Y236" s="2954" t="s">
        <v>3283</v>
      </c>
      <c r="Z236" s="2957">
        <v>43374.417488425897</v>
      </c>
      <c r="AA236" s="2954" t="s">
        <v>3772</v>
      </c>
      <c r="AB236" s="2954" t="s">
        <v>3300</v>
      </c>
      <c r="AC236" s="2954" t="s">
        <v>3544</v>
      </c>
      <c r="AD236" s="2954" t="s">
        <v>3283</v>
      </c>
      <c r="AE236" s="2954" t="s">
        <v>3051</v>
      </c>
      <c r="AF236" s="2954" t="s">
        <v>3283</v>
      </c>
    </row>
    <row r="237" spans="1:32" ht="67.5">
      <c r="A237" s="2954">
        <v>6753</v>
      </c>
      <c r="B237" s="2954" t="s">
        <v>3281</v>
      </c>
      <c r="C237" s="2954" t="s">
        <v>3861</v>
      </c>
      <c r="D237" s="2954" t="s">
        <v>3283</v>
      </c>
      <c r="E237" s="2954" t="s">
        <v>3557</v>
      </c>
      <c r="F237" s="2954" t="s">
        <v>3883</v>
      </c>
      <c r="G237" s="2954" t="s">
        <v>3884</v>
      </c>
      <c r="H237" s="2955">
        <v>1029819</v>
      </c>
      <c r="I237" s="2955">
        <v>11020</v>
      </c>
      <c r="J237" s="2955">
        <v>14265</v>
      </c>
      <c r="K237" s="2959">
        <v>93.45</v>
      </c>
      <c r="L237" s="2955">
        <v>72.19</v>
      </c>
      <c r="M237" s="2954" t="s">
        <v>3233</v>
      </c>
      <c r="N237" s="2954" t="s">
        <v>3779</v>
      </c>
      <c r="O237" s="2954" t="s">
        <v>3770</v>
      </c>
      <c r="P237" s="2954" t="s">
        <v>3289</v>
      </c>
      <c r="Q237" s="2954" t="s">
        <v>3864</v>
      </c>
      <c r="R237" s="2954" t="s">
        <v>3291</v>
      </c>
      <c r="S237" s="2954">
        <v>1029819</v>
      </c>
      <c r="T237" s="2954" t="s">
        <v>3233</v>
      </c>
      <c r="U237" s="2954" t="s">
        <v>3299</v>
      </c>
      <c r="V237" s="2956">
        <v>44499</v>
      </c>
      <c r="W237" s="2954" t="s">
        <v>3051</v>
      </c>
      <c r="X237" s="2954" t="s">
        <v>3046</v>
      </c>
      <c r="Y237" s="2954" t="s">
        <v>3283</v>
      </c>
      <c r="Z237" s="2957">
        <v>43374.417488425897</v>
      </c>
      <c r="AA237" s="2954" t="s">
        <v>3772</v>
      </c>
      <c r="AB237" s="2954" t="s">
        <v>3300</v>
      </c>
      <c r="AC237" s="2954" t="s">
        <v>3544</v>
      </c>
      <c r="AD237" s="2954" t="s">
        <v>3283</v>
      </c>
      <c r="AE237" s="2954" t="s">
        <v>3051</v>
      </c>
      <c r="AF237" s="2954" t="s">
        <v>3283</v>
      </c>
    </row>
    <row r="238" spans="1:32" ht="67.5">
      <c r="A238" s="2954">
        <v>6754</v>
      </c>
      <c r="B238" s="2954" t="s">
        <v>3281</v>
      </c>
      <c r="C238" s="2954" t="s">
        <v>3861</v>
      </c>
      <c r="D238" s="2954" t="s">
        <v>3283</v>
      </c>
      <c r="E238" s="2954" t="s">
        <v>3317</v>
      </c>
      <c r="F238" s="2954" t="s">
        <v>3885</v>
      </c>
      <c r="G238" s="2954" t="s">
        <v>3886</v>
      </c>
      <c r="H238" s="2955">
        <v>1035686</v>
      </c>
      <c r="I238" s="2955">
        <v>11140</v>
      </c>
      <c r="J238" s="2955">
        <v>14421</v>
      </c>
      <c r="K238" s="2959">
        <v>92.97</v>
      </c>
      <c r="L238" s="2955">
        <v>71.819999999999993</v>
      </c>
      <c r="M238" s="2954" t="s">
        <v>3233</v>
      </c>
      <c r="N238" s="2954" t="s">
        <v>3769</v>
      </c>
      <c r="O238" s="2954" t="s">
        <v>3770</v>
      </c>
      <c r="P238" s="2954" t="s">
        <v>3289</v>
      </c>
      <c r="Q238" s="2954" t="s">
        <v>3864</v>
      </c>
      <c r="R238" s="2954" t="s">
        <v>3291</v>
      </c>
      <c r="S238" s="2954">
        <v>1035686</v>
      </c>
      <c r="T238" s="2954" t="s">
        <v>3233</v>
      </c>
      <c r="U238" s="2954" t="s">
        <v>3299</v>
      </c>
      <c r="V238" s="2956">
        <v>44499</v>
      </c>
      <c r="W238" s="2954" t="s">
        <v>3051</v>
      </c>
      <c r="X238" s="2954" t="s">
        <v>3046</v>
      </c>
      <c r="Y238" s="2954" t="s">
        <v>3283</v>
      </c>
      <c r="Z238" s="2957">
        <v>43374.417488425897</v>
      </c>
      <c r="AA238" s="2954" t="s">
        <v>3772</v>
      </c>
      <c r="AB238" s="2954" t="s">
        <v>3300</v>
      </c>
      <c r="AC238" s="2954" t="s">
        <v>3544</v>
      </c>
      <c r="AD238" s="2954" t="s">
        <v>3283</v>
      </c>
      <c r="AE238" s="2954" t="s">
        <v>3051</v>
      </c>
      <c r="AF238" s="2954" t="s">
        <v>3283</v>
      </c>
    </row>
    <row r="239" spans="1:32" ht="67.5">
      <c r="A239" s="2954">
        <v>6755</v>
      </c>
      <c r="B239" s="2954" t="s">
        <v>3281</v>
      </c>
      <c r="C239" s="2954" t="s">
        <v>3861</v>
      </c>
      <c r="D239" s="2954" t="s">
        <v>3283</v>
      </c>
      <c r="E239" s="2954" t="s">
        <v>3392</v>
      </c>
      <c r="F239" s="2954" t="s">
        <v>3887</v>
      </c>
      <c r="G239" s="2954" t="s">
        <v>3888</v>
      </c>
      <c r="H239" s="2955">
        <v>1125883</v>
      </c>
      <c r="I239" s="2955">
        <v>10540</v>
      </c>
      <c r="J239" s="2955">
        <v>13644</v>
      </c>
      <c r="K239" s="2959">
        <v>106.82</v>
      </c>
      <c r="L239" s="2955">
        <v>82.52</v>
      </c>
      <c r="M239" s="2954" t="s">
        <v>3233</v>
      </c>
      <c r="N239" s="2954" t="s">
        <v>3681</v>
      </c>
      <c r="O239" s="2954" t="s">
        <v>3441</v>
      </c>
      <c r="P239" s="2954" t="s">
        <v>3289</v>
      </c>
      <c r="Q239" s="2954" t="s">
        <v>3864</v>
      </c>
      <c r="R239" s="2954" t="s">
        <v>3291</v>
      </c>
      <c r="S239" s="2954">
        <v>1125883</v>
      </c>
      <c r="T239" s="2954" t="s">
        <v>3233</v>
      </c>
      <c r="U239" s="2954" t="s">
        <v>3299</v>
      </c>
      <c r="V239" s="2956">
        <v>44499</v>
      </c>
      <c r="W239" s="2954" t="s">
        <v>3051</v>
      </c>
      <c r="X239" s="2954" t="s">
        <v>3046</v>
      </c>
      <c r="Y239" s="2954" t="s">
        <v>3283</v>
      </c>
      <c r="Z239" s="2957">
        <v>43374.417488425897</v>
      </c>
      <c r="AA239" s="2954" t="s">
        <v>3772</v>
      </c>
      <c r="AB239" s="2954" t="s">
        <v>3300</v>
      </c>
      <c r="AC239" s="2954" t="s">
        <v>3544</v>
      </c>
      <c r="AD239" s="2954" t="s">
        <v>3283</v>
      </c>
      <c r="AE239" s="2954" t="s">
        <v>3051</v>
      </c>
      <c r="AF239" s="2954" t="s">
        <v>3283</v>
      </c>
    </row>
    <row r="240" spans="1:32" ht="67.5">
      <c r="A240" s="2954">
        <v>6756</v>
      </c>
      <c r="B240" s="2954" t="s">
        <v>3281</v>
      </c>
      <c r="C240" s="2954" t="s">
        <v>3861</v>
      </c>
      <c r="D240" s="2954" t="s">
        <v>3283</v>
      </c>
      <c r="E240" s="2954" t="s">
        <v>3562</v>
      </c>
      <c r="F240" s="2954" t="s">
        <v>3889</v>
      </c>
      <c r="G240" s="2954" t="s">
        <v>3890</v>
      </c>
      <c r="H240" s="2955">
        <v>1136565</v>
      </c>
      <c r="I240" s="2955">
        <v>10640</v>
      </c>
      <c r="J240" s="2955">
        <v>13773</v>
      </c>
      <c r="K240" s="2959">
        <v>106.82</v>
      </c>
      <c r="L240" s="2955">
        <v>82.52</v>
      </c>
      <c r="M240" s="2954" t="s">
        <v>3233</v>
      </c>
      <c r="N240" s="2954" t="s">
        <v>3686</v>
      </c>
      <c r="O240" s="2954" t="s">
        <v>3441</v>
      </c>
      <c r="P240" s="2954" t="s">
        <v>3289</v>
      </c>
      <c r="Q240" s="2954" t="s">
        <v>3864</v>
      </c>
      <c r="R240" s="2954" t="s">
        <v>3291</v>
      </c>
      <c r="S240" s="2954">
        <v>1136565</v>
      </c>
      <c r="T240" s="2954" t="s">
        <v>3233</v>
      </c>
      <c r="U240" s="2954" t="s">
        <v>3299</v>
      </c>
      <c r="V240" s="2956">
        <v>44499</v>
      </c>
      <c r="W240" s="2954" t="s">
        <v>3051</v>
      </c>
      <c r="X240" s="2954" t="s">
        <v>3046</v>
      </c>
      <c r="Y240" s="2954" t="s">
        <v>3283</v>
      </c>
      <c r="Z240" s="2957">
        <v>43374.417488425897</v>
      </c>
      <c r="AA240" s="2954" t="s">
        <v>3772</v>
      </c>
      <c r="AB240" s="2954" t="s">
        <v>3300</v>
      </c>
      <c r="AC240" s="2954" t="s">
        <v>3544</v>
      </c>
      <c r="AD240" s="2954" t="s">
        <v>3283</v>
      </c>
      <c r="AE240" s="2954" t="s">
        <v>3051</v>
      </c>
      <c r="AF240" s="2954" t="s">
        <v>3283</v>
      </c>
    </row>
    <row r="241" spans="1:32" ht="67.5">
      <c r="A241" s="2954">
        <v>6760</v>
      </c>
      <c r="B241" s="2954" t="s">
        <v>3281</v>
      </c>
      <c r="C241" s="2954" t="s">
        <v>3861</v>
      </c>
      <c r="D241" s="2954" t="s">
        <v>3283</v>
      </c>
      <c r="E241" s="2954" t="s">
        <v>3567</v>
      </c>
      <c r="F241" s="2954" t="s">
        <v>3891</v>
      </c>
      <c r="G241" s="2954" t="s">
        <v>3892</v>
      </c>
      <c r="H241" s="2955">
        <v>1138701</v>
      </c>
      <c r="I241" s="2955">
        <v>10660</v>
      </c>
      <c r="J241" s="2955">
        <v>13799</v>
      </c>
      <c r="K241" s="2959">
        <v>106.82</v>
      </c>
      <c r="L241" s="2955">
        <v>82.52</v>
      </c>
      <c r="M241" s="2954" t="s">
        <v>3233</v>
      </c>
      <c r="N241" s="2954" t="s">
        <v>3686</v>
      </c>
      <c r="O241" s="2954" t="s">
        <v>3441</v>
      </c>
      <c r="P241" s="2954" t="s">
        <v>3289</v>
      </c>
      <c r="Q241" s="2954" t="s">
        <v>3864</v>
      </c>
      <c r="R241" s="2954" t="s">
        <v>3291</v>
      </c>
      <c r="S241" s="2954">
        <v>1138701</v>
      </c>
      <c r="T241" s="2954" t="s">
        <v>3233</v>
      </c>
      <c r="U241" s="2954" t="s">
        <v>3299</v>
      </c>
      <c r="V241" s="2956">
        <v>44499</v>
      </c>
      <c r="W241" s="2954" t="s">
        <v>3051</v>
      </c>
      <c r="X241" s="2954" t="s">
        <v>3046</v>
      </c>
      <c r="Y241" s="2954" t="s">
        <v>3283</v>
      </c>
      <c r="Z241" s="2957">
        <v>43374.417488425897</v>
      </c>
      <c r="AA241" s="2954" t="s">
        <v>3772</v>
      </c>
      <c r="AB241" s="2954" t="s">
        <v>3300</v>
      </c>
      <c r="AC241" s="2954" t="s">
        <v>3544</v>
      </c>
      <c r="AD241" s="2954" t="s">
        <v>3283</v>
      </c>
      <c r="AE241" s="2954" t="s">
        <v>3051</v>
      </c>
      <c r="AF241" s="2954" t="s">
        <v>3283</v>
      </c>
    </row>
    <row r="242" spans="1:32" ht="67.5">
      <c r="A242" s="2954">
        <v>6761</v>
      </c>
      <c r="B242" s="2954" t="s">
        <v>3281</v>
      </c>
      <c r="C242" s="2954" t="s">
        <v>3861</v>
      </c>
      <c r="D242" s="2954" t="s">
        <v>3283</v>
      </c>
      <c r="E242" s="2954" t="s">
        <v>3893</v>
      </c>
      <c r="F242" s="2954" t="s">
        <v>3894</v>
      </c>
      <c r="G242" s="2954" t="s">
        <v>3895</v>
      </c>
      <c r="H242" s="2955">
        <v>1033557</v>
      </c>
      <c r="I242" s="2955">
        <v>11060</v>
      </c>
      <c r="J242" s="2955">
        <v>14317</v>
      </c>
      <c r="K242" s="2959">
        <v>93.45</v>
      </c>
      <c r="L242" s="2955">
        <v>72.19</v>
      </c>
      <c r="M242" s="2954" t="s">
        <v>3233</v>
      </c>
      <c r="N242" s="2954" t="s">
        <v>3779</v>
      </c>
      <c r="O242" s="2954" t="s">
        <v>3770</v>
      </c>
      <c r="P242" s="2954" t="s">
        <v>3289</v>
      </c>
      <c r="Q242" s="2954" t="s">
        <v>3864</v>
      </c>
      <c r="R242" s="2954" t="s">
        <v>3291</v>
      </c>
      <c r="S242" s="2954">
        <v>1033557</v>
      </c>
      <c r="T242" s="2954" t="s">
        <v>3233</v>
      </c>
      <c r="U242" s="2954" t="s">
        <v>3299</v>
      </c>
      <c r="V242" s="2956">
        <v>44499</v>
      </c>
      <c r="W242" s="2954" t="s">
        <v>3051</v>
      </c>
      <c r="X242" s="2954" t="s">
        <v>3046</v>
      </c>
      <c r="Y242" s="2954" t="s">
        <v>3283</v>
      </c>
      <c r="Z242" s="2957">
        <v>43374.417488425897</v>
      </c>
      <c r="AA242" s="2954" t="s">
        <v>3772</v>
      </c>
      <c r="AB242" s="2954" t="s">
        <v>3300</v>
      </c>
      <c r="AC242" s="2954" t="s">
        <v>3544</v>
      </c>
      <c r="AD242" s="2954" t="s">
        <v>3283</v>
      </c>
      <c r="AE242" s="2954" t="s">
        <v>3051</v>
      </c>
      <c r="AF242" s="2954" t="s">
        <v>3283</v>
      </c>
    </row>
    <row r="243" spans="1:32" ht="67.5">
      <c r="A243" s="2954">
        <v>6763</v>
      </c>
      <c r="B243" s="2954" t="s">
        <v>3281</v>
      </c>
      <c r="C243" s="2954" t="s">
        <v>3861</v>
      </c>
      <c r="D243" s="2954" t="s">
        <v>3283</v>
      </c>
      <c r="E243" s="2954" t="s">
        <v>3401</v>
      </c>
      <c r="F243" s="2954" t="s">
        <v>3896</v>
      </c>
      <c r="G243" s="2954" t="s">
        <v>3897</v>
      </c>
      <c r="H243" s="2955">
        <v>1130156</v>
      </c>
      <c r="I243" s="2955">
        <v>10580</v>
      </c>
      <c r="J243" s="2955">
        <v>13696</v>
      </c>
      <c r="K243" s="2959">
        <v>106.82</v>
      </c>
      <c r="L243" s="2955">
        <v>82.52</v>
      </c>
      <c r="M243" s="2954" t="s">
        <v>3233</v>
      </c>
      <c r="N243" s="2954" t="s">
        <v>3681</v>
      </c>
      <c r="O243" s="2954" t="s">
        <v>3441</v>
      </c>
      <c r="P243" s="2954" t="s">
        <v>3289</v>
      </c>
      <c r="Q243" s="2954" t="s">
        <v>3864</v>
      </c>
      <c r="R243" s="2954" t="s">
        <v>3291</v>
      </c>
      <c r="S243" s="2954">
        <v>1130156</v>
      </c>
      <c r="T243" s="2954" t="s">
        <v>3233</v>
      </c>
      <c r="U243" s="2954" t="s">
        <v>3299</v>
      </c>
      <c r="V243" s="2956">
        <v>44499</v>
      </c>
      <c r="W243" s="2954" t="s">
        <v>3051</v>
      </c>
      <c r="X243" s="2954" t="s">
        <v>3046</v>
      </c>
      <c r="Y243" s="2954" t="s">
        <v>3283</v>
      </c>
      <c r="Z243" s="2957">
        <v>43374.417488425897</v>
      </c>
      <c r="AA243" s="2954" t="s">
        <v>3772</v>
      </c>
      <c r="AB243" s="2954" t="s">
        <v>3300</v>
      </c>
      <c r="AC243" s="2954" t="s">
        <v>3544</v>
      </c>
      <c r="AD243" s="2954" t="s">
        <v>3283</v>
      </c>
      <c r="AE243" s="2954" t="s">
        <v>3051</v>
      </c>
      <c r="AF243" s="2954" t="s">
        <v>3283</v>
      </c>
    </row>
    <row r="244" spans="1:32" ht="67.5">
      <c r="A244" s="2954">
        <v>6764</v>
      </c>
      <c r="B244" s="2954" t="s">
        <v>3281</v>
      </c>
      <c r="C244" s="2954" t="s">
        <v>3861</v>
      </c>
      <c r="D244" s="2954" t="s">
        <v>3283</v>
      </c>
      <c r="E244" s="2954" t="s">
        <v>3572</v>
      </c>
      <c r="F244" s="2954" t="s">
        <v>3898</v>
      </c>
      <c r="G244" s="2954" t="s">
        <v>3899</v>
      </c>
      <c r="H244" s="2955">
        <v>1140838</v>
      </c>
      <c r="I244" s="2955">
        <v>10680</v>
      </c>
      <c r="J244" s="2955">
        <v>13825</v>
      </c>
      <c r="K244" s="2959">
        <v>106.82</v>
      </c>
      <c r="L244" s="2955">
        <v>82.52</v>
      </c>
      <c r="M244" s="2954" t="s">
        <v>3233</v>
      </c>
      <c r="N244" s="2954" t="s">
        <v>3686</v>
      </c>
      <c r="O244" s="2954" t="s">
        <v>3441</v>
      </c>
      <c r="P244" s="2954" t="s">
        <v>3289</v>
      </c>
      <c r="Q244" s="2954" t="s">
        <v>3864</v>
      </c>
      <c r="R244" s="2954" t="s">
        <v>3291</v>
      </c>
      <c r="S244" s="2954">
        <v>1140838</v>
      </c>
      <c r="T244" s="2954" t="s">
        <v>3233</v>
      </c>
      <c r="U244" s="2954" t="s">
        <v>3299</v>
      </c>
      <c r="V244" s="2956">
        <v>44499</v>
      </c>
      <c r="W244" s="2954" t="s">
        <v>3051</v>
      </c>
      <c r="X244" s="2954" t="s">
        <v>3046</v>
      </c>
      <c r="Y244" s="2954" t="s">
        <v>3283</v>
      </c>
      <c r="Z244" s="2957">
        <v>43374.417488425897</v>
      </c>
      <c r="AA244" s="2954" t="s">
        <v>3772</v>
      </c>
      <c r="AB244" s="2954" t="s">
        <v>3300</v>
      </c>
      <c r="AC244" s="2954" t="s">
        <v>3544</v>
      </c>
      <c r="AD244" s="2954" t="s">
        <v>3283</v>
      </c>
      <c r="AE244" s="2954" t="s">
        <v>3051</v>
      </c>
      <c r="AF244" s="2954" t="s">
        <v>3283</v>
      </c>
    </row>
    <row r="245" spans="1:32" ht="67.5">
      <c r="A245" s="2954">
        <v>6767</v>
      </c>
      <c r="B245" s="2954" t="s">
        <v>3281</v>
      </c>
      <c r="C245" s="2954" t="s">
        <v>3861</v>
      </c>
      <c r="D245" s="2954" t="s">
        <v>3283</v>
      </c>
      <c r="E245" s="2954" t="s">
        <v>3332</v>
      </c>
      <c r="F245" s="2954" t="s">
        <v>3900</v>
      </c>
      <c r="G245" s="2954" t="s">
        <v>3901</v>
      </c>
      <c r="H245" s="2955">
        <v>1132292</v>
      </c>
      <c r="I245" s="2955">
        <v>10600</v>
      </c>
      <c r="J245" s="2955">
        <v>13721</v>
      </c>
      <c r="K245" s="2959">
        <v>106.82</v>
      </c>
      <c r="L245" s="2955">
        <v>82.52</v>
      </c>
      <c r="M245" s="2954" t="s">
        <v>3233</v>
      </c>
      <c r="N245" s="2954" t="s">
        <v>3681</v>
      </c>
      <c r="O245" s="2954" t="s">
        <v>3441</v>
      </c>
      <c r="P245" s="2954" t="s">
        <v>3289</v>
      </c>
      <c r="Q245" s="2954" t="s">
        <v>3864</v>
      </c>
      <c r="R245" s="2954" t="s">
        <v>3291</v>
      </c>
      <c r="S245" s="2954">
        <v>1132292</v>
      </c>
      <c r="T245" s="2954" t="s">
        <v>3233</v>
      </c>
      <c r="U245" s="2954" t="s">
        <v>3299</v>
      </c>
      <c r="V245" s="2956">
        <v>44499</v>
      </c>
      <c r="W245" s="2954" t="s">
        <v>3051</v>
      </c>
      <c r="X245" s="2954" t="s">
        <v>3046</v>
      </c>
      <c r="Y245" s="2954" t="s">
        <v>3283</v>
      </c>
      <c r="Z245" s="2957">
        <v>43374.417488425897</v>
      </c>
      <c r="AA245" s="2954" t="s">
        <v>3772</v>
      </c>
      <c r="AB245" s="2954" t="s">
        <v>3300</v>
      </c>
      <c r="AC245" s="2954" t="s">
        <v>3544</v>
      </c>
      <c r="AD245" s="2954" t="s">
        <v>3283</v>
      </c>
      <c r="AE245" s="2954" t="s">
        <v>3051</v>
      </c>
      <c r="AF245" s="2954" t="s">
        <v>3283</v>
      </c>
    </row>
    <row r="246" spans="1:32" ht="67.5">
      <c r="A246" s="2954">
        <v>6768</v>
      </c>
      <c r="B246" s="2954" t="s">
        <v>3281</v>
      </c>
      <c r="C246" s="2954" t="s">
        <v>3861</v>
      </c>
      <c r="D246" s="2954" t="s">
        <v>3283</v>
      </c>
      <c r="E246" s="2954" t="s">
        <v>3705</v>
      </c>
      <c r="F246" s="2954" t="s">
        <v>3902</v>
      </c>
      <c r="G246" s="2954" t="s">
        <v>3903</v>
      </c>
      <c r="H246" s="2955">
        <v>1142974</v>
      </c>
      <c r="I246" s="2955">
        <v>10700</v>
      </c>
      <c r="J246" s="2955">
        <v>13851</v>
      </c>
      <c r="K246" s="2959">
        <v>106.82</v>
      </c>
      <c r="L246" s="2955">
        <v>82.52</v>
      </c>
      <c r="M246" s="2954" t="s">
        <v>3233</v>
      </c>
      <c r="N246" s="2954" t="s">
        <v>3686</v>
      </c>
      <c r="O246" s="2954" t="s">
        <v>3441</v>
      </c>
      <c r="P246" s="2954" t="s">
        <v>3289</v>
      </c>
      <c r="Q246" s="2954" t="s">
        <v>3864</v>
      </c>
      <c r="R246" s="2954" t="s">
        <v>3291</v>
      </c>
      <c r="S246" s="2954">
        <v>1142974</v>
      </c>
      <c r="T246" s="2954" t="s">
        <v>3233</v>
      </c>
      <c r="U246" s="2954" t="s">
        <v>3299</v>
      </c>
      <c r="V246" s="2956">
        <v>44499</v>
      </c>
      <c r="W246" s="2954" t="s">
        <v>3051</v>
      </c>
      <c r="X246" s="2954" t="s">
        <v>3046</v>
      </c>
      <c r="Y246" s="2954" t="s">
        <v>3283</v>
      </c>
      <c r="Z246" s="2957">
        <v>43374.417488425897</v>
      </c>
      <c r="AA246" s="2954" t="s">
        <v>3772</v>
      </c>
      <c r="AB246" s="2954" t="s">
        <v>3300</v>
      </c>
      <c r="AC246" s="2954" t="s">
        <v>3544</v>
      </c>
      <c r="AD246" s="2954" t="s">
        <v>3283</v>
      </c>
      <c r="AE246" s="2954" t="s">
        <v>3051</v>
      </c>
      <c r="AF246" s="2954" t="s">
        <v>3283</v>
      </c>
    </row>
    <row r="247" spans="1:32" ht="67.5">
      <c r="A247" s="2954">
        <v>6771</v>
      </c>
      <c r="B247" s="2954" t="s">
        <v>3281</v>
      </c>
      <c r="C247" s="2954" t="s">
        <v>3861</v>
      </c>
      <c r="D247" s="2954" t="s">
        <v>3283</v>
      </c>
      <c r="E247" s="2954" t="s">
        <v>3335</v>
      </c>
      <c r="F247" s="2954" t="s">
        <v>3904</v>
      </c>
      <c r="G247" s="2954" t="s">
        <v>3905</v>
      </c>
      <c r="H247" s="2955">
        <v>1134428</v>
      </c>
      <c r="I247" s="2955">
        <v>10620</v>
      </c>
      <c r="J247" s="2955">
        <v>13747</v>
      </c>
      <c r="K247" s="2959">
        <v>106.82</v>
      </c>
      <c r="L247" s="2955">
        <v>82.52</v>
      </c>
      <c r="M247" s="2954" t="s">
        <v>3233</v>
      </c>
      <c r="N247" s="2954" t="s">
        <v>3681</v>
      </c>
      <c r="O247" s="2954" t="s">
        <v>3441</v>
      </c>
      <c r="P247" s="2954" t="s">
        <v>3289</v>
      </c>
      <c r="Q247" s="2954" t="s">
        <v>3864</v>
      </c>
      <c r="R247" s="2954" t="s">
        <v>3291</v>
      </c>
      <c r="S247" s="2954">
        <v>1134428</v>
      </c>
      <c r="T247" s="2954" t="s">
        <v>3233</v>
      </c>
      <c r="U247" s="2954" t="s">
        <v>3299</v>
      </c>
      <c r="V247" s="2956">
        <v>44499</v>
      </c>
      <c r="W247" s="2954" t="s">
        <v>3051</v>
      </c>
      <c r="X247" s="2954" t="s">
        <v>3046</v>
      </c>
      <c r="Y247" s="2954" t="s">
        <v>3283</v>
      </c>
      <c r="Z247" s="2957">
        <v>43374.417488425897</v>
      </c>
      <c r="AA247" s="2954" t="s">
        <v>3772</v>
      </c>
      <c r="AB247" s="2954" t="s">
        <v>3300</v>
      </c>
      <c r="AC247" s="2954" t="s">
        <v>3544</v>
      </c>
      <c r="AD247" s="2954" t="s">
        <v>3283</v>
      </c>
      <c r="AE247" s="2954" t="s">
        <v>3051</v>
      </c>
      <c r="AF247" s="2954" t="s">
        <v>3283</v>
      </c>
    </row>
    <row r="248" spans="1:32" ht="67.5">
      <c r="A248" s="2954">
        <v>6772</v>
      </c>
      <c r="B248" s="2954" t="s">
        <v>3281</v>
      </c>
      <c r="C248" s="2954" t="s">
        <v>3861</v>
      </c>
      <c r="D248" s="2954" t="s">
        <v>3283</v>
      </c>
      <c r="E248" s="2954" t="s">
        <v>3577</v>
      </c>
      <c r="F248" s="2954" t="s">
        <v>3906</v>
      </c>
      <c r="G248" s="2954" t="s">
        <v>3907</v>
      </c>
      <c r="H248" s="2955">
        <v>1145110</v>
      </c>
      <c r="I248" s="2955">
        <v>10720</v>
      </c>
      <c r="J248" s="2955">
        <v>13877</v>
      </c>
      <c r="K248" s="2959">
        <v>106.82</v>
      </c>
      <c r="L248" s="2955">
        <v>82.52</v>
      </c>
      <c r="M248" s="2954" t="s">
        <v>3233</v>
      </c>
      <c r="N248" s="2954" t="s">
        <v>3686</v>
      </c>
      <c r="O248" s="2954" t="s">
        <v>3441</v>
      </c>
      <c r="P248" s="2954" t="s">
        <v>3289</v>
      </c>
      <c r="Q248" s="2954" t="s">
        <v>3864</v>
      </c>
      <c r="R248" s="2954" t="s">
        <v>3291</v>
      </c>
      <c r="S248" s="2954">
        <v>1145110</v>
      </c>
      <c r="T248" s="2954" t="s">
        <v>3233</v>
      </c>
      <c r="U248" s="2954" t="s">
        <v>3299</v>
      </c>
      <c r="V248" s="2956">
        <v>44499</v>
      </c>
      <c r="W248" s="2954" t="s">
        <v>3051</v>
      </c>
      <c r="X248" s="2954" t="s">
        <v>3046</v>
      </c>
      <c r="Y248" s="2954" t="s">
        <v>3283</v>
      </c>
      <c r="Z248" s="2957">
        <v>43374.417488425897</v>
      </c>
      <c r="AA248" s="2954" t="s">
        <v>3772</v>
      </c>
      <c r="AB248" s="2954" t="s">
        <v>3300</v>
      </c>
      <c r="AC248" s="2954" t="s">
        <v>3544</v>
      </c>
      <c r="AD248" s="2954" t="s">
        <v>3283</v>
      </c>
      <c r="AE248" s="2954" t="s">
        <v>3051</v>
      </c>
      <c r="AF248" s="2954" t="s">
        <v>3283</v>
      </c>
    </row>
    <row r="249" spans="1:32" ht="67.5">
      <c r="A249" s="2954">
        <v>6775</v>
      </c>
      <c r="B249" s="2954" t="s">
        <v>3281</v>
      </c>
      <c r="C249" s="2954" t="s">
        <v>3861</v>
      </c>
      <c r="D249" s="2954" t="s">
        <v>3283</v>
      </c>
      <c r="E249" s="2954" t="s">
        <v>3341</v>
      </c>
      <c r="F249" s="2954" t="s">
        <v>3908</v>
      </c>
      <c r="G249" s="2954" t="s">
        <v>3909</v>
      </c>
      <c r="H249" s="2955">
        <v>1136565</v>
      </c>
      <c r="I249" s="2955">
        <v>10640</v>
      </c>
      <c r="J249" s="2955">
        <v>13773</v>
      </c>
      <c r="K249" s="2959">
        <v>106.82</v>
      </c>
      <c r="L249" s="2955">
        <v>82.52</v>
      </c>
      <c r="M249" s="2954" t="s">
        <v>3233</v>
      </c>
      <c r="N249" s="2954" t="s">
        <v>3681</v>
      </c>
      <c r="O249" s="2954" t="s">
        <v>3441</v>
      </c>
      <c r="P249" s="2954" t="s">
        <v>3289</v>
      </c>
      <c r="Q249" s="2954" t="s">
        <v>3864</v>
      </c>
      <c r="R249" s="2954" t="s">
        <v>3291</v>
      </c>
      <c r="S249" s="2954">
        <v>1136565</v>
      </c>
      <c r="T249" s="2954" t="s">
        <v>3233</v>
      </c>
      <c r="U249" s="2954" t="s">
        <v>3299</v>
      </c>
      <c r="V249" s="2956">
        <v>44499</v>
      </c>
      <c r="W249" s="2954" t="s">
        <v>3051</v>
      </c>
      <c r="X249" s="2954" t="s">
        <v>3046</v>
      </c>
      <c r="Y249" s="2954" t="s">
        <v>3283</v>
      </c>
      <c r="Z249" s="2957">
        <v>43374.417488425897</v>
      </c>
      <c r="AA249" s="2954" t="s">
        <v>3772</v>
      </c>
      <c r="AB249" s="2954" t="s">
        <v>3300</v>
      </c>
      <c r="AC249" s="2954" t="s">
        <v>3544</v>
      </c>
      <c r="AD249" s="2954" t="s">
        <v>3283</v>
      </c>
      <c r="AE249" s="2954" t="s">
        <v>3051</v>
      </c>
      <c r="AF249" s="2954" t="s">
        <v>3283</v>
      </c>
    </row>
    <row r="250" spans="1:32" ht="67.5">
      <c r="A250" s="2954">
        <v>6776</v>
      </c>
      <c r="B250" s="2954" t="s">
        <v>3281</v>
      </c>
      <c r="C250" s="2954" t="s">
        <v>3861</v>
      </c>
      <c r="D250" s="2954" t="s">
        <v>3283</v>
      </c>
      <c r="E250" s="2954" t="s">
        <v>3582</v>
      </c>
      <c r="F250" s="2954" t="s">
        <v>3910</v>
      </c>
      <c r="G250" s="2954" t="s">
        <v>3911</v>
      </c>
      <c r="H250" s="2955">
        <v>1147247</v>
      </c>
      <c r="I250" s="2955">
        <v>10740</v>
      </c>
      <c r="J250" s="2955">
        <v>13903</v>
      </c>
      <c r="K250" s="2959">
        <v>106.82</v>
      </c>
      <c r="L250" s="2955">
        <v>82.52</v>
      </c>
      <c r="M250" s="2954" t="s">
        <v>3233</v>
      </c>
      <c r="N250" s="2954" t="s">
        <v>3686</v>
      </c>
      <c r="O250" s="2954" t="s">
        <v>3441</v>
      </c>
      <c r="P250" s="2954" t="s">
        <v>3289</v>
      </c>
      <c r="Q250" s="2954" t="s">
        <v>3864</v>
      </c>
      <c r="R250" s="2954" t="s">
        <v>3291</v>
      </c>
      <c r="S250" s="2954">
        <v>1147247</v>
      </c>
      <c r="T250" s="2954" t="s">
        <v>3233</v>
      </c>
      <c r="U250" s="2954" t="s">
        <v>3299</v>
      </c>
      <c r="V250" s="2956">
        <v>44499</v>
      </c>
      <c r="W250" s="2954" t="s">
        <v>3051</v>
      </c>
      <c r="X250" s="2954" t="s">
        <v>3046</v>
      </c>
      <c r="Y250" s="2954" t="s">
        <v>3283</v>
      </c>
      <c r="Z250" s="2957">
        <v>43374.417488425897</v>
      </c>
      <c r="AA250" s="2954" t="s">
        <v>3772</v>
      </c>
      <c r="AB250" s="2954" t="s">
        <v>3300</v>
      </c>
      <c r="AC250" s="2954" t="s">
        <v>3544</v>
      </c>
      <c r="AD250" s="2954" t="s">
        <v>3283</v>
      </c>
      <c r="AE250" s="2954" t="s">
        <v>3051</v>
      </c>
      <c r="AF250" s="2954" t="s">
        <v>3283</v>
      </c>
    </row>
    <row r="251" spans="1:32" ht="67.5">
      <c r="A251" s="2954">
        <v>6777</v>
      </c>
      <c r="B251" s="2954" t="s">
        <v>3281</v>
      </c>
      <c r="C251" s="2954" t="s">
        <v>3861</v>
      </c>
      <c r="D251" s="2954" t="s">
        <v>3283</v>
      </c>
      <c r="E251" s="2954" t="s">
        <v>3912</v>
      </c>
      <c r="F251" s="2954" t="s">
        <v>3913</v>
      </c>
      <c r="G251" s="2954" t="s">
        <v>3914</v>
      </c>
      <c r="H251" s="2955">
        <v>1041033</v>
      </c>
      <c r="I251" s="2955">
        <v>11140</v>
      </c>
      <c r="J251" s="2955">
        <v>14421</v>
      </c>
      <c r="K251" s="2959">
        <v>93.45</v>
      </c>
      <c r="L251" s="2955">
        <v>72.19</v>
      </c>
      <c r="M251" s="2954" t="s">
        <v>3233</v>
      </c>
      <c r="N251" s="2954" t="s">
        <v>3779</v>
      </c>
      <c r="O251" s="2954" t="s">
        <v>3770</v>
      </c>
      <c r="P251" s="2954" t="s">
        <v>3289</v>
      </c>
      <c r="Q251" s="2954" t="s">
        <v>3864</v>
      </c>
      <c r="R251" s="2954" t="s">
        <v>3291</v>
      </c>
      <c r="S251" s="2954">
        <v>1041033</v>
      </c>
      <c r="T251" s="2954" t="s">
        <v>3233</v>
      </c>
      <c r="U251" s="2954" t="s">
        <v>3299</v>
      </c>
      <c r="V251" s="2956">
        <v>44499</v>
      </c>
      <c r="W251" s="2954" t="s">
        <v>3051</v>
      </c>
      <c r="X251" s="2954" t="s">
        <v>3046</v>
      </c>
      <c r="Y251" s="2954" t="s">
        <v>3283</v>
      </c>
      <c r="Z251" s="2957">
        <v>43374.417488425897</v>
      </c>
      <c r="AA251" s="2954" t="s">
        <v>3772</v>
      </c>
      <c r="AB251" s="2954" t="s">
        <v>3300</v>
      </c>
      <c r="AC251" s="2954" t="s">
        <v>3544</v>
      </c>
      <c r="AD251" s="2954" t="s">
        <v>3283</v>
      </c>
      <c r="AE251" s="2954" t="s">
        <v>3051</v>
      </c>
      <c r="AF251" s="2954" t="s">
        <v>3283</v>
      </c>
    </row>
    <row r="252" spans="1:32" ht="67.5">
      <c r="A252" s="2954">
        <v>6778</v>
      </c>
      <c r="B252" s="2954" t="s">
        <v>3281</v>
      </c>
      <c r="C252" s="2954" t="s">
        <v>3861</v>
      </c>
      <c r="D252" s="2954" t="s">
        <v>3283</v>
      </c>
      <c r="E252" s="2954" t="s">
        <v>3344</v>
      </c>
      <c r="F252" s="2954" t="s">
        <v>3915</v>
      </c>
      <c r="G252" s="2954" t="s">
        <v>3916</v>
      </c>
      <c r="H252" s="2955">
        <v>1046842</v>
      </c>
      <c r="I252" s="2955">
        <v>11260</v>
      </c>
      <c r="J252" s="2955">
        <v>14576</v>
      </c>
      <c r="K252" s="2959">
        <v>92.97</v>
      </c>
      <c r="L252" s="2955">
        <v>71.819999999999993</v>
      </c>
      <c r="M252" s="2954" t="s">
        <v>3233</v>
      </c>
      <c r="N252" s="2954" t="s">
        <v>3769</v>
      </c>
      <c r="O252" s="2954" t="s">
        <v>3770</v>
      </c>
      <c r="P252" s="2954" t="s">
        <v>3289</v>
      </c>
      <c r="Q252" s="2954" t="s">
        <v>3864</v>
      </c>
      <c r="R252" s="2954" t="s">
        <v>3291</v>
      </c>
      <c r="S252" s="2954">
        <v>1046842</v>
      </c>
      <c r="T252" s="2954" t="s">
        <v>3233</v>
      </c>
      <c r="U252" s="2954" t="s">
        <v>3299</v>
      </c>
      <c r="V252" s="2956">
        <v>44499</v>
      </c>
      <c r="W252" s="2954" t="s">
        <v>3051</v>
      </c>
      <c r="X252" s="2954" t="s">
        <v>3046</v>
      </c>
      <c r="Y252" s="2954" t="s">
        <v>3283</v>
      </c>
      <c r="Z252" s="2957">
        <v>43374.417488425897</v>
      </c>
      <c r="AA252" s="2954" t="s">
        <v>3772</v>
      </c>
      <c r="AB252" s="2954" t="s">
        <v>3300</v>
      </c>
      <c r="AC252" s="2954" t="s">
        <v>3544</v>
      </c>
      <c r="AD252" s="2954" t="s">
        <v>3283</v>
      </c>
      <c r="AE252" s="2954" t="s">
        <v>3051</v>
      </c>
      <c r="AF252" s="2954" t="s">
        <v>3283</v>
      </c>
    </row>
    <row r="253" spans="1:32" ht="67.5">
      <c r="A253" s="2954">
        <v>6780</v>
      </c>
      <c r="B253" s="2954" t="s">
        <v>3281</v>
      </c>
      <c r="C253" s="2954" t="s">
        <v>3861</v>
      </c>
      <c r="D253" s="2954" t="s">
        <v>3283</v>
      </c>
      <c r="E253" s="2954" t="s">
        <v>3585</v>
      </c>
      <c r="F253" s="2954" t="s">
        <v>3917</v>
      </c>
      <c r="G253" s="2954" t="s">
        <v>3918</v>
      </c>
      <c r="H253" s="2955">
        <v>1149383</v>
      </c>
      <c r="I253" s="2955">
        <v>10760</v>
      </c>
      <c r="J253" s="2955">
        <v>13929</v>
      </c>
      <c r="K253" s="2959">
        <v>106.82</v>
      </c>
      <c r="L253" s="2955">
        <v>82.52</v>
      </c>
      <c r="M253" s="2954" t="s">
        <v>3233</v>
      </c>
      <c r="N253" s="2954" t="s">
        <v>3686</v>
      </c>
      <c r="O253" s="2954" t="s">
        <v>3441</v>
      </c>
      <c r="P253" s="2954" t="s">
        <v>3289</v>
      </c>
      <c r="Q253" s="2954" t="s">
        <v>3864</v>
      </c>
      <c r="R253" s="2954" t="s">
        <v>3291</v>
      </c>
      <c r="S253" s="2954">
        <v>1149383</v>
      </c>
      <c r="T253" s="2954" t="s">
        <v>3233</v>
      </c>
      <c r="U253" s="2954" t="s">
        <v>3299</v>
      </c>
      <c r="V253" s="2956">
        <v>44499</v>
      </c>
      <c r="W253" s="2954" t="s">
        <v>3051</v>
      </c>
      <c r="X253" s="2954" t="s">
        <v>3046</v>
      </c>
      <c r="Y253" s="2954" t="s">
        <v>3283</v>
      </c>
      <c r="Z253" s="2957">
        <v>43374.417488425897</v>
      </c>
      <c r="AA253" s="2954" t="s">
        <v>3772</v>
      </c>
      <c r="AB253" s="2954" t="s">
        <v>3300</v>
      </c>
      <c r="AC253" s="2954" t="s">
        <v>3544</v>
      </c>
      <c r="AD253" s="2954" t="s">
        <v>3283</v>
      </c>
      <c r="AE253" s="2954" t="s">
        <v>3051</v>
      </c>
      <c r="AF253" s="2954" t="s">
        <v>3283</v>
      </c>
    </row>
    <row r="254" spans="1:32" ht="67.5">
      <c r="A254" s="2954">
        <v>6781</v>
      </c>
      <c r="B254" s="2954" t="s">
        <v>3281</v>
      </c>
      <c r="C254" s="2954" t="s">
        <v>3861</v>
      </c>
      <c r="D254" s="2954" t="s">
        <v>3283</v>
      </c>
      <c r="E254" s="2954" t="s">
        <v>3919</v>
      </c>
      <c r="F254" s="2954" t="s">
        <v>3920</v>
      </c>
      <c r="G254" s="2954" t="s">
        <v>3921</v>
      </c>
      <c r="H254" s="2955">
        <v>1042902</v>
      </c>
      <c r="I254" s="2955">
        <v>11160</v>
      </c>
      <c r="J254" s="2955">
        <v>14447</v>
      </c>
      <c r="K254" s="2959">
        <v>93.45</v>
      </c>
      <c r="L254" s="2955">
        <v>72.19</v>
      </c>
      <c r="M254" s="2954" t="s">
        <v>3233</v>
      </c>
      <c r="N254" s="2954" t="s">
        <v>3779</v>
      </c>
      <c r="O254" s="2954" t="s">
        <v>3770</v>
      </c>
      <c r="P254" s="2954" t="s">
        <v>3289</v>
      </c>
      <c r="Q254" s="2954" t="s">
        <v>3864</v>
      </c>
      <c r="R254" s="2954" t="s">
        <v>3291</v>
      </c>
      <c r="S254" s="2954">
        <v>1042902</v>
      </c>
      <c r="T254" s="2954" t="s">
        <v>3233</v>
      </c>
      <c r="U254" s="2954" t="s">
        <v>3299</v>
      </c>
      <c r="V254" s="2956">
        <v>44499</v>
      </c>
      <c r="W254" s="2954" t="s">
        <v>3051</v>
      </c>
      <c r="X254" s="2954" t="s">
        <v>3046</v>
      </c>
      <c r="Y254" s="2954" t="s">
        <v>3283</v>
      </c>
      <c r="Z254" s="2957">
        <v>43374.417488425897</v>
      </c>
      <c r="AA254" s="2954" t="s">
        <v>3772</v>
      </c>
      <c r="AB254" s="2954" t="s">
        <v>3300</v>
      </c>
      <c r="AC254" s="2954" t="s">
        <v>3544</v>
      </c>
      <c r="AD254" s="2954" t="s">
        <v>3283</v>
      </c>
      <c r="AE254" s="2954" t="s">
        <v>3051</v>
      </c>
      <c r="AF254" s="2954" t="s">
        <v>3283</v>
      </c>
    </row>
    <row r="255" spans="1:32" ht="67.5">
      <c r="A255" s="2954">
        <v>6782</v>
      </c>
      <c r="B255" s="2954" t="s">
        <v>3281</v>
      </c>
      <c r="C255" s="2954" t="s">
        <v>3861</v>
      </c>
      <c r="D255" s="2954" t="s">
        <v>3283</v>
      </c>
      <c r="E255" s="2954" t="s">
        <v>3350</v>
      </c>
      <c r="F255" s="2954" t="s">
        <v>3922</v>
      </c>
      <c r="G255" s="2954" t="s">
        <v>3923</v>
      </c>
      <c r="H255" s="2955">
        <v>1048702</v>
      </c>
      <c r="I255" s="2955">
        <v>11280</v>
      </c>
      <c r="J255" s="2955">
        <v>14602</v>
      </c>
      <c r="K255" s="2959">
        <v>92.97</v>
      </c>
      <c r="L255" s="2955">
        <v>71.819999999999993</v>
      </c>
      <c r="M255" s="2954" t="s">
        <v>3233</v>
      </c>
      <c r="N255" s="2954" t="s">
        <v>3769</v>
      </c>
      <c r="O255" s="2954" t="s">
        <v>3770</v>
      </c>
      <c r="P255" s="2954" t="s">
        <v>3289</v>
      </c>
      <c r="Q255" s="2954" t="s">
        <v>3864</v>
      </c>
      <c r="R255" s="2954" t="s">
        <v>3291</v>
      </c>
      <c r="S255" s="2954">
        <v>1048702</v>
      </c>
      <c r="T255" s="2954" t="s">
        <v>3233</v>
      </c>
      <c r="U255" s="2954" t="s">
        <v>3299</v>
      </c>
      <c r="V255" s="2956">
        <v>44499</v>
      </c>
      <c r="W255" s="2954" t="s">
        <v>3051</v>
      </c>
      <c r="X255" s="2954" t="s">
        <v>3046</v>
      </c>
      <c r="Y255" s="2954" t="s">
        <v>3283</v>
      </c>
      <c r="Z255" s="2957">
        <v>43374.417488425897</v>
      </c>
      <c r="AA255" s="2954" t="s">
        <v>3772</v>
      </c>
      <c r="AB255" s="2954" t="s">
        <v>3300</v>
      </c>
      <c r="AC255" s="2954" t="s">
        <v>3544</v>
      </c>
      <c r="AD255" s="2954" t="s">
        <v>3283</v>
      </c>
      <c r="AE255" s="2954" t="s">
        <v>3051</v>
      </c>
      <c r="AF255" s="2954" t="s">
        <v>3283</v>
      </c>
    </row>
    <row r="256" spans="1:32" ht="67.5">
      <c r="A256" s="2954">
        <v>6784</v>
      </c>
      <c r="B256" s="2954" t="s">
        <v>3281</v>
      </c>
      <c r="C256" s="2954" t="s">
        <v>3861</v>
      </c>
      <c r="D256" s="2954" t="s">
        <v>3283</v>
      </c>
      <c r="E256" s="2954" t="s">
        <v>3716</v>
      </c>
      <c r="F256" s="2954" t="s">
        <v>3924</v>
      </c>
      <c r="G256" s="2954" t="s">
        <v>3925</v>
      </c>
      <c r="H256" s="2955">
        <v>1151520</v>
      </c>
      <c r="I256" s="2955">
        <v>10780</v>
      </c>
      <c r="J256" s="2955">
        <v>13954</v>
      </c>
      <c r="K256" s="2959">
        <v>106.82</v>
      </c>
      <c r="L256" s="2955">
        <v>82.52</v>
      </c>
      <c r="M256" s="2954" t="s">
        <v>3233</v>
      </c>
      <c r="N256" s="2954" t="s">
        <v>3686</v>
      </c>
      <c r="O256" s="2954" t="s">
        <v>3441</v>
      </c>
      <c r="P256" s="2954" t="s">
        <v>3289</v>
      </c>
      <c r="Q256" s="2954" t="s">
        <v>3864</v>
      </c>
      <c r="R256" s="2954" t="s">
        <v>3291</v>
      </c>
      <c r="S256" s="2954">
        <v>1151520</v>
      </c>
      <c r="T256" s="2954" t="s">
        <v>3233</v>
      </c>
      <c r="U256" s="2954" t="s">
        <v>3299</v>
      </c>
      <c r="V256" s="2956">
        <v>44499</v>
      </c>
      <c r="W256" s="2954" t="s">
        <v>3051</v>
      </c>
      <c r="X256" s="2954" t="s">
        <v>3046</v>
      </c>
      <c r="Y256" s="2954" t="s">
        <v>3283</v>
      </c>
      <c r="Z256" s="2957">
        <v>43374.417488425897</v>
      </c>
      <c r="AA256" s="2954" t="s">
        <v>3772</v>
      </c>
      <c r="AB256" s="2954" t="s">
        <v>3300</v>
      </c>
      <c r="AC256" s="2954" t="s">
        <v>3544</v>
      </c>
      <c r="AD256" s="2954" t="s">
        <v>3283</v>
      </c>
      <c r="AE256" s="2954" t="s">
        <v>3051</v>
      </c>
      <c r="AF256" s="2954" t="s">
        <v>3283</v>
      </c>
    </row>
    <row r="257" spans="1:32" ht="67.5">
      <c r="A257" s="2954">
        <v>6787</v>
      </c>
      <c r="B257" s="2954" t="s">
        <v>3281</v>
      </c>
      <c r="C257" s="2954" t="s">
        <v>3861</v>
      </c>
      <c r="D257" s="2954" t="s">
        <v>3283</v>
      </c>
      <c r="E257" s="2954" t="s">
        <v>3359</v>
      </c>
      <c r="F257" s="2954" t="s">
        <v>3926</v>
      </c>
      <c r="G257" s="2954" t="s">
        <v>3927</v>
      </c>
      <c r="H257" s="2955">
        <v>1142974</v>
      </c>
      <c r="I257" s="2955">
        <v>10700</v>
      </c>
      <c r="J257" s="2955">
        <v>13851</v>
      </c>
      <c r="K257" s="2959">
        <v>106.82</v>
      </c>
      <c r="L257" s="2955">
        <v>82.52</v>
      </c>
      <c r="M257" s="2954" t="s">
        <v>3233</v>
      </c>
      <c r="N257" s="2954" t="s">
        <v>3681</v>
      </c>
      <c r="O257" s="2954" t="s">
        <v>3441</v>
      </c>
      <c r="P257" s="2954" t="s">
        <v>3289</v>
      </c>
      <c r="Q257" s="2954" t="s">
        <v>3864</v>
      </c>
      <c r="R257" s="2954" t="s">
        <v>3291</v>
      </c>
      <c r="S257" s="2954">
        <v>1142974</v>
      </c>
      <c r="T257" s="2954" t="s">
        <v>3233</v>
      </c>
      <c r="U257" s="2954" t="s">
        <v>3299</v>
      </c>
      <c r="V257" s="2956">
        <v>44499</v>
      </c>
      <c r="W257" s="2954" t="s">
        <v>3051</v>
      </c>
      <c r="X257" s="2954" t="s">
        <v>3046</v>
      </c>
      <c r="Y257" s="2954" t="s">
        <v>3283</v>
      </c>
      <c r="Z257" s="2957">
        <v>43374.417488425897</v>
      </c>
      <c r="AA257" s="2954" t="s">
        <v>3772</v>
      </c>
      <c r="AB257" s="2954" t="s">
        <v>3300</v>
      </c>
      <c r="AC257" s="2954" t="s">
        <v>3544</v>
      </c>
      <c r="AD257" s="2954" t="s">
        <v>3283</v>
      </c>
      <c r="AE257" s="2954" t="s">
        <v>3051</v>
      </c>
      <c r="AF257" s="2954" t="s">
        <v>3283</v>
      </c>
    </row>
    <row r="258" spans="1:32" ht="67.5">
      <c r="A258" s="2954">
        <v>6788</v>
      </c>
      <c r="B258" s="2954" t="s">
        <v>3281</v>
      </c>
      <c r="C258" s="2954" t="s">
        <v>3861</v>
      </c>
      <c r="D258" s="2954" t="s">
        <v>3283</v>
      </c>
      <c r="E258" s="2954" t="s">
        <v>3590</v>
      </c>
      <c r="F258" s="2954" t="s">
        <v>3928</v>
      </c>
      <c r="G258" s="2954" t="s">
        <v>3929</v>
      </c>
      <c r="H258" s="2955">
        <v>1153656</v>
      </c>
      <c r="I258" s="2955">
        <v>10800</v>
      </c>
      <c r="J258" s="2955">
        <v>13980</v>
      </c>
      <c r="K258" s="2959">
        <v>106.82</v>
      </c>
      <c r="L258" s="2955">
        <v>82.52</v>
      </c>
      <c r="M258" s="2954" t="s">
        <v>3233</v>
      </c>
      <c r="N258" s="2954" t="s">
        <v>3686</v>
      </c>
      <c r="O258" s="2954" t="s">
        <v>3441</v>
      </c>
      <c r="P258" s="2954" t="s">
        <v>3289</v>
      </c>
      <c r="Q258" s="2954" t="s">
        <v>3864</v>
      </c>
      <c r="R258" s="2954" t="s">
        <v>3291</v>
      </c>
      <c r="S258" s="2954">
        <v>1153656</v>
      </c>
      <c r="T258" s="2954" t="s">
        <v>3233</v>
      </c>
      <c r="U258" s="2954" t="s">
        <v>3299</v>
      </c>
      <c r="V258" s="2956">
        <v>44499</v>
      </c>
      <c r="W258" s="2954" t="s">
        <v>3051</v>
      </c>
      <c r="X258" s="2954" t="s">
        <v>3046</v>
      </c>
      <c r="Y258" s="2954" t="s">
        <v>3283</v>
      </c>
      <c r="Z258" s="2957">
        <v>43374.417488425897</v>
      </c>
      <c r="AA258" s="2954" t="s">
        <v>3772</v>
      </c>
      <c r="AB258" s="2954" t="s">
        <v>3300</v>
      </c>
      <c r="AC258" s="2954" t="s">
        <v>3544</v>
      </c>
      <c r="AD258" s="2954" t="s">
        <v>3283</v>
      </c>
      <c r="AE258" s="2954" t="s">
        <v>3051</v>
      </c>
      <c r="AF258" s="2954" t="s">
        <v>3283</v>
      </c>
    </row>
    <row r="259" spans="1:32" ht="67.5">
      <c r="A259" s="2954">
        <v>6789</v>
      </c>
      <c r="B259" s="2954" t="s">
        <v>3281</v>
      </c>
      <c r="C259" s="2954" t="s">
        <v>3861</v>
      </c>
      <c r="D259" s="2954" t="s">
        <v>3283</v>
      </c>
      <c r="E259" s="2954" t="s">
        <v>3812</v>
      </c>
      <c r="F259" s="2954" t="s">
        <v>3930</v>
      </c>
      <c r="G259" s="2954" t="s">
        <v>3931</v>
      </c>
      <c r="H259" s="2955">
        <v>1046640</v>
      </c>
      <c r="I259" s="2955">
        <v>11200</v>
      </c>
      <c r="J259" s="2955">
        <v>14498</v>
      </c>
      <c r="K259" s="2959">
        <v>93.45</v>
      </c>
      <c r="L259" s="2955">
        <v>72.19</v>
      </c>
      <c r="M259" s="2954" t="s">
        <v>3233</v>
      </c>
      <c r="N259" s="2954" t="s">
        <v>3779</v>
      </c>
      <c r="O259" s="2954" t="s">
        <v>3770</v>
      </c>
      <c r="P259" s="2954" t="s">
        <v>3289</v>
      </c>
      <c r="Q259" s="2954" t="s">
        <v>3864</v>
      </c>
      <c r="R259" s="2954" t="s">
        <v>3291</v>
      </c>
      <c r="S259" s="2954">
        <v>1046640</v>
      </c>
      <c r="T259" s="2954" t="s">
        <v>3233</v>
      </c>
      <c r="U259" s="2954" t="s">
        <v>3299</v>
      </c>
      <c r="V259" s="2956">
        <v>44499</v>
      </c>
      <c r="W259" s="2954" t="s">
        <v>3051</v>
      </c>
      <c r="X259" s="2954" t="s">
        <v>3046</v>
      </c>
      <c r="Y259" s="2954" t="s">
        <v>3283</v>
      </c>
      <c r="Z259" s="2957">
        <v>43374.417488425897</v>
      </c>
      <c r="AA259" s="2954" t="s">
        <v>3772</v>
      </c>
      <c r="AB259" s="2954" t="s">
        <v>3300</v>
      </c>
      <c r="AC259" s="2954" t="s">
        <v>3544</v>
      </c>
      <c r="AD259" s="2954" t="s">
        <v>3283</v>
      </c>
      <c r="AE259" s="2954" t="s">
        <v>3051</v>
      </c>
      <c r="AF259" s="2954" t="s">
        <v>3283</v>
      </c>
    </row>
    <row r="260" spans="1:32" ht="67.5">
      <c r="A260" s="2954">
        <v>6790</v>
      </c>
      <c r="B260" s="2954" t="s">
        <v>3281</v>
      </c>
      <c r="C260" s="2954" t="s">
        <v>3861</v>
      </c>
      <c r="D260" s="2954" t="s">
        <v>3283</v>
      </c>
      <c r="E260" s="2954" t="s">
        <v>3362</v>
      </c>
      <c r="F260" s="2954" t="s">
        <v>3932</v>
      </c>
      <c r="G260" s="2954" t="s">
        <v>3933</v>
      </c>
      <c r="H260" s="2955">
        <v>1052420</v>
      </c>
      <c r="I260" s="2955">
        <v>11320</v>
      </c>
      <c r="J260" s="2955">
        <v>14654</v>
      </c>
      <c r="K260" s="2959">
        <v>92.97</v>
      </c>
      <c r="L260" s="2955">
        <v>71.819999999999993</v>
      </c>
      <c r="M260" s="2954" t="s">
        <v>3233</v>
      </c>
      <c r="N260" s="2954" t="s">
        <v>3769</v>
      </c>
      <c r="O260" s="2954" t="s">
        <v>3770</v>
      </c>
      <c r="P260" s="2954" t="s">
        <v>3289</v>
      </c>
      <c r="Q260" s="2954" t="s">
        <v>3864</v>
      </c>
      <c r="R260" s="2954" t="s">
        <v>3291</v>
      </c>
      <c r="S260" s="2954">
        <v>1052420</v>
      </c>
      <c r="T260" s="2954" t="s">
        <v>3233</v>
      </c>
      <c r="U260" s="2954" t="s">
        <v>3299</v>
      </c>
      <c r="V260" s="2956">
        <v>44499</v>
      </c>
      <c r="W260" s="2954" t="s">
        <v>3051</v>
      </c>
      <c r="X260" s="2954" t="s">
        <v>3046</v>
      </c>
      <c r="Y260" s="2954" t="s">
        <v>3283</v>
      </c>
      <c r="Z260" s="2957">
        <v>43374.417488425897</v>
      </c>
      <c r="AA260" s="2954" t="s">
        <v>3772</v>
      </c>
      <c r="AB260" s="2954" t="s">
        <v>3300</v>
      </c>
      <c r="AC260" s="2954" t="s">
        <v>3544</v>
      </c>
      <c r="AD260" s="2954" t="s">
        <v>3283</v>
      </c>
      <c r="AE260" s="2954" t="s">
        <v>3051</v>
      </c>
      <c r="AF260" s="2954" t="s">
        <v>3283</v>
      </c>
    </row>
    <row r="261" spans="1:32" ht="67.5">
      <c r="A261" s="2954">
        <v>6791</v>
      </c>
      <c r="B261" s="2954" t="s">
        <v>3281</v>
      </c>
      <c r="C261" s="2954" t="s">
        <v>3861</v>
      </c>
      <c r="D261" s="2954" t="s">
        <v>3283</v>
      </c>
      <c r="E261" s="2954" t="s">
        <v>3365</v>
      </c>
      <c r="F261" s="2954" t="s">
        <v>3934</v>
      </c>
      <c r="G261" s="2954" t="s">
        <v>3935</v>
      </c>
      <c r="H261" s="2955">
        <v>1145110</v>
      </c>
      <c r="I261" s="2955">
        <v>10720</v>
      </c>
      <c r="J261" s="2955">
        <v>13877</v>
      </c>
      <c r="K261" s="2959">
        <v>106.82</v>
      </c>
      <c r="L261" s="2955">
        <v>82.52</v>
      </c>
      <c r="M261" s="2954" t="s">
        <v>3233</v>
      </c>
      <c r="N261" s="2954" t="s">
        <v>3681</v>
      </c>
      <c r="O261" s="2954" t="s">
        <v>3441</v>
      </c>
      <c r="P261" s="2954" t="s">
        <v>3289</v>
      </c>
      <c r="Q261" s="2954" t="s">
        <v>3864</v>
      </c>
      <c r="R261" s="2954" t="s">
        <v>3291</v>
      </c>
      <c r="S261" s="2954">
        <v>1145110</v>
      </c>
      <c r="T261" s="2954" t="s">
        <v>3233</v>
      </c>
      <c r="U261" s="2954" t="s">
        <v>3299</v>
      </c>
      <c r="V261" s="2956">
        <v>44499</v>
      </c>
      <c r="W261" s="2954" t="s">
        <v>3051</v>
      </c>
      <c r="X261" s="2954" t="s">
        <v>3046</v>
      </c>
      <c r="Y261" s="2954" t="s">
        <v>3283</v>
      </c>
      <c r="Z261" s="2957">
        <v>43374.417488425897</v>
      </c>
      <c r="AA261" s="2954" t="s">
        <v>3772</v>
      </c>
      <c r="AB261" s="2954" t="s">
        <v>3300</v>
      </c>
      <c r="AC261" s="2954" t="s">
        <v>3544</v>
      </c>
      <c r="AD261" s="2954" t="s">
        <v>3283</v>
      </c>
      <c r="AE261" s="2954" t="s">
        <v>3051</v>
      </c>
      <c r="AF261" s="2954" t="s">
        <v>3283</v>
      </c>
    </row>
    <row r="262" spans="1:32" ht="67.5">
      <c r="A262" s="2954">
        <v>6792</v>
      </c>
      <c r="B262" s="2954" t="s">
        <v>3281</v>
      </c>
      <c r="C262" s="2954" t="s">
        <v>3861</v>
      </c>
      <c r="D262" s="2954" t="s">
        <v>3283</v>
      </c>
      <c r="E262" s="2954" t="s">
        <v>3595</v>
      </c>
      <c r="F262" s="2954" t="s">
        <v>3936</v>
      </c>
      <c r="G262" s="2954" t="s">
        <v>3937</v>
      </c>
      <c r="H262" s="2955">
        <v>1155792</v>
      </c>
      <c r="I262" s="2955">
        <v>10820</v>
      </c>
      <c r="J262" s="2955">
        <v>14006</v>
      </c>
      <c r="K262" s="2959">
        <v>106.82</v>
      </c>
      <c r="L262" s="2955">
        <v>82.52</v>
      </c>
      <c r="M262" s="2954" t="s">
        <v>3233</v>
      </c>
      <c r="N262" s="2954" t="s">
        <v>3686</v>
      </c>
      <c r="O262" s="2954" t="s">
        <v>3441</v>
      </c>
      <c r="P262" s="2954" t="s">
        <v>3289</v>
      </c>
      <c r="Q262" s="2954" t="s">
        <v>3864</v>
      </c>
      <c r="R262" s="2954" t="s">
        <v>3291</v>
      </c>
      <c r="S262" s="2954">
        <v>1155792</v>
      </c>
      <c r="T262" s="2954" t="s">
        <v>3233</v>
      </c>
      <c r="U262" s="2954" t="s">
        <v>3299</v>
      </c>
      <c r="V262" s="2956">
        <v>44499</v>
      </c>
      <c r="W262" s="2954" t="s">
        <v>3051</v>
      </c>
      <c r="X262" s="2954" t="s">
        <v>3046</v>
      </c>
      <c r="Y262" s="2954" t="s">
        <v>3283</v>
      </c>
      <c r="Z262" s="2957">
        <v>43374.417488425897</v>
      </c>
      <c r="AA262" s="2954" t="s">
        <v>3772</v>
      </c>
      <c r="AB262" s="2954" t="s">
        <v>3300</v>
      </c>
      <c r="AC262" s="2954" t="s">
        <v>3544</v>
      </c>
      <c r="AD262" s="2954" t="s">
        <v>3283</v>
      </c>
      <c r="AE262" s="2954" t="s">
        <v>3051</v>
      </c>
      <c r="AF262" s="2954" t="s">
        <v>3283</v>
      </c>
    </row>
    <row r="263" spans="1:32" ht="67.5">
      <c r="A263" s="2954">
        <v>6793</v>
      </c>
      <c r="B263" s="2954" t="s">
        <v>3281</v>
      </c>
      <c r="C263" s="2954" t="s">
        <v>3861</v>
      </c>
      <c r="D263" s="2954" t="s">
        <v>3283</v>
      </c>
      <c r="E263" s="2954" t="s">
        <v>3821</v>
      </c>
      <c r="F263" s="2954" t="s">
        <v>3938</v>
      </c>
      <c r="G263" s="2954" t="s">
        <v>3939</v>
      </c>
      <c r="H263" s="2955">
        <v>1048509</v>
      </c>
      <c r="I263" s="2955">
        <v>11220</v>
      </c>
      <c r="J263" s="2955">
        <v>14524</v>
      </c>
      <c r="K263" s="2959">
        <v>93.45</v>
      </c>
      <c r="L263" s="2955">
        <v>72.19</v>
      </c>
      <c r="M263" s="2954" t="s">
        <v>3233</v>
      </c>
      <c r="N263" s="2954" t="s">
        <v>3779</v>
      </c>
      <c r="O263" s="2954" t="s">
        <v>3770</v>
      </c>
      <c r="P263" s="2954" t="s">
        <v>3289</v>
      </c>
      <c r="Q263" s="2954" t="s">
        <v>3864</v>
      </c>
      <c r="R263" s="2954" t="s">
        <v>3291</v>
      </c>
      <c r="S263" s="2954">
        <v>1048509</v>
      </c>
      <c r="T263" s="2954" t="s">
        <v>3233</v>
      </c>
      <c r="U263" s="2954" t="s">
        <v>3299</v>
      </c>
      <c r="V263" s="2956">
        <v>44499</v>
      </c>
      <c r="W263" s="2954" t="s">
        <v>3051</v>
      </c>
      <c r="X263" s="2954" t="s">
        <v>3046</v>
      </c>
      <c r="Y263" s="2954" t="s">
        <v>3283</v>
      </c>
      <c r="Z263" s="2957">
        <v>43374.417488425897</v>
      </c>
      <c r="AA263" s="2954" t="s">
        <v>3772</v>
      </c>
      <c r="AB263" s="2954" t="s">
        <v>3300</v>
      </c>
      <c r="AC263" s="2954" t="s">
        <v>3544</v>
      </c>
      <c r="AD263" s="2954" t="s">
        <v>3283</v>
      </c>
      <c r="AE263" s="2954" t="s">
        <v>3051</v>
      </c>
      <c r="AF263" s="2954" t="s">
        <v>3283</v>
      </c>
    </row>
    <row r="264" spans="1:32" ht="67.5">
      <c r="A264" s="2954">
        <v>6795</v>
      </c>
      <c r="B264" s="2954" t="s">
        <v>3281</v>
      </c>
      <c r="C264" s="2954" t="s">
        <v>3861</v>
      </c>
      <c r="D264" s="2954" t="s">
        <v>3283</v>
      </c>
      <c r="E264" s="2954" t="s">
        <v>3368</v>
      </c>
      <c r="F264" s="2954" t="s">
        <v>3940</v>
      </c>
      <c r="G264" s="2954" t="s">
        <v>3941</v>
      </c>
      <c r="H264" s="2955">
        <v>1147247</v>
      </c>
      <c r="I264" s="2955">
        <v>10740</v>
      </c>
      <c r="J264" s="2955">
        <v>13903</v>
      </c>
      <c r="K264" s="2959">
        <v>106.82</v>
      </c>
      <c r="L264" s="2955">
        <v>82.52</v>
      </c>
      <c r="M264" s="2954" t="s">
        <v>3233</v>
      </c>
      <c r="N264" s="2954" t="s">
        <v>3681</v>
      </c>
      <c r="O264" s="2954" t="s">
        <v>3441</v>
      </c>
      <c r="P264" s="2954" t="s">
        <v>3289</v>
      </c>
      <c r="Q264" s="2954" t="s">
        <v>3864</v>
      </c>
      <c r="R264" s="2954" t="s">
        <v>3291</v>
      </c>
      <c r="S264" s="2954">
        <v>1147247</v>
      </c>
      <c r="T264" s="2954" t="s">
        <v>3233</v>
      </c>
      <c r="U264" s="2954" t="s">
        <v>3299</v>
      </c>
      <c r="V264" s="2956">
        <v>44499</v>
      </c>
      <c r="W264" s="2954" t="s">
        <v>3051</v>
      </c>
      <c r="X264" s="2954" t="s">
        <v>3046</v>
      </c>
      <c r="Y264" s="2954" t="s">
        <v>3283</v>
      </c>
      <c r="Z264" s="2957">
        <v>43374.417488425897</v>
      </c>
      <c r="AA264" s="2954" t="s">
        <v>3772</v>
      </c>
      <c r="AB264" s="2954" t="s">
        <v>3300</v>
      </c>
      <c r="AC264" s="2954" t="s">
        <v>3544</v>
      </c>
      <c r="AD264" s="2954" t="s">
        <v>3283</v>
      </c>
      <c r="AE264" s="2954" t="s">
        <v>3051</v>
      </c>
      <c r="AF264" s="2954" t="s">
        <v>3283</v>
      </c>
    </row>
    <row r="265" spans="1:32" ht="67.5">
      <c r="A265" s="2954">
        <v>6796</v>
      </c>
      <c r="B265" s="2954" t="s">
        <v>3281</v>
      </c>
      <c r="C265" s="2954" t="s">
        <v>3861</v>
      </c>
      <c r="D265" s="2954" t="s">
        <v>3283</v>
      </c>
      <c r="E265" s="2954" t="s">
        <v>3600</v>
      </c>
      <c r="F265" s="2954" t="s">
        <v>3942</v>
      </c>
      <c r="G265" s="2954" t="s">
        <v>3943</v>
      </c>
      <c r="H265" s="2955">
        <v>1157929</v>
      </c>
      <c r="I265" s="2955">
        <v>10840</v>
      </c>
      <c r="J265" s="2955">
        <v>14032</v>
      </c>
      <c r="K265" s="2959">
        <v>106.82</v>
      </c>
      <c r="L265" s="2955">
        <v>82.52</v>
      </c>
      <c r="M265" s="2954" t="s">
        <v>3233</v>
      </c>
      <c r="N265" s="2954" t="s">
        <v>3686</v>
      </c>
      <c r="O265" s="2954" t="s">
        <v>3441</v>
      </c>
      <c r="P265" s="2954" t="s">
        <v>3289</v>
      </c>
      <c r="Q265" s="2954" t="s">
        <v>3864</v>
      </c>
      <c r="R265" s="2954" t="s">
        <v>3291</v>
      </c>
      <c r="S265" s="2954">
        <v>1157929</v>
      </c>
      <c r="T265" s="2954" t="s">
        <v>3233</v>
      </c>
      <c r="U265" s="2954" t="s">
        <v>3299</v>
      </c>
      <c r="V265" s="2956">
        <v>44499</v>
      </c>
      <c r="W265" s="2954" t="s">
        <v>3051</v>
      </c>
      <c r="X265" s="2954" t="s">
        <v>3046</v>
      </c>
      <c r="Y265" s="2954" t="s">
        <v>3283</v>
      </c>
      <c r="Z265" s="2957">
        <v>43374.417488425897</v>
      </c>
      <c r="AA265" s="2954" t="s">
        <v>3772</v>
      </c>
      <c r="AB265" s="2954" t="s">
        <v>3300</v>
      </c>
      <c r="AC265" s="2954" t="s">
        <v>3544</v>
      </c>
      <c r="AD265" s="2954" t="s">
        <v>3283</v>
      </c>
      <c r="AE265" s="2954" t="s">
        <v>3051</v>
      </c>
      <c r="AF265" s="2954" t="s">
        <v>3283</v>
      </c>
    </row>
    <row r="266" spans="1:32" ht="67.5">
      <c r="A266" s="2954">
        <v>6797</v>
      </c>
      <c r="B266" s="2954" t="s">
        <v>3281</v>
      </c>
      <c r="C266" s="2954" t="s">
        <v>3861</v>
      </c>
      <c r="D266" s="2954" t="s">
        <v>3283</v>
      </c>
      <c r="E266" s="2954" t="s">
        <v>3944</v>
      </c>
      <c r="F266" s="2954" t="s">
        <v>3945</v>
      </c>
      <c r="G266" s="2954" t="s">
        <v>3946</v>
      </c>
      <c r="H266" s="2955">
        <v>1050378</v>
      </c>
      <c r="I266" s="2955">
        <v>11240</v>
      </c>
      <c r="J266" s="2955">
        <v>14550</v>
      </c>
      <c r="K266" s="2959">
        <v>93.45</v>
      </c>
      <c r="L266" s="2955">
        <v>72.19</v>
      </c>
      <c r="M266" s="2954" t="s">
        <v>3233</v>
      </c>
      <c r="N266" s="2954" t="s">
        <v>3779</v>
      </c>
      <c r="O266" s="2954" t="s">
        <v>3770</v>
      </c>
      <c r="P266" s="2954" t="s">
        <v>3289</v>
      </c>
      <c r="Q266" s="2954" t="s">
        <v>3864</v>
      </c>
      <c r="R266" s="2954" t="s">
        <v>3291</v>
      </c>
      <c r="S266" s="2954">
        <v>1050378</v>
      </c>
      <c r="T266" s="2954" t="s">
        <v>3233</v>
      </c>
      <c r="U266" s="2954" t="s">
        <v>3299</v>
      </c>
      <c r="V266" s="2956">
        <v>44499</v>
      </c>
      <c r="W266" s="2954" t="s">
        <v>3051</v>
      </c>
      <c r="X266" s="2954" t="s">
        <v>3046</v>
      </c>
      <c r="Y266" s="2954" t="s">
        <v>3283</v>
      </c>
      <c r="Z266" s="2957">
        <v>43374.417488425897</v>
      </c>
      <c r="AA266" s="2954" t="s">
        <v>3772</v>
      </c>
      <c r="AB266" s="2954" t="s">
        <v>3300</v>
      </c>
      <c r="AC266" s="2954" t="s">
        <v>3544</v>
      </c>
      <c r="AD266" s="2954" t="s">
        <v>3283</v>
      </c>
      <c r="AE266" s="2954" t="s">
        <v>3051</v>
      </c>
      <c r="AF266" s="2954" t="s">
        <v>3283</v>
      </c>
    </row>
    <row r="267" spans="1:32" ht="67.5">
      <c r="A267" s="2954">
        <v>6806</v>
      </c>
      <c r="B267" s="2954" t="s">
        <v>3281</v>
      </c>
      <c r="C267" s="2954" t="s">
        <v>3861</v>
      </c>
      <c r="D267" s="2954" t="s">
        <v>3283</v>
      </c>
      <c r="E267" s="2954" t="s">
        <v>3433</v>
      </c>
      <c r="F267" s="2954" t="s">
        <v>3947</v>
      </c>
      <c r="G267" s="2954" t="s">
        <v>3948</v>
      </c>
      <c r="H267" s="2955">
        <v>1057999</v>
      </c>
      <c r="I267" s="2955">
        <v>11380</v>
      </c>
      <c r="J267" s="2955">
        <v>14731</v>
      </c>
      <c r="K267" s="2959">
        <v>92.97</v>
      </c>
      <c r="L267" s="2955">
        <v>71.819999999999993</v>
      </c>
      <c r="M267" s="2954" t="s">
        <v>3233</v>
      </c>
      <c r="N267" s="2954" t="s">
        <v>3769</v>
      </c>
      <c r="O267" s="2954" t="s">
        <v>3770</v>
      </c>
      <c r="P267" s="2954" t="s">
        <v>3289</v>
      </c>
      <c r="Q267" s="2954" t="s">
        <v>3864</v>
      </c>
      <c r="R267" s="2954" t="s">
        <v>3291</v>
      </c>
      <c r="S267" s="2954">
        <v>1057999</v>
      </c>
      <c r="T267" s="2954" t="s">
        <v>3233</v>
      </c>
      <c r="U267" s="2954" t="s">
        <v>3299</v>
      </c>
      <c r="V267" s="2956">
        <v>44499</v>
      </c>
      <c r="W267" s="2954" t="s">
        <v>3051</v>
      </c>
      <c r="X267" s="2954" t="s">
        <v>3046</v>
      </c>
      <c r="Y267" s="2954" t="s">
        <v>3283</v>
      </c>
      <c r="Z267" s="2957">
        <v>43374.417488425897</v>
      </c>
      <c r="AA267" s="2954" t="s">
        <v>3772</v>
      </c>
      <c r="AB267" s="2954" t="s">
        <v>3300</v>
      </c>
      <c r="AC267" s="2954" t="s">
        <v>3544</v>
      </c>
      <c r="AD267" s="2954" t="s">
        <v>3283</v>
      </c>
      <c r="AE267" s="2954" t="s">
        <v>3051</v>
      </c>
      <c r="AF267" s="2954" t="s">
        <v>3283</v>
      </c>
    </row>
    <row r="268" spans="1:32" ht="67.5">
      <c r="A268" s="2954">
        <v>6807</v>
      </c>
      <c r="B268" s="2954" t="s">
        <v>3281</v>
      </c>
      <c r="C268" s="2954" t="s">
        <v>3861</v>
      </c>
      <c r="D268" s="2954" t="s">
        <v>3283</v>
      </c>
      <c r="E268" s="2954" t="s">
        <v>3609</v>
      </c>
      <c r="F268" s="2954" t="s">
        <v>3949</v>
      </c>
      <c r="G268" s="2954" t="s">
        <v>3950</v>
      </c>
      <c r="H268" s="2955">
        <v>1151520</v>
      </c>
      <c r="I268" s="2955">
        <v>10780</v>
      </c>
      <c r="J268" s="2955">
        <v>13954</v>
      </c>
      <c r="K268" s="2959">
        <v>106.82</v>
      </c>
      <c r="L268" s="2955">
        <v>82.52</v>
      </c>
      <c r="M268" s="2954" t="s">
        <v>3233</v>
      </c>
      <c r="N268" s="2954" t="s">
        <v>3681</v>
      </c>
      <c r="O268" s="2954" t="s">
        <v>3441</v>
      </c>
      <c r="P268" s="2954" t="s">
        <v>3289</v>
      </c>
      <c r="Q268" s="2954" t="s">
        <v>3864</v>
      </c>
      <c r="R268" s="2954" t="s">
        <v>3291</v>
      </c>
      <c r="S268" s="2954">
        <v>1151520</v>
      </c>
      <c r="T268" s="2954" t="s">
        <v>3233</v>
      </c>
      <c r="U268" s="2954" t="s">
        <v>3299</v>
      </c>
      <c r="V268" s="2956">
        <v>44499</v>
      </c>
      <c r="W268" s="2954" t="s">
        <v>3051</v>
      </c>
      <c r="X268" s="2954" t="s">
        <v>3046</v>
      </c>
      <c r="Y268" s="2954" t="s">
        <v>3283</v>
      </c>
      <c r="Z268" s="2957">
        <v>43374.417488425897</v>
      </c>
      <c r="AA268" s="2954" t="s">
        <v>3772</v>
      </c>
      <c r="AB268" s="2954" t="s">
        <v>3300</v>
      </c>
      <c r="AC268" s="2954" t="s">
        <v>3544</v>
      </c>
      <c r="AD268" s="2954" t="s">
        <v>3283</v>
      </c>
      <c r="AE268" s="2954" t="s">
        <v>3051</v>
      </c>
      <c r="AF268" s="2954" t="s">
        <v>3283</v>
      </c>
    </row>
    <row r="269" spans="1:32" ht="67.5">
      <c r="A269" s="2954">
        <v>6808</v>
      </c>
      <c r="B269" s="2954" t="s">
        <v>3281</v>
      </c>
      <c r="C269" s="2954" t="s">
        <v>3861</v>
      </c>
      <c r="D269" s="2954" t="s">
        <v>3283</v>
      </c>
      <c r="E269" s="2954" t="s">
        <v>3612</v>
      </c>
      <c r="F269" s="2954" t="s">
        <v>3951</v>
      </c>
      <c r="G269" s="2954" t="s">
        <v>3952</v>
      </c>
      <c r="H269" s="2955">
        <v>1162202</v>
      </c>
      <c r="I269" s="2955">
        <v>10880</v>
      </c>
      <c r="J269" s="2955">
        <v>14084</v>
      </c>
      <c r="K269" s="2959">
        <v>106.82</v>
      </c>
      <c r="L269" s="2955">
        <v>82.52</v>
      </c>
      <c r="M269" s="2954" t="s">
        <v>3233</v>
      </c>
      <c r="N269" s="2954" t="s">
        <v>3686</v>
      </c>
      <c r="O269" s="2954" t="s">
        <v>3441</v>
      </c>
      <c r="P269" s="2954" t="s">
        <v>3289</v>
      </c>
      <c r="Q269" s="2954" t="s">
        <v>3864</v>
      </c>
      <c r="R269" s="2954" t="s">
        <v>3291</v>
      </c>
      <c r="S269" s="2954">
        <v>1162202</v>
      </c>
      <c r="T269" s="2954" t="s">
        <v>3233</v>
      </c>
      <c r="U269" s="2954" t="s">
        <v>3299</v>
      </c>
      <c r="V269" s="2956">
        <v>44499</v>
      </c>
      <c r="W269" s="2954" t="s">
        <v>3051</v>
      </c>
      <c r="X269" s="2954" t="s">
        <v>3046</v>
      </c>
      <c r="Y269" s="2954" t="s">
        <v>3283</v>
      </c>
      <c r="Z269" s="2957">
        <v>43374.417488425897</v>
      </c>
      <c r="AA269" s="2954" t="s">
        <v>3772</v>
      </c>
      <c r="AB269" s="2954" t="s">
        <v>3300</v>
      </c>
      <c r="AC269" s="2954" t="s">
        <v>3544</v>
      </c>
      <c r="AD269" s="2954" t="s">
        <v>3283</v>
      </c>
      <c r="AE269" s="2954" t="s">
        <v>3051</v>
      </c>
      <c r="AF269" s="2954" t="s">
        <v>3283</v>
      </c>
    </row>
    <row r="270" spans="1:32" ht="67.5">
      <c r="A270" s="2954">
        <v>6809</v>
      </c>
      <c r="B270" s="2954" t="s">
        <v>3281</v>
      </c>
      <c r="C270" s="2954" t="s">
        <v>3861</v>
      </c>
      <c r="D270" s="2954" t="s">
        <v>3283</v>
      </c>
      <c r="E270" s="2954" t="s">
        <v>3953</v>
      </c>
      <c r="F270" s="2954" t="s">
        <v>3954</v>
      </c>
      <c r="G270" s="2954" t="s">
        <v>3955</v>
      </c>
      <c r="H270" s="2955">
        <v>1054116</v>
      </c>
      <c r="I270" s="2955">
        <v>11280</v>
      </c>
      <c r="J270" s="2955">
        <v>14602</v>
      </c>
      <c r="K270" s="2959">
        <v>93.45</v>
      </c>
      <c r="L270" s="2955">
        <v>72.19</v>
      </c>
      <c r="M270" s="2954" t="s">
        <v>3233</v>
      </c>
      <c r="N270" s="2954" t="s">
        <v>3779</v>
      </c>
      <c r="O270" s="2954" t="s">
        <v>3770</v>
      </c>
      <c r="P270" s="2954" t="s">
        <v>3289</v>
      </c>
      <c r="Q270" s="2954" t="s">
        <v>3864</v>
      </c>
      <c r="R270" s="2954" t="s">
        <v>3291</v>
      </c>
      <c r="S270" s="2954">
        <v>1054116</v>
      </c>
      <c r="T270" s="2954" t="s">
        <v>3233</v>
      </c>
      <c r="U270" s="2954" t="s">
        <v>3299</v>
      </c>
      <c r="V270" s="2956">
        <v>44499</v>
      </c>
      <c r="W270" s="2954" t="s">
        <v>3051</v>
      </c>
      <c r="X270" s="2954" t="s">
        <v>3046</v>
      </c>
      <c r="Y270" s="2954" t="s">
        <v>3283</v>
      </c>
      <c r="Z270" s="2957">
        <v>43374.417488425897</v>
      </c>
      <c r="AA270" s="2954" t="s">
        <v>3772</v>
      </c>
      <c r="AB270" s="2954" t="s">
        <v>3300</v>
      </c>
      <c r="AC270" s="2954" t="s">
        <v>3544</v>
      </c>
      <c r="AD270" s="2954" t="s">
        <v>3283</v>
      </c>
      <c r="AE270" s="2954" t="s">
        <v>3051</v>
      </c>
      <c r="AF270" s="2954" t="s">
        <v>3283</v>
      </c>
    </row>
    <row r="271" spans="1:32" ht="67.5">
      <c r="A271" s="2954">
        <v>6813</v>
      </c>
      <c r="B271" s="2954" t="s">
        <v>3281</v>
      </c>
      <c r="C271" s="2954" t="s">
        <v>3861</v>
      </c>
      <c r="D271" s="2954" t="s">
        <v>3283</v>
      </c>
      <c r="E271" s="2954" t="s">
        <v>3956</v>
      </c>
      <c r="F271" s="2954" t="s">
        <v>3957</v>
      </c>
      <c r="G271" s="2954" t="s">
        <v>3958</v>
      </c>
      <c r="H271" s="2955">
        <v>1054116</v>
      </c>
      <c r="I271" s="2955">
        <v>11280</v>
      </c>
      <c r="J271" s="2955">
        <v>14602</v>
      </c>
      <c r="K271" s="2959">
        <v>93.45</v>
      </c>
      <c r="L271" s="2955">
        <v>72.19</v>
      </c>
      <c r="M271" s="2954" t="s">
        <v>3233</v>
      </c>
      <c r="N271" s="2954" t="s">
        <v>3779</v>
      </c>
      <c r="O271" s="2954" t="s">
        <v>3770</v>
      </c>
      <c r="P271" s="2954" t="s">
        <v>3289</v>
      </c>
      <c r="Q271" s="2954" t="s">
        <v>3864</v>
      </c>
      <c r="R271" s="2954" t="s">
        <v>3291</v>
      </c>
      <c r="S271" s="2954">
        <v>1054116</v>
      </c>
      <c r="T271" s="2954" t="s">
        <v>3233</v>
      </c>
      <c r="U271" s="2954" t="s">
        <v>3299</v>
      </c>
      <c r="V271" s="2956">
        <v>44499</v>
      </c>
      <c r="W271" s="2954" t="s">
        <v>3051</v>
      </c>
      <c r="X271" s="2954" t="s">
        <v>3046</v>
      </c>
      <c r="Y271" s="2954" t="s">
        <v>3283</v>
      </c>
      <c r="Z271" s="2957">
        <v>43374.417488425897</v>
      </c>
      <c r="AA271" s="2954" t="s">
        <v>3772</v>
      </c>
      <c r="AB271" s="2954" t="s">
        <v>3300</v>
      </c>
      <c r="AC271" s="2954" t="s">
        <v>3544</v>
      </c>
      <c r="AD271" s="2954" t="s">
        <v>3283</v>
      </c>
      <c r="AE271" s="2954" t="s">
        <v>3051</v>
      </c>
      <c r="AF271" s="2954" t="s">
        <v>3283</v>
      </c>
    </row>
    <row r="272" spans="1:32" ht="67.5">
      <c r="A272" s="2954">
        <v>6816</v>
      </c>
      <c r="B272" s="2954" t="s">
        <v>3281</v>
      </c>
      <c r="C272" s="2954" t="s">
        <v>3861</v>
      </c>
      <c r="D272" s="2954" t="s">
        <v>3283</v>
      </c>
      <c r="E272" s="2954" t="s">
        <v>3615</v>
      </c>
      <c r="F272" s="2954" t="s">
        <v>3959</v>
      </c>
      <c r="G272" s="2954" t="s">
        <v>3960</v>
      </c>
      <c r="H272" s="2955">
        <v>1160065</v>
      </c>
      <c r="I272" s="2955">
        <v>10860</v>
      </c>
      <c r="J272" s="2955">
        <v>14058</v>
      </c>
      <c r="K272" s="2959">
        <v>106.82</v>
      </c>
      <c r="L272" s="2955">
        <v>82.52</v>
      </c>
      <c r="M272" s="2954" t="s">
        <v>3233</v>
      </c>
      <c r="N272" s="2954" t="s">
        <v>3686</v>
      </c>
      <c r="O272" s="2954" t="s">
        <v>3441</v>
      </c>
      <c r="P272" s="2954" t="s">
        <v>3289</v>
      </c>
      <c r="Q272" s="2954" t="s">
        <v>3864</v>
      </c>
      <c r="R272" s="2954" t="s">
        <v>3291</v>
      </c>
      <c r="S272" s="2954">
        <v>1160065</v>
      </c>
      <c r="T272" s="2954" t="s">
        <v>3233</v>
      </c>
      <c r="U272" s="2954" t="s">
        <v>3299</v>
      </c>
      <c r="V272" s="2956">
        <v>44499</v>
      </c>
      <c r="W272" s="2954" t="s">
        <v>3051</v>
      </c>
      <c r="X272" s="2954" t="s">
        <v>3046</v>
      </c>
      <c r="Y272" s="2954" t="s">
        <v>3283</v>
      </c>
      <c r="Z272" s="2957">
        <v>43374.417488425897</v>
      </c>
      <c r="AA272" s="2954" t="s">
        <v>3772</v>
      </c>
      <c r="AB272" s="2954" t="s">
        <v>3300</v>
      </c>
      <c r="AC272" s="2954" t="s">
        <v>3544</v>
      </c>
      <c r="AD272" s="2954" t="s">
        <v>3283</v>
      </c>
      <c r="AE272" s="2954" t="s">
        <v>3051</v>
      </c>
      <c r="AF272" s="2954" t="s">
        <v>3283</v>
      </c>
    </row>
    <row r="273" spans="1:32" ht="67.5">
      <c r="A273" s="2954">
        <v>6817</v>
      </c>
      <c r="B273" s="2954" t="s">
        <v>3281</v>
      </c>
      <c r="C273" s="2954" t="s">
        <v>3861</v>
      </c>
      <c r="D273" s="2954" t="s">
        <v>3283</v>
      </c>
      <c r="E273" s="2954" t="s">
        <v>3961</v>
      </c>
      <c r="F273" s="2954" t="s">
        <v>3962</v>
      </c>
      <c r="G273" s="2954" t="s">
        <v>3963</v>
      </c>
      <c r="H273" s="2955">
        <v>1052247</v>
      </c>
      <c r="I273" s="2955">
        <v>11260</v>
      </c>
      <c r="J273" s="2955">
        <v>14576</v>
      </c>
      <c r="K273" s="2959">
        <v>93.45</v>
      </c>
      <c r="L273" s="2955">
        <v>72.19</v>
      </c>
      <c r="M273" s="2954" t="s">
        <v>3233</v>
      </c>
      <c r="N273" s="2954" t="s">
        <v>3779</v>
      </c>
      <c r="O273" s="2954" t="s">
        <v>3770</v>
      </c>
      <c r="P273" s="2954" t="s">
        <v>3289</v>
      </c>
      <c r="Q273" s="2954" t="s">
        <v>3864</v>
      </c>
      <c r="R273" s="2954" t="s">
        <v>3291</v>
      </c>
      <c r="S273" s="2954">
        <v>1052247</v>
      </c>
      <c r="T273" s="2954" t="s">
        <v>3233</v>
      </c>
      <c r="U273" s="2954" t="s">
        <v>3299</v>
      </c>
      <c r="V273" s="2956">
        <v>44499</v>
      </c>
      <c r="W273" s="2954" t="s">
        <v>3051</v>
      </c>
      <c r="X273" s="2954" t="s">
        <v>3046</v>
      </c>
      <c r="Y273" s="2954" t="s">
        <v>3283</v>
      </c>
      <c r="Z273" s="2957">
        <v>43374.417488425897</v>
      </c>
      <c r="AA273" s="2954" t="s">
        <v>3772</v>
      </c>
      <c r="AB273" s="2954" t="s">
        <v>3300</v>
      </c>
      <c r="AC273" s="2954" t="s">
        <v>3544</v>
      </c>
      <c r="AD273" s="2954" t="s">
        <v>3283</v>
      </c>
      <c r="AE273" s="2954" t="s">
        <v>3051</v>
      </c>
      <c r="AF273" s="2954" t="s">
        <v>3283</v>
      </c>
    </row>
    <row r="274" spans="1:32" ht="67.5">
      <c r="A274" s="2954">
        <v>6818</v>
      </c>
      <c r="B274" s="2954" t="s">
        <v>3281</v>
      </c>
      <c r="C274" s="2954" t="s">
        <v>3861</v>
      </c>
      <c r="D274" s="2954" t="s">
        <v>3283</v>
      </c>
      <c r="E274" s="2954" t="s">
        <v>3964</v>
      </c>
      <c r="F274" s="2954" t="s">
        <v>3965</v>
      </c>
      <c r="G274" s="2954" t="s">
        <v>3966</v>
      </c>
      <c r="H274" s="2955">
        <v>1056139</v>
      </c>
      <c r="I274" s="2955">
        <v>11360</v>
      </c>
      <c r="J274" s="2955">
        <v>14705</v>
      </c>
      <c r="K274" s="2959">
        <v>92.97</v>
      </c>
      <c r="L274" s="2955">
        <v>71.819999999999993</v>
      </c>
      <c r="M274" s="2954" t="s">
        <v>3233</v>
      </c>
      <c r="N274" s="2954" t="s">
        <v>3769</v>
      </c>
      <c r="O274" s="2954" t="s">
        <v>3770</v>
      </c>
      <c r="P274" s="2954" t="s">
        <v>3289</v>
      </c>
      <c r="Q274" s="2954" t="s">
        <v>3864</v>
      </c>
      <c r="R274" s="2954" t="s">
        <v>3291</v>
      </c>
      <c r="S274" s="2954">
        <v>1056139</v>
      </c>
      <c r="T274" s="2954" t="s">
        <v>3233</v>
      </c>
      <c r="U274" s="2954" t="s">
        <v>3299</v>
      </c>
      <c r="V274" s="2956">
        <v>44499</v>
      </c>
      <c r="W274" s="2954" t="s">
        <v>3051</v>
      </c>
      <c r="X274" s="2954" t="s">
        <v>3046</v>
      </c>
      <c r="Y274" s="2954" t="s">
        <v>3283</v>
      </c>
      <c r="Z274" s="2957">
        <v>43374.417488425897</v>
      </c>
      <c r="AA274" s="2954" t="s">
        <v>3772</v>
      </c>
      <c r="AB274" s="2954" t="s">
        <v>3300</v>
      </c>
      <c r="AC274" s="2954" t="s">
        <v>3544</v>
      </c>
      <c r="AD274" s="2954" t="s">
        <v>3283</v>
      </c>
      <c r="AE274" s="2954" t="s">
        <v>3051</v>
      </c>
      <c r="AF274" s="2954" t="s">
        <v>3283</v>
      </c>
    </row>
    <row r="275" spans="1:32" ht="67.5">
      <c r="A275" s="2954">
        <v>6820</v>
      </c>
      <c r="B275" s="2954" t="s">
        <v>3281</v>
      </c>
      <c r="C275" s="2954" t="s">
        <v>3861</v>
      </c>
      <c r="D275" s="2954" t="s">
        <v>3283</v>
      </c>
      <c r="E275" s="2954" t="s">
        <v>3621</v>
      </c>
      <c r="F275" s="2954" t="s">
        <v>3967</v>
      </c>
      <c r="G275" s="2954" t="s">
        <v>3968</v>
      </c>
      <c r="H275" s="2955">
        <v>1160065</v>
      </c>
      <c r="I275" s="2955">
        <v>10860</v>
      </c>
      <c r="J275" s="2955">
        <v>14058</v>
      </c>
      <c r="K275" s="2959">
        <v>106.82</v>
      </c>
      <c r="L275" s="2955">
        <v>82.52</v>
      </c>
      <c r="M275" s="2954" t="s">
        <v>3233</v>
      </c>
      <c r="N275" s="2954" t="s">
        <v>3686</v>
      </c>
      <c r="O275" s="2954" t="s">
        <v>3441</v>
      </c>
      <c r="P275" s="2954" t="s">
        <v>3289</v>
      </c>
      <c r="Q275" s="2954" t="s">
        <v>3864</v>
      </c>
      <c r="R275" s="2954" t="s">
        <v>3291</v>
      </c>
      <c r="S275" s="2954">
        <v>1160065</v>
      </c>
      <c r="T275" s="2954" t="s">
        <v>3233</v>
      </c>
      <c r="U275" s="2954" t="s">
        <v>3299</v>
      </c>
      <c r="V275" s="2956">
        <v>44499</v>
      </c>
      <c r="W275" s="2954" t="s">
        <v>3051</v>
      </c>
      <c r="X275" s="2954" t="s">
        <v>3046</v>
      </c>
      <c r="Y275" s="2954" t="s">
        <v>3283</v>
      </c>
      <c r="Z275" s="2957">
        <v>43374.417488425897</v>
      </c>
      <c r="AA275" s="2954" t="s">
        <v>3772</v>
      </c>
      <c r="AB275" s="2954" t="s">
        <v>3300</v>
      </c>
      <c r="AC275" s="2954" t="s">
        <v>3544</v>
      </c>
      <c r="AD275" s="2954" t="s">
        <v>3283</v>
      </c>
      <c r="AE275" s="2954" t="s">
        <v>3051</v>
      </c>
      <c r="AF275" s="2954" t="s">
        <v>3283</v>
      </c>
    </row>
    <row r="276" spans="1:32" ht="67.5">
      <c r="A276" s="2954">
        <v>6821</v>
      </c>
      <c r="B276" s="2954" t="s">
        <v>3281</v>
      </c>
      <c r="C276" s="2954" t="s">
        <v>3861</v>
      </c>
      <c r="D276" s="2954" t="s">
        <v>3283</v>
      </c>
      <c r="E276" s="2954" t="s">
        <v>3969</v>
      </c>
      <c r="F276" s="2954" t="s">
        <v>3970</v>
      </c>
      <c r="G276" s="2954" t="s">
        <v>3971</v>
      </c>
      <c r="H276" s="2955">
        <v>1052247</v>
      </c>
      <c r="I276" s="2955">
        <v>11260</v>
      </c>
      <c r="J276" s="2955">
        <v>14576</v>
      </c>
      <c r="K276" s="2959">
        <v>93.45</v>
      </c>
      <c r="L276" s="2955">
        <v>72.19</v>
      </c>
      <c r="M276" s="2954" t="s">
        <v>3233</v>
      </c>
      <c r="N276" s="2954" t="s">
        <v>3779</v>
      </c>
      <c r="O276" s="2954" t="s">
        <v>3770</v>
      </c>
      <c r="P276" s="2954" t="s">
        <v>3289</v>
      </c>
      <c r="Q276" s="2954" t="s">
        <v>3864</v>
      </c>
      <c r="R276" s="2954" t="s">
        <v>3291</v>
      </c>
      <c r="S276" s="2954">
        <v>1052247</v>
      </c>
      <c r="T276" s="2954" t="s">
        <v>3233</v>
      </c>
      <c r="U276" s="2954" t="s">
        <v>3299</v>
      </c>
      <c r="V276" s="2956">
        <v>44499</v>
      </c>
      <c r="W276" s="2954" t="s">
        <v>3051</v>
      </c>
      <c r="X276" s="2954" t="s">
        <v>3046</v>
      </c>
      <c r="Y276" s="2954" t="s">
        <v>3283</v>
      </c>
      <c r="Z276" s="2957">
        <v>43374.417488425897</v>
      </c>
      <c r="AA276" s="2954" t="s">
        <v>3772</v>
      </c>
      <c r="AB276" s="2954" t="s">
        <v>3300</v>
      </c>
      <c r="AC276" s="2954" t="s">
        <v>3544</v>
      </c>
      <c r="AD276" s="2954" t="s">
        <v>3283</v>
      </c>
      <c r="AE276" s="2954" t="s">
        <v>3051</v>
      </c>
      <c r="AF276" s="2954" t="s">
        <v>3283</v>
      </c>
    </row>
    <row r="277" spans="1:32" ht="67.5">
      <c r="A277" s="2954">
        <v>6824</v>
      </c>
      <c r="B277" s="2954" t="s">
        <v>3281</v>
      </c>
      <c r="C277" s="2954" t="s">
        <v>3861</v>
      </c>
      <c r="D277" s="2954" t="s">
        <v>3283</v>
      </c>
      <c r="E277" s="2954" t="s">
        <v>3627</v>
      </c>
      <c r="F277" s="2954" t="s">
        <v>3972</v>
      </c>
      <c r="G277" s="2954" t="s">
        <v>3973</v>
      </c>
      <c r="H277" s="2955">
        <v>1160065</v>
      </c>
      <c r="I277" s="2955">
        <v>10860</v>
      </c>
      <c r="J277" s="2955">
        <v>14058</v>
      </c>
      <c r="K277" s="2959">
        <v>106.82</v>
      </c>
      <c r="L277" s="2955">
        <v>82.52</v>
      </c>
      <c r="M277" s="2954" t="s">
        <v>3233</v>
      </c>
      <c r="N277" s="2954" t="s">
        <v>3686</v>
      </c>
      <c r="O277" s="2954" t="s">
        <v>3441</v>
      </c>
      <c r="P277" s="2954" t="s">
        <v>3289</v>
      </c>
      <c r="Q277" s="2954" t="s">
        <v>3864</v>
      </c>
      <c r="R277" s="2954" t="s">
        <v>3291</v>
      </c>
      <c r="S277" s="2954">
        <v>1160065</v>
      </c>
      <c r="T277" s="2954" t="s">
        <v>3233</v>
      </c>
      <c r="U277" s="2954" t="s">
        <v>3299</v>
      </c>
      <c r="V277" s="2956">
        <v>44499</v>
      </c>
      <c r="W277" s="2954" t="s">
        <v>3051</v>
      </c>
      <c r="X277" s="2954" t="s">
        <v>3046</v>
      </c>
      <c r="Y277" s="2954" t="s">
        <v>3283</v>
      </c>
      <c r="Z277" s="2957">
        <v>43374.417488425897</v>
      </c>
      <c r="AA277" s="2954" t="s">
        <v>3772</v>
      </c>
      <c r="AB277" s="2954" t="s">
        <v>3300</v>
      </c>
      <c r="AC277" s="2954" t="s">
        <v>3544</v>
      </c>
      <c r="AD277" s="2954" t="s">
        <v>3283</v>
      </c>
      <c r="AE277" s="2954" t="s">
        <v>3051</v>
      </c>
      <c r="AF277" s="2954" t="s">
        <v>3283</v>
      </c>
    </row>
    <row r="278" spans="1:32" ht="67.5">
      <c r="A278" s="2954">
        <v>6825</v>
      </c>
      <c r="B278" s="2954" t="s">
        <v>3281</v>
      </c>
      <c r="C278" s="2954" t="s">
        <v>3861</v>
      </c>
      <c r="D278" s="2954" t="s">
        <v>3283</v>
      </c>
      <c r="E278" s="2954" t="s">
        <v>3974</v>
      </c>
      <c r="F278" s="2954" t="s">
        <v>3975</v>
      </c>
      <c r="G278" s="2954" t="s">
        <v>3976</v>
      </c>
      <c r="H278" s="2955">
        <v>1052247</v>
      </c>
      <c r="I278" s="2955">
        <v>11260</v>
      </c>
      <c r="J278" s="2955">
        <v>14576</v>
      </c>
      <c r="K278" s="2959">
        <v>93.45</v>
      </c>
      <c r="L278" s="2955">
        <v>72.19</v>
      </c>
      <c r="M278" s="2954" t="s">
        <v>3233</v>
      </c>
      <c r="N278" s="2954" t="s">
        <v>3779</v>
      </c>
      <c r="O278" s="2954" t="s">
        <v>3770</v>
      </c>
      <c r="P278" s="2954" t="s">
        <v>3289</v>
      </c>
      <c r="Q278" s="2954" t="s">
        <v>3864</v>
      </c>
      <c r="R278" s="2954" t="s">
        <v>3291</v>
      </c>
      <c r="S278" s="2954">
        <v>1052247</v>
      </c>
      <c r="T278" s="2954" t="s">
        <v>3233</v>
      </c>
      <c r="U278" s="2954" t="s">
        <v>3299</v>
      </c>
      <c r="V278" s="2956">
        <v>44499</v>
      </c>
      <c r="W278" s="2954" t="s">
        <v>3051</v>
      </c>
      <c r="X278" s="2954" t="s">
        <v>3046</v>
      </c>
      <c r="Y278" s="2954" t="s">
        <v>3283</v>
      </c>
      <c r="Z278" s="2957">
        <v>43374.417488425897</v>
      </c>
      <c r="AA278" s="2954" t="s">
        <v>3772</v>
      </c>
      <c r="AB278" s="2954" t="s">
        <v>3300</v>
      </c>
      <c r="AC278" s="2954" t="s">
        <v>3544</v>
      </c>
      <c r="AD278" s="2954" t="s">
        <v>3283</v>
      </c>
      <c r="AE278" s="2954" t="s">
        <v>3051</v>
      </c>
      <c r="AF278" s="2954" t="s">
        <v>3283</v>
      </c>
    </row>
    <row r="279" spans="1:32" ht="67.5">
      <c r="A279" s="2954">
        <v>6826</v>
      </c>
      <c r="B279" s="2954" t="s">
        <v>3281</v>
      </c>
      <c r="C279" s="2954" t="s">
        <v>3861</v>
      </c>
      <c r="D279" s="2954" t="s">
        <v>3283</v>
      </c>
      <c r="E279" s="2954" t="s">
        <v>3977</v>
      </c>
      <c r="F279" s="2954" t="s">
        <v>3978</v>
      </c>
      <c r="G279" s="2954" t="s">
        <v>3979</v>
      </c>
      <c r="H279" s="2955">
        <v>1054280</v>
      </c>
      <c r="I279" s="2955">
        <v>11340</v>
      </c>
      <c r="J279" s="2955">
        <v>14679</v>
      </c>
      <c r="K279" s="2959">
        <v>92.97</v>
      </c>
      <c r="L279" s="2955">
        <v>71.819999999999993</v>
      </c>
      <c r="M279" s="2954" t="s">
        <v>3233</v>
      </c>
      <c r="N279" s="2954" t="s">
        <v>3769</v>
      </c>
      <c r="O279" s="2954" t="s">
        <v>3770</v>
      </c>
      <c r="P279" s="2954" t="s">
        <v>3289</v>
      </c>
      <c r="Q279" s="2954" t="s">
        <v>3864</v>
      </c>
      <c r="R279" s="2954" t="s">
        <v>3291</v>
      </c>
      <c r="S279" s="2954">
        <v>1054280</v>
      </c>
      <c r="T279" s="2954" t="s">
        <v>3233</v>
      </c>
      <c r="U279" s="2954" t="s">
        <v>3299</v>
      </c>
      <c r="V279" s="2956">
        <v>44499</v>
      </c>
      <c r="W279" s="2954" t="s">
        <v>3051</v>
      </c>
      <c r="X279" s="2954" t="s">
        <v>3046</v>
      </c>
      <c r="Y279" s="2954" t="s">
        <v>3283</v>
      </c>
      <c r="Z279" s="2957">
        <v>43374.417488425897</v>
      </c>
      <c r="AA279" s="2954" t="s">
        <v>3772</v>
      </c>
      <c r="AB279" s="2954" t="s">
        <v>3300</v>
      </c>
      <c r="AC279" s="2954" t="s">
        <v>3544</v>
      </c>
      <c r="AD279" s="2954" t="s">
        <v>3283</v>
      </c>
      <c r="AE279" s="2954" t="s">
        <v>3051</v>
      </c>
      <c r="AF279" s="2954" t="s">
        <v>3283</v>
      </c>
    </row>
    <row r="280" spans="1:32" ht="67.5">
      <c r="A280" s="2954">
        <v>6828</v>
      </c>
      <c r="B280" s="2954" t="s">
        <v>3281</v>
      </c>
      <c r="C280" s="2954" t="s">
        <v>3861</v>
      </c>
      <c r="D280" s="2954" t="s">
        <v>3283</v>
      </c>
      <c r="E280" s="2954" t="s">
        <v>3633</v>
      </c>
      <c r="F280" s="2954" t="s">
        <v>3980</v>
      </c>
      <c r="G280" s="2954" t="s">
        <v>3981</v>
      </c>
      <c r="H280" s="2955">
        <v>1157929</v>
      </c>
      <c r="I280" s="2955">
        <v>10840</v>
      </c>
      <c r="J280" s="2955">
        <v>14032</v>
      </c>
      <c r="K280" s="2959">
        <v>106.82</v>
      </c>
      <c r="L280" s="2955">
        <v>82.52</v>
      </c>
      <c r="M280" s="2954" t="s">
        <v>3233</v>
      </c>
      <c r="N280" s="2954" t="s">
        <v>3686</v>
      </c>
      <c r="O280" s="2954" t="s">
        <v>3441</v>
      </c>
      <c r="P280" s="2954" t="s">
        <v>3289</v>
      </c>
      <c r="Q280" s="2954" t="s">
        <v>3864</v>
      </c>
      <c r="R280" s="2954" t="s">
        <v>3291</v>
      </c>
      <c r="S280" s="2954">
        <v>1157929</v>
      </c>
      <c r="T280" s="2954" t="s">
        <v>3233</v>
      </c>
      <c r="U280" s="2954" t="s">
        <v>3299</v>
      </c>
      <c r="V280" s="2956">
        <v>44499</v>
      </c>
      <c r="W280" s="2954" t="s">
        <v>3051</v>
      </c>
      <c r="X280" s="2954" t="s">
        <v>3046</v>
      </c>
      <c r="Y280" s="2954" t="s">
        <v>3283</v>
      </c>
      <c r="Z280" s="2957">
        <v>43374.417488425897</v>
      </c>
      <c r="AA280" s="2954" t="s">
        <v>3772</v>
      </c>
      <c r="AB280" s="2954" t="s">
        <v>3300</v>
      </c>
      <c r="AC280" s="2954" t="s">
        <v>3544</v>
      </c>
      <c r="AD280" s="2954" t="s">
        <v>3283</v>
      </c>
      <c r="AE280" s="2954" t="s">
        <v>3051</v>
      </c>
      <c r="AF280" s="2954" t="s">
        <v>3283</v>
      </c>
    </row>
    <row r="281" spans="1:32" ht="67.5">
      <c r="A281" s="2954">
        <v>6829</v>
      </c>
      <c r="B281" s="2954" t="s">
        <v>3281</v>
      </c>
      <c r="C281" s="2954" t="s">
        <v>3861</v>
      </c>
      <c r="D281" s="2954" t="s">
        <v>3283</v>
      </c>
      <c r="E281" s="2954" t="s">
        <v>3982</v>
      </c>
      <c r="F281" s="2954" t="s">
        <v>3983</v>
      </c>
      <c r="G281" s="2954" t="s">
        <v>3984</v>
      </c>
      <c r="H281" s="2955">
        <v>1050378</v>
      </c>
      <c r="I281" s="2955">
        <v>11240</v>
      </c>
      <c r="J281" s="2955">
        <v>14550</v>
      </c>
      <c r="K281" s="2959">
        <v>93.45</v>
      </c>
      <c r="L281" s="2955">
        <v>72.19</v>
      </c>
      <c r="M281" s="2954" t="s">
        <v>3233</v>
      </c>
      <c r="N281" s="2954" t="s">
        <v>3779</v>
      </c>
      <c r="O281" s="2954" t="s">
        <v>3770</v>
      </c>
      <c r="P281" s="2954" t="s">
        <v>3289</v>
      </c>
      <c r="Q281" s="2954" t="s">
        <v>3864</v>
      </c>
      <c r="R281" s="2954" t="s">
        <v>3291</v>
      </c>
      <c r="S281" s="2954">
        <v>1050378</v>
      </c>
      <c r="T281" s="2954" t="s">
        <v>3233</v>
      </c>
      <c r="U281" s="2954" t="s">
        <v>3299</v>
      </c>
      <c r="V281" s="2956">
        <v>44499</v>
      </c>
      <c r="W281" s="2954" t="s">
        <v>3051</v>
      </c>
      <c r="X281" s="2954" t="s">
        <v>3046</v>
      </c>
      <c r="Y281" s="2954" t="s">
        <v>3283</v>
      </c>
      <c r="Z281" s="2957">
        <v>43374.417488425897</v>
      </c>
      <c r="AA281" s="2954" t="s">
        <v>3772</v>
      </c>
      <c r="AB281" s="2954" t="s">
        <v>3300</v>
      </c>
      <c r="AC281" s="2954" t="s">
        <v>3544</v>
      </c>
      <c r="AD281" s="2954" t="s">
        <v>3283</v>
      </c>
      <c r="AE281" s="2954" t="s">
        <v>3051</v>
      </c>
      <c r="AF281" s="2954" t="s">
        <v>3283</v>
      </c>
    </row>
    <row r="282" spans="1:32" ht="67.5">
      <c r="A282" s="2954">
        <v>6831</v>
      </c>
      <c r="B282" s="2954" t="s">
        <v>3281</v>
      </c>
      <c r="C282" s="2954" t="s">
        <v>3861</v>
      </c>
      <c r="D282" s="2954" t="s">
        <v>3283</v>
      </c>
      <c r="E282" s="2954" t="s">
        <v>3636</v>
      </c>
      <c r="F282" s="2954" t="s">
        <v>3985</v>
      </c>
      <c r="G282" s="2954" t="s">
        <v>3986</v>
      </c>
      <c r="H282" s="2955">
        <v>1147247</v>
      </c>
      <c r="I282" s="2955">
        <v>10740</v>
      </c>
      <c r="J282" s="2955">
        <v>13903</v>
      </c>
      <c r="K282" s="2959">
        <v>106.82</v>
      </c>
      <c r="L282" s="2955">
        <v>82.52</v>
      </c>
      <c r="M282" s="2954" t="s">
        <v>3233</v>
      </c>
      <c r="N282" s="2954" t="s">
        <v>3681</v>
      </c>
      <c r="O282" s="2954" t="s">
        <v>3441</v>
      </c>
      <c r="P282" s="2954" t="s">
        <v>3289</v>
      </c>
      <c r="Q282" s="2954" t="s">
        <v>3864</v>
      </c>
      <c r="R282" s="2954" t="s">
        <v>3291</v>
      </c>
      <c r="S282" s="2954">
        <v>1147247</v>
      </c>
      <c r="T282" s="2954" t="s">
        <v>3233</v>
      </c>
      <c r="U282" s="2954" t="s">
        <v>3299</v>
      </c>
      <c r="V282" s="2956">
        <v>44499</v>
      </c>
      <c r="W282" s="2954" t="s">
        <v>3051</v>
      </c>
      <c r="X282" s="2954" t="s">
        <v>3046</v>
      </c>
      <c r="Y282" s="2954" t="s">
        <v>3283</v>
      </c>
      <c r="Z282" s="2957">
        <v>43374.417488425897</v>
      </c>
      <c r="AA282" s="2954" t="s">
        <v>3772</v>
      </c>
      <c r="AB282" s="2954" t="s">
        <v>3300</v>
      </c>
      <c r="AC282" s="2954" t="s">
        <v>3544</v>
      </c>
      <c r="AD282" s="2954" t="s">
        <v>3283</v>
      </c>
      <c r="AE282" s="2954" t="s">
        <v>3051</v>
      </c>
      <c r="AF282" s="2954" t="s">
        <v>3283</v>
      </c>
    </row>
    <row r="283" spans="1:32" ht="67.5">
      <c r="A283" s="2954">
        <v>6832</v>
      </c>
      <c r="B283" s="2954" t="s">
        <v>3281</v>
      </c>
      <c r="C283" s="2954" t="s">
        <v>3861</v>
      </c>
      <c r="D283" s="2954" t="s">
        <v>3283</v>
      </c>
      <c r="E283" s="2954" t="s">
        <v>3639</v>
      </c>
      <c r="F283" s="2954" t="s">
        <v>3987</v>
      </c>
      <c r="G283" s="2954" t="s">
        <v>3988</v>
      </c>
      <c r="H283" s="2955">
        <v>1157929</v>
      </c>
      <c r="I283" s="2955">
        <v>10840</v>
      </c>
      <c r="J283" s="2955">
        <v>14032</v>
      </c>
      <c r="K283" s="2959">
        <v>106.82</v>
      </c>
      <c r="L283" s="2955">
        <v>82.52</v>
      </c>
      <c r="M283" s="2954" t="s">
        <v>3233</v>
      </c>
      <c r="N283" s="2954" t="s">
        <v>3686</v>
      </c>
      <c r="O283" s="2954" t="s">
        <v>3441</v>
      </c>
      <c r="P283" s="2954" t="s">
        <v>3289</v>
      </c>
      <c r="Q283" s="2954" t="s">
        <v>3864</v>
      </c>
      <c r="R283" s="2954" t="s">
        <v>3291</v>
      </c>
      <c r="S283" s="2954">
        <v>1157929</v>
      </c>
      <c r="T283" s="2954" t="s">
        <v>3233</v>
      </c>
      <c r="U283" s="2954" t="s">
        <v>3299</v>
      </c>
      <c r="V283" s="2956">
        <v>44499</v>
      </c>
      <c r="W283" s="2954" t="s">
        <v>3051</v>
      </c>
      <c r="X283" s="2954" t="s">
        <v>3046</v>
      </c>
      <c r="Y283" s="2954" t="s">
        <v>3283</v>
      </c>
      <c r="Z283" s="2957">
        <v>43374.417488425897</v>
      </c>
      <c r="AA283" s="2954" t="s">
        <v>3772</v>
      </c>
      <c r="AB283" s="2954" t="s">
        <v>3300</v>
      </c>
      <c r="AC283" s="2954" t="s">
        <v>3544</v>
      </c>
      <c r="AD283" s="2954" t="s">
        <v>3283</v>
      </c>
      <c r="AE283" s="2954" t="s">
        <v>3051</v>
      </c>
      <c r="AF283" s="2954" t="s">
        <v>3283</v>
      </c>
    </row>
    <row r="284" spans="1:32" ht="67.5">
      <c r="A284" s="2954">
        <v>6833</v>
      </c>
      <c r="B284" s="2954" t="s">
        <v>3281</v>
      </c>
      <c r="C284" s="2954" t="s">
        <v>3861</v>
      </c>
      <c r="D284" s="2954" t="s">
        <v>3283</v>
      </c>
      <c r="E284" s="2954" t="s">
        <v>3989</v>
      </c>
      <c r="F284" s="2954" t="s">
        <v>3990</v>
      </c>
      <c r="G284" s="2954" t="s">
        <v>3991</v>
      </c>
      <c r="H284" s="2955">
        <v>1050378</v>
      </c>
      <c r="I284" s="2955">
        <v>11240</v>
      </c>
      <c r="J284" s="2955">
        <v>14550</v>
      </c>
      <c r="K284" s="2959">
        <v>93.45</v>
      </c>
      <c r="L284" s="2955">
        <v>72.19</v>
      </c>
      <c r="M284" s="2954" t="s">
        <v>3233</v>
      </c>
      <c r="N284" s="2954" t="s">
        <v>3779</v>
      </c>
      <c r="O284" s="2954" t="s">
        <v>3770</v>
      </c>
      <c r="P284" s="2954" t="s">
        <v>3289</v>
      </c>
      <c r="Q284" s="2954" t="s">
        <v>3864</v>
      </c>
      <c r="R284" s="2954" t="s">
        <v>3291</v>
      </c>
      <c r="S284" s="2954">
        <v>1050378</v>
      </c>
      <c r="T284" s="2954" t="s">
        <v>3233</v>
      </c>
      <c r="U284" s="2954" t="s">
        <v>3299</v>
      </c>
      <c r="V284" s="2956">
        <v>44499</v>
      </c>
      <c r="W284" s="2954" t="s">
        <v>3051</v>
      </c>
      <c r="X284" s="2954" t="s">
        <v>3046</v>
      </c>
      <c r="Y284" s="2954" t="s">
        <v>3283</v>
      </c>
      <c r="Z284" s="2957">
        <v>43374.417488425897</v>
      </c>
      <c r="AA284" s="2954" t="s">
        <v>3772</v>
      </c>
      <c r="AB284" s="2954" t="s">
        <v>3300</v>
      </c>
      <c r="AC284" s="2954" t="s">
        <v>3544</v>
      </c>
      <c r="AD284" s="2954" t="s">
        <v>3283</v>
      </c>
      <c r="AE284" s="2954" t="s">
        <v>3051</v>
      </c>
      <c r="AF284" s="2954" t="s">
        <v>3283</v>
      </c>
    </row>
    <row r="285" spans="1:32" ht="67.5">
      <c r="A285" s="2954">
        <v>6837</v>
      </c>
      <c r="B285" s="2954" t="s">
        <v>3281</v>
      </c>
      <c r="C285" s="2954" t="s">
        <v>3861</v>
      </c>
      <c r="D285" s="2954" t="s">
        <v>3283</v>
      </c>
      <c r="E285" s="2954" t="s">
        <v>3992</v>
      </c>
      <c r="F285" s="2954" t="s">
        <v>3993</v>
      </c>
      <c r="G285" s="2954" t="s">
        <v>3994</v>
      </c>
      <c r="H285" s="2955">
        <v>1050378</v>
      </c>
      <c r="I285" s="2955">
        <v>11240</v>
      </c>
      <c r="J285" s="2955">
        <v>14550</v>
      </c>
      <c r="K285" s="2959">
        <v>93.45</v>
      </c>
      <c r="L285" s="2955">
        <v>72.19</v>
      </c>
      <c r="M285" s="2954" t="s">
        <v>3233</v>
      </c>
      <c r="N285" s="2954" t="s">
        <v>3779</v>
      </c>
      <c r="O285" s="2954" t="s">
        <v>3770</v>
      </c>
      <c r="P285" s="2954" t="s">
        <v>3289</v>
      </c>
      <c r="Q285" s="2954" t="s">
        <v>3864</v>
      </c>
      <c r="R285" s="2954" t="s">
        <v>3291</v>
      </c>
      <c r="S285" s="2954">
        <v>1050378</v>
      </c>
      <c r="T285" s="2954" t="s">
        <v>3233</v>
      </c>
      <c r="U285" s="2954" t="s">
        <v>3299</v>
      </c>
      <c r="V285" s="2956">
        <v>44499</v>
      </c>
      <c r="W285" s="2954" t="s">
        <v>3051</v>
      </c>
      <c r="X285" s="2954" t="s">
        <v>3046</v>
      </c>
      <c r="Y285" s="2954" t="s">
        <v>3283</v>
      </c>
      <c r="Z285" s="2957">
        <v>43374.417488425897</v>
      </c>
      <c r="AA285" s="2954" t="s">
        <v>3772</v>
      </c>
      <c r="AB285" s="2954" t="s">
        <v>3300</v>
      </c>
      <c r="AC285" s="2954" t="s">
        <v>3544</v>
      </c>
      <c r="AD285" s="2954" t="s">
        <v>3283</v>
      </c>
      <c r="AE285" s="2954" t="s">
        <v>3051</v>
      </c>
      <c r="AF285" s="2954" t="s">
        <v>3283</v>
      </c>
    </row>
    <row r="286" spans="1:32" ht="67.5">
      <c r="A286" s="2954">
        <v>6841</v>
      </c>
      <c r="B286" s="2954" t="s">
        <v>3281</v>
      </c>
      <c r="C286" s="2954" t="s">
        <v>3861</v>
      </c>
      <c r="D286" s="2954" t="s">
        <v>3283</v>
      </c>
      <c r="E286" s="2954" t="s">
        <v>3995</v>
      </c>
      <c r="F286" s="2954" t="s">
        <v>3996</v>
      </c>
      <c r="G286" s="2954" t="s">
        <v>3997</v>
      </c>
      <c r="H286" s="2955">
        <v>1048509</v>
      </c>
      <c r="I286" s="2955">
        <v>11220</v>
      </c>
      <c r="J286" s="2955">
        <v>14524</v>
      </c>
      <c r="K286" s="2959">
        <v>93.45</v>
      </c>
      <c r="L286" s="2955">
        <v>72.19</v>
      </c>
      <c r="M286" s="2954" t="s">
        <v>3233</v>
      </c>
      <c r="N286" s="2954" t="s">
        <v>3779</v>
      </c>
      <c r="O286" s="2954" t="s">
        <v>3770</v>
      </c>
      <c r="P286" s="2954" t="s">
        <v>3289</v>
      </c>
      <c r="Q286" s="2954" t="s">
        <v>3864</v>
      </c>
      <c r="R286" s="2954" t="s">
        <v>3291</v>
      </c>
      <c r="S286" s="2954">
        <v>1048509</v>
      </c>
      <c r="T286" s="2954" t="s">
        <v>3233</v>
      </c>
      <c r="U286" s="2954" t="s">
        <v>3299</v>
      </c>
      <c r="V286" s="2956">
        <v>44499</v>
      </c>
      <c r="W286" s="2954" t="s">
        <v>3051</v>
      </c>
      <c r="X286" s="2954" t="s">
        <v>3046</v>
      </c>
      <c r="Y286" s="2954" t="s">
        <v>3283</v>
      </c>
      <c r="Z286" s="2957">
        <v>43374.417476851901</v>
      </c>
      <c r="AA286" s="2954" t="s">
        <v>3772</v>
      </c>
      <c r="AB286" s="2954" t="s">
        <v>3300</v>
      </c>
      <c r="AC286" s="2954" t="s">
        <v>3544</v>
      </c>
      <c r="AD286" s="2954" t="s">
        <v>3283</v>
      </c>
      <c r="AE286" s="2954" t="s">
        <v>3051</v>
      </c>
      <c r="AF286" s="2954" t="s">
        <v>3283</v>
      </c>
    </row>
    <row r="287" spans="1:32" ht="67.5">
      <c r="A287" s="2954">
        <v>6843</v>
      </c>
      <c r="B287" s="2954" t="s">
        <v>3281</v>
      </c>
      <c r="C287" s="2954" t="s">
        <v>3861</v>
      </c>
      <c r="D287" s="2954" t="s">
        <v>3283</v>
      </c>
      <c r="E287" s="2954" t="s">
        <v>3654</v>
      </c>
      <c r="F287" s="2954" t="s">
        <v>3998</v>
      </c>
      <c r="G287" s="2954" t="s">
        <v>3999</v>
      </c>
      <c r="H287" s="2955">
        <v>1145110</v>
      </c>
      <c r="I287" s="2955">
        <v>10720</v>
      </c>
      <c r="J287" s="2955">
        <v>13877</v>
      </c>
      <c r="K287" s="2959">
        <v>106.82</v>
      </c>
      <c r="L287" s="2955">
        <v>82.52</v>
      </c>
      <c r="M287" s="2954" t="s">
        <v>3233</v>
      </c>
      <c r="N287" s="2954" t="s">
        <v>3681</v>
      </c>
      <c r="O287" s="2954" t="s">
        <v>3441</v>
      </c>
      <c r="P287" s="2954" t="s">
        <v>3289</v>
      </c>
      <c r="Q287" s="2954" t="s">
        <v>3864</v>
      </c>
      <c r="R287" s="2954" t="s">
        <v>3291</v>
      </c>
      <c r="S287" s="2954">
        <v>1145110</v>
      </c>
      <c r="T287" s="2954" t="s">
        <v>3233</v>
      </c>
      <c r="U287" s="2954" t="s">
        <v>3299</v>
      </c>
      <c r="V287" s="2956">
        <v>44499</v>
      </c>
      <c r="W287" s="2954" t="s">
        <v>3051</v>
      </c>
      <c r="X287" s="2954" t="s">
        <v>3046</v>
      </c>
      <c r="Y287" s="2954" t="s">
        <v>3283</v>
      </c>
      <c r="Z287" s="2957">
        <v>43374.417476851901</v>
      </c>
      <c r="AA287" s="2954" t="s">
        <v>3772</v>
      </c>
      <c r="AB287" s="2954" t="s">
        <v>3300</v>
      </c>
      <c r="AC287" s="2954" t="s">
        <v>3544</v>
      </c>
      <c r="AD287" s="2954" t="s">
        <v>3283</v>
      </c>
      <c r="AE287" s="2954" t="s">
        <v>3051</v>
      </c>
      <c r="AF287" s="2954" t="s">
        <v>3283</v>
      </c>
    </row>
    <row r="288" spans="1:32" ht="67.5">
      <c r="A288" s="2954">
        <v>6844</v>
      </c>
      <c r="B288" s="2954" t="s">
        <v>3281</v>
      </c>
      <c r="C288" s="2954" t="s">
        <v>3861</v>
      </c>
      <c r="D288" s="2954" t="s">
        <v>3283</v>
      </c>
      <c r="E288" s="2954" t="s">
        <v>3657</v>
      </c>
      <c r="F288" s="2954" t="s">
        <v>4000</v>
      </c>
      <c r="G288" s="2954" t="s">
        <v>4001</v>
      </c>
      <c r="H288" s="2955">
        <v>1155792</v>
      </c>
      <c r="I288" s="2955">
        <v>10820</v>
      </c>
      <c r="J288" s="2955">
        <v>14006</v>
      </c>
      <c r="K288" s="2959">
        <v>106.82</v>
      </c>
      <c r="L288" s="2955">
        <v>82.52</v>
      </c>
      <c r="M288" s="2954" t="s">
        <v>3233</v>
      </c>
      <c r="N288" s="2954" t="s">
        <v>3686</v>
      </c>
      <c r="O288" s="2954" t="s">
        <v>3441</v>
      </c>
      <c r="P288" s="2954" t="s">
        <v>3289</v>
      </c>
      <c r="Q288" s="2954" t="s">
        <v>3864</v>
      </c>
      <c r="R288" s="2954" t="s">
        <v>3291</v>
      </c>
      <c r="S288" s="2954">
        <v>1155792</v>
      </c>
      <c r="T288" s="2954" t="s">
        <v>3233</v>
      </c>
      <c r="U288" s="2954" t="s">
        <v>3299</v>
      </c>
      <c r="V288" s="2956">
        <v>44499</v>
      </c>
      <c r="W288" s="2954" t="s">
        <v>3051</v>
      </c>
      <c r="X288" s="2954" t="s">
        <v>3046</v>
      </c>
      <c r="Y288" s="2954" t="s">
        <v>3283</v>
      </c>
      <c r="Z288" s="2957">
        <v>43374.417476851901</v>
      </c>
      <c r="AA288" s="2954" t="s">
        <v>3772</v>
      </c>
      <c r="AB288" s="2954" t="s">
        <v>3300</v>
      </c>
      <c r="AC288" s="2954" t="s">
        <v>3544</v>
      </c>
      <c r="AD288" s="2954" t="s">
        <v>3283</v>
      </c>
      <c r="AE288" s="2954" t="s">
        <v>3051</v>
      </c>
      <c r="AF288" s="2954" t="s">
        <v>3283</v>
      </c>
    </row>
    <row r="289" spans="1:32" ht="67.5">
      <c r="A289" s="2954">
        <v>6845</v>
      </c>
      <c r="B289" s="2954" t="s">
        <v>3281</v>
      </c>
      <c r="C289" s="2954" t="s">
        <v>3861</v>
      </c>
      <c r="D289" s="2954" t="s">
        <v>3283</v>
      </c>
      <c r="E289" s="2954" t="s">
        <v>4002</v>
      </c>
      <c r="F289" s="2954" t="s">
        <v>4003</v>
      </c>
      <c r="G289" s="2954" t="s">
        <v>4004</v>
      </c>
      <c r="H289" s="2955">
        <v>1048509</v>
      </c>
      <c r="I289" s="2955">
        <v>11220</v>
      </c>
      <c r="J289" s="2955">
        <v>14524</v>
      </c>
      <c r="K289" s="2959">
        <v>93.45</v>
      </c>
      <c r="L289" s="2955">
        <v>72.19</v>
      </c>
      <c r="M289" s="2954" t="s">
        <v>3233</v>
      </c>
      <c r="N289" s="2954" t="s">
        <v>3779</v>
      </c>
      <c r="O289" s="2954" t="s">
        <v>3770</v>
      </c>
      <c r="P289" s="2954" t="s">
        <v>3289</v>
      </c>
      <c r="Q289" s="2954" t="s">
        <v>3864</v>
      </c>
      <c r="R289" s="2954" t="s">
        <v>3291</v>
      </c>
      <c r="S289" s="2954">
        <v>1048509</v>
      </c>
      <c r="T289" s="2954" t="s">
        <v>3233</v>
      </c>
      <c r="U289" s="2954" t="s">
        <v>3299</v>
      </c>
      <c r="V289" s="2956">
        <v>44499</v>
      </c>
      <c r="W289" s="2954" t="s">
        <v>3051</v>
      </c>
      <c r="X289" s="2954" t="s">
        <v>3046</v>
      </c>
      <c r="Y289" s="2954" t="s">
        <v>3283</v>
      </c>
      <c r="Z289" s="2957">
        <v>43374.417476851901</v>
      </c>
      <c r="AA289" s="2954" t="s">
        <v>3772</v>
      </c>
      <c r="AB289" s="2954" t="s">
        <v>3300</v>
      </c>
      <c r="AC289" s="2954" t="s">
        <v>3544</v>
      </c>
      <c r="AD289" s="2954" t="s">
        <v>3283</v>
      </c>
      <c r="AE289" s="2954" t="s">
        <v>3051</v>
      </c>
      <c r="AF289" s="2954" t="s">
        <v>3283</v>
      </c>
    </row>
    <row r="290" spans="1:32" ht="67.5">
      <c r="A290" s="2954">
        <v>6847</v>
      </c>
      <c r="B290" s="2954" t="s">
        <v>3281</v>
      </c>
      <c r="C290" s="2954" t="s">
        <v>3861</v>
      </c>
      <c r="D290" s="2954" t="s">
        <v>3283</v>
      </c>
      <c r="E290" s="2954" t="s">
        <v>3660</v>
      </c>
      <c r="F290" s="2954" t="s">
        <v>4005</v>
      </c>
      <c r="G290" s="2954" t="s">
        <v>4006</v>
      </c>
      <c r="H290" s="2955">
        <v>1134428</v>
      </c>
      <c r="I290" s="2955">
        <v>10620</v>
      </c>
      <c r="J290" s="2955">
        <v>13747</v>
      </c>
      <c r="K290" s="2959">
        <v>106.82</v>
      </c>
      <c r="L290" s="2955">
        <v>82.52</v>
      </c>
      <c r="M290" s="2954" t="s">
        <v>3233</v>
      </c>
      <c r="N290" s="2954" t="s">
        <v>3681</v>
      </c>
      <c r="O290" s="2954" t="s">
        <v>3441</v>
      </c>
      <c r="P290" s="2954" t="s">
        <v>3289</v>
      </c>
      <c r="Q290" s="2954" t="s">
        <v>3864</v>
      </c>
      <c r="R290" s="2954" t="s">
        <v>3291</v>
      </c>
      <c r="S290" s="2954">
        <v>1134428</v>
      </c>
      <c r="T290" s="2954" t="s">
        <v>3233</v>
      </c>
      <c r="U290" s="2954" t="s">
        <v>3299</v>
      </c>
      <c r="V290" s="2956">
        <v>44499</v>
      </c>
      <c r="W290" s="2954" t="s">
        <v>3051</v>
      </c>
      <c r="X290" s="2954" t="s">
        <v>3046</v>
      </c>
      <c r="Y290" s="2954" t="s">
        <v>3283</v>
      </c>
      <c r="Z290" s="2957">
        <v>43374.417476851901</v>
      </c>
      <c r="AA290" s="2954" t="s">
        <v>3772</v>
      </c>
      <c r="AB290" s="2954" t="s">
        <v>3673</v>
      </c>
      <c r="AC290" s="2954" t="s">
        <v>3544</v>
      </c>
      <c r="AD290" s="2954" t="s">
        <v>3283</v>
      </c>
      <c r="AE290" s="2954" t="s">
        <v>3051</v>
      </c>
      <c r="AF290" s="2954" t="s">
        <v>3283</v>
      </c>
    </row>
    <row r="291" spans="1:32" ht="67.5">
      <c r="A291" s="2954">
        <v>6848</v>
      </c>
      <c r="B291" s="2954" t="s">
        <v>3281</v>
      </c>
      <c r="C291" s="2954" t="s">
        <v>3861</v>
      </c>
      <c r="D291" s="2954" t="s">
        <v>3283</v>
      </c>
      <c r="E291" s="2954" t="s">
        <v>3663</v>
      </c>
      <c r="F291" s="2954" t="s">
        <v>4007</v>
      </c>
      <c r="G291" s="2954" t="s">
        <v>4008</v>
      </c>
      <c r="H291" s="2955">
        <v>1145110</v>
      </c>
      <c r="I291" s="2955">
        <v>10720</v>
      </c>
      <c r="J291" s="2955">
        <v>13877</v>
      </c>
      <c r="K291" s="2959">
        <v>106.82</v>
      </c>
      <c r="L291" s="2955">
        <v>82.52</v>
      </c>
      <c r="M291" s="2954" t="s">
        <v>3233</v>
      </c>
      <c r="N291" s="2954" t="s">
        <v>3686</v>
      </c>
      <c r="O291" s="2954" t="s">
        <v>3441</v>
      </c>
      <c r="P291" s="2954" t="s">
        <v>3289</v>
      </c>
      <c r="Q291" s="2954" t="s">
        <v>3864</v>
      </c>
      <c r="R291" s="2954" t="s">
        <v>3291</v>
      </c>
      <c r="S291" s="2954">
        <v>1145110</v>
      </c>
      <c r="T291" s="2954" t="s">
        <v>3233</v>
      </c>
      <c r="U291" s="2954" t="s">
        <v>3299</v>
      </c>
      <c r="V291" s="2956">
        <v>44499</v>
      </c>
      <c r="W291" s="2954" t="s">
        <v>3051</v>
      </c>
      <c r="X291" s="2954" t="s">
        <v>3046</v>
      </c>
      <c r="Y291" s="2954" t="s">
        <v>3283</v>
      </c>
      <c r="Z291" s="2957">
        <v>43374.417476851901</v>
      </c>
      <c r="AA291" s="2954" t="s">
        <v>3772</v>
      </c>
      <c r="AB291" s="2954" t="s">
        <v>3673</v>
      </c>
      <c r="AC291" s="2954" t="s">
        <v>3544</v>
      </c>
      <c r="AD291" s="2954" t="s">
        <v>3283</v>
      </c>
      <c r="AE291" s="2954" t="s">
        <v>3051</v>
      </c>
      <c r="AF291" s="2954" t="s">
        <v>3283</v>
      </c>
    </row>
    <row r="292" spans="1:32" ht="67.5">
      <c r="A292" s="2954">
        <v>6849</v>
      </c>
      <c r="B292" s="2954" t="s">
        <v>3281</v>
      </c>
      <c r="C292" s="2954" t="s">
        <v>3861</v>
      </c>
      <c r="D292" s="2954" t="s">
        <v>3283</v>
      </c>
      <c r="E292" s="2954" t="s">
        <v>3666</v>
      </c>
      <c r="F292" s="2954" t="s">
        <v>4419</v>
      </c>
      <c r="G292" s="2954" t="s">
        <v>4009</v>
      </c>
      <c r="H292" s="2955">
        <v>1039164</v>
      </c>
      <c r="I292" s="2955">
        <v>11120</v>
      </c>
      <c r="J292" s="2955">
        <v>14395</v>
      </c>
      <c r="K292" s="2959">
        <v>93.45</v>
      </c>
      <c r="L292" s="2955">
        <v>72.19</v>
      </c>
      <c r="M292" s="2954" t="s">
        <v>3233</v>
      </c>
      <c r="N292" s="2954" t="s">
        <v>3779</v>
      </c>
      <c r="O292" s="2954" t="s">
        <v>3770</v>
      </c>
      <c r="P292" s="2954" t="s">
        <v>3289</v>
      </c>
      <c r="Q292" s="2954" t="s">
        <v>3864</v>
      </c>
      <c r="R292" s="2954" t="s">
        <v>3291</v>
      </c>
      <c r="S292" s="2954">
        <v>1039164</v>
      </c>
      <c r="T292" s="2954" t="s">
        <v>3233</v>
      </c>
      <c r="U292" s="2954" t="s">
        <v>3299</v>
      </c>
      <c r="V292" s="2956">
        <v>44499</v>
      </c>
      <c r="W292" s="2954" t="s">
        <v>3051</v>
      </c>
      <c r="X292" s="2954" t="s">
        <v>3046</v>
      </c>
      <c r="Y292" s="2954" t="s">
        <v>3283</v>
      </c>
      <c r="Z292" s="2957">
        <v>43374.417476851901</v>
      </c>
      <c r="AA292" s="2954" t="s">
        <v>3772</v>
      </c>
      <c r="AB292" s="2954" t="s">
        <v>3673</v>
      </c>
      <c r="AC292" s="2954" t="s">
        <v>3544</v>
      </c>
      <c r="AD292" s="2954" t="s">
        <v>3283</v>
      </c>
      <c r="AE292" s="2954" t="s">
        <v>3051</v>
      </c>
      <c r="AF292" s="2954" t="s">
        <v>3283</v>
      </c>
    </row>
    <row r="293" spans="1:32" s="2968" customFormat="1">
      <c r="A293" s="2964"/>
      <c r="B293" s="2964"/>
      <c r="C293" s="2964"/>
      <c r="D293" s="2964"/>
      <c r="E293" s="2964"/>
      <c r="F293" s="2964" t="s">
        <v>4420</v>
      </c>
      <c r="G293" s="2964"/>
      <c r="H293" s="2965"/>
      <c r="I293" s="2965"/>
      <c r="J293" s="2965"/>
      <c r="K293" s="2965">
        <f>SUM(K186:K292)</f>
        <v>10873.409999999998</v>
      </c>
      <c r="L293" s="2965"/>
      <c r="M293" s="2964"/>
      <c r="N293" s="2964"/>
      <c r="O293" s="2964"/>
      <c r="P293" s="2964"/>
      <c r="Q293" s="2964"/>
      <c r="R293" s="2964"/>
      <c r="S293" s="2964"/>
      <c r="T293" s="2964"/>
      <c r="U293" s="2964"/>
      <c r="V293" s="2966"/>
      <c r="W293" s="2964"/>
      <c r="X293" s="2964"/>
      <c r="Y293" s="2964"/>
      <c r="Z293" s="2967"/>
      <c r="AA293" s="2964"/>
      <c r="AB293" s="2964"/>
      <c r="AC293" s="2964"/>
      <c r="AD293" s="2964"/>
      <c r="AE293" s="2964"/>
      <c r="AF293" s="2964"/>
    </row>
    <row r="294" spans="1:32" ht="67.5">
      <c r="A294" s="2954">
        <v>6854</v>
      </c>
      <c r="B294" s="2954" t="s">
        <v>3281</v>
      </c>
      <c r="C294" s="2954" t="s">
        <v>4010</v>
      </c>
      <c r="D294" s="2954" t="s">
        <v>3283</v>
      </c>
      <c r="E294" s="2954" t="s">
        <v>3305</v>
      </c>
      <c r="F294" s="2954" t="s">
        <v>4011</v>
      </c>
      <c r="G294" s="2954" t="s">
        <v>4012</v>
      </c>
      <c r="H294" s="2955">
        <v>1277208</v>
      </c>
      <c r="I294" s="2955">
        <v>10950</v>
      </c>
      <c r="J294" s="2955">
        <v>14317</v>
      </c>
      <c r="K294" s="2959">
        <v>116.64</v>
      </c>
      <c r="L294" s="2955">
        <v>89.21</v>
      </c>
      <c r="M294" s="2954" t="s">
        <v>3233</v>
      </c>
      <c r="N294" s="2954" t="s">
        <v>4013</v>
      </c>
      <c r="O294" s="2954" t="s">
        <v>3441</v>
      </c>
      <c r="P294" s="2954" t="s">
        <v>3289</v>
      </c>
      <c r="Q294" s="2954" t="s">
        <v>4014</v>
      </c>
      <c r="R294" s="2954" t="s">
        <v>3291</v>
      </c>
      <c r="S294" s="2954">
        <v>1277208</v>
      </c>
      <c r="T294" s="2954" t="s">
        <v>3233</v>
      </c>
      <c r="U294" s="2954" t="s">
        <v>3299</v>
      </c>
      <c r="V294" s="2956">
        <v>44499</v>
      </c>
      <c r="W294" s="2954" t="s">
        <v>3051</v>
      </c>
      <c r="X294" s="2954" t="s">
        <v>3046</v>
      </c>
      <c r="Y294" s="2954" t="s">
        <v>3283</v>
      </c>
      <c r="Z294" s="2957">
        <v>43362.415937500002</v>
      </c>
      <c r="AA294" s="2954" t="s">
        <v>3543</v>
      </c>
      <c r="AB294" s="2954" t="s">
        <v>3300</v>
      </c>
      <c r="AC294" s="2954" t="s">
        <v>3544</v>
      </c>
      <c r="AD294" s="2954" t="s">
        <v>3283</v>
      </c>
      <c r="AE294" s="2954" t="s">
        <v>3051</v>
      </c>
      <c r="AF294" s="2954" t="s">
        <v>3283</v>
      </c>
    </row>
    <row r="295" spans="1:32" ht="67.5">
      <c r="A295" s="2954">
        <v>6857</v>
      </c>
      <c r="B295" s="2954" t="s">
        <v>3281</v>
      </c>
      <c r="C295" s="2954" t="s">
        <v>4010</v>
      </c>
      <c r="D295" s="2954" t="s">
        <v>3283</v>
      </c>
      <c r="E295" s="2954" t="s">
        <v>3784</v>
      </c>
      <c r="F295" s="2954" t="s">
        <v>4015</v>
      </c>
      <c r="G295" s="2954" t="s">
        <v>4016</v>
      </c>
      <c r="H295" s="2955">
        <v>1255199</v>
      </c>
      <c r="I295" s="2955">
        <v>10950</v>
      </c>
      <c r="J295" s="2955">
        <v>14317</v>
      </c>
      <c r="K295" s="2959">
        <v>114.63</v>
      </c>
      <c r="L295" s="2955">
        <v>87.67</v>
      </c>
      <c r="M295" s="2954" t="s">
        <v>3233</v>
      </c>
      <c r="N295" s="2954" t="s">
        <v>4017</v>
      </c>
      <c r="O295" s="2954" t="s">
        <v>3441</v>
      </c>
      <c r="P295" s="2954" t="s">
        <v>3289</v>
      </c>
      <c r="Q295" s="2954" t="s">
        <v>4014</v>
      </c>
      <c r="R295" s="2954" t="s">
        <v>3291</v>
      </c>
      <c r="S295" s="2954">
        <v>1255199</v>
      </c>
      <c r="T295" s="2954" t="s">
        <v>3233</v>
      </c>
      <c r="U295" s="2954" t="s">
        <v>3299</v>
      </c>
      <c r="V295" s="2956">
        <v>44499</v>
      </c>
      <c r="W295" s="2954" t="s">
        <v>3051</v>
      </c>
      <c r="X295" s="2954" t="s">
        <v>3046</v>
      </c>
      <c r="Y295" s="2954" t="s">
        <v>3283</v>
      </c>
      <c r="Z295" s="2957">
        <v>43362.415937500002</v>
      </c>
      <c r="AA295" s="2954" t="s">
        <v>3543</v>
      </c>
      <c r="AB295" s="2954" t="s">
        <v>3300</v>
      </c>
      <c r="AC295" s="2954" t="s">
        <v>3544</v>
      </c>
      <c r="AD295" s="2954" t="s">
        <v>3283</v>
      </c>
      <c r="AE295" s="2954" t="s">
        <v>3051</v>
      </c>
      <c r="AF295" s="2954" t="s">
        <v>3283</v>
      </c>
    </row>
    <row r="296" spans="1:32" ht="67.5">
      <c r="A296" s="2954">
        <v>6858</v>
      </c>
      <c r="B296" s="2954" t="s">
        <v>3281</v>
      </c>
      <c r="C296" s="2954" t="s">
        <v>4010</v>
      </c>
      <c r="D296" s="2954" t="s">
        <v>3283</v>
      </c>
      <c r="E296" s="2954" t="s">
        <v>3311</v>
      </c>
      <c r="F296" s="2954" t="s">
        <v>4018</v>
      </c>
      <c r="G296" s="2954" t="s">
        <v>4019</v>
      </c>
      <c r="H296" s="2955">
        <v>1279541</v>
      </c>
      <c r="I296" s="2955">
        <v>10970</v>
      </c>
      <c r="J296" s="2955">
        <v>14343</v>
      </c>
      <c r="K296" s="2959">
        <v>116.64</v>
      </c>
      <c r="L296" s="2955">
        <v>89.21</v>
      </c>
      <c r="M296" s="2954" t="s">
        <v>3233</v>
      </c>
      <c r="N296" s="2954" t="s">
        <v>4013</v>
      </c>
      <c r="O296" s="2954" t="s">
        <v>3441</v>
      </c>
      <c r="P296" s="2954" t="s">
        <v>3289</v>
      </c>
      <c r="Q296" s="2954" t="s">
        <v>4014</v>
      </c>
      <c r="R296" s="2954" t="s">
        <v>3291</v>
      </c>
      <c r="S296" s="2954">
        <v>1279541</v>
      </c>
      <c r="T296" s="2954" t="s">
        <v>3233</v>
      </c>
      <c r="U296" s="2954" t="s">
        <v>3299</v>
      </c>
      <c r="V296" s="2956">
        <v>44499</v>
      </c>
      <c r="W296" s="2954" t="s">
        <v>3051</v>
      </c>
      <c r="X296" s="2954" t="s">
        <v>3046</v>
      </c>
      <c r="Y296" s="2954" t="s">
        <v>3283</v>
      </c>
      <c r="Z296" s="2957">
        <v>43362.415937500002</v>
      </c>
      <c r="AA296" s="2954" t="s">
        <v>3543</v>
      </c>
      <c r="AB296" s="2954" t="s">
        <v>3300</v>
      </c>
      <c r="AC296" s="2954" t="s">
        <v>3544</v>
      </c>
      <c r="AD296" s="2954" t="s">
        <v>3283</v>
      </c>
      <c r="AE296" s="2954" t="s">
        <v>3051</v>
      </c>
      <c r="AF296" s="2954" t="s">
        <v>3283</v>
      </c>
    </row>
    <row r="297" spans="1:32" ht="67.5">
      <c r="A297" s="2954">
        <v>6861</v>
      </c>
      <c r="B297" s="2954" t="s">
        <v>3281</v>
      </c>
      <c r="C297" s="2954" t="s">
        <v>4010</v>
      </c>
      <c r="D297" s="2954" t="s">
        <v>3283</v>
      </c>
      <c r="E297" s="2954" t="s">
        <v>3557</v>
      </c>
      <c r="F297" s="2954" t="s">
        <v>4020</v>
      </c>
      <c r="G297" s="2954" t="s">
        <v>4021</v>
      </c>
      <c r="H297" s="2955">
        <v>1257491</v>
      </c>
      <c r="I297" s="2955">
        <v>10970</v>
      </c>
      <c r="J297" s="2955">
        <v>14343</v>
      </c>
      <c r="K297" s="2959">
        <v>114.63</v>
      </c>
      <c r="L297" s="2955">
        <v>87.67</v>
      </c>
      <c r="M297" s="2954" t="s">
        <v>3233</v>
      </c>
      <c r="N297" s="2954" t="s">
        <v>4017</v>
      </c>
      <c r="O297" s="2954" t="s">
        <v>3441</v>
      </c>
      <c r="P297" s="2954" t="s">
        <v>3289</v>
      </c>
      <c r="Q297" s="2954" t="s">
        <v>4014</v>
      </c>
      <c r="R297" s="2954" t="s">
        <v>3291</v>
      </c>
      <c r="S297" s="2954">
        <v>1257491</v>
      </c>
      <c r="T297" s="2954" t="s">
        <v>3233</v>
      </c>
      <c r="U297" s="2954" t="s">
        <v>3299</v>
      </c>
      <c r="V297" s="2956">
        <v>44499</v>
      </c>
      <c r="W297" s="2954" t="s">
        <v>3051</v>
      </c>
      <c r="X297" s="2954" t="s">
        <v>3046</v>
      </c>
      <c r="Y297" s="2954" t="s">
        <v>3283</v>
      </c>
      <c r="Z297" s="2957">
        <v>43362.415937500002</v>
      </c>
      <c r="AA297" s="2954" t="s">
        <v>3543</v>
      </c>
      <c r="AB297" s="2954" t="s">
        <v>3300</v>
      </c>
      <c r="AC297" s="2954" t="s">
        <v>3544</v>
      </c>
      <c r="AD297" s="2954" t="s">
        <v>3283</v>
      </c>
      <c r="AE297" s="2954" t="s">
        <v>3051</v>
      </c>
      <c r="AF297" s="2954" t="s">
        <v>3283</v>
      </c>
    </row>
    <row r="298" spans="1:32" ht="67.5">
      <c r="A298" s="2954">
        <v>6862</v>
      </c>
      <c r="B298" s="2954" t="s">
        <v>3281</v>
      </c>
      <c r="C298" s="2954" t="s">
        <v>4010</v>
      </c>
      <c r="D298" s="2954" t="s">
        <v>3283</v>
      </c>
      <c r="E298" s="2954" t="s">
        <v>3317</v>
      </c>
      <c r="F298" s="2954" t="s">
        <v>4022</v>
      </c>
      <c r="G298" s="2954" t="s">
        <v>4023</v>
      </c>
      <c r="H298" s="2955">
        <v>1281874</v>
      </c>
      <c r="I298" s="2955">
        <v>10990</v>
      </c>
      <c r="J298" s="2955">
        <v>14369</v>
      </c>
      <c r="K298" s="2959">
        <v>116.64</v>
      </c>
      <c r="L298" s="2955">
        <v>89.21</v>
      </c>
      <c r="M298" s="2954" t="s">
        <v>3233</v>
      </c>
      <c r="N298" s="2954" t="s">
        <v>4013</v>
      </c>
      <c r="O298" s="2954" t="s">
        <v>3441</v>
      </c>
      <c r="P298" s="2954" t="s">
        <v>3289</v>
      </c>
      <c r="Q298" s="2954" t="s">
        <v>4014</v>
      </c>
      <c r="R298" s="2954" t="s">
        <v>3291</v>
      </c>
      <c r="S298" s="2954">
        <v>1281874</v>
      </c>
      <c r="T298" s="2954" t="s">
        <v>3233</v>
      </c>
      <c r="U298" s="2954" t="s">
        <v>3299</v>
      </c>
      <c r="V298" s="2956">
        <v>44499</v>
      </c>
      <c r="W298" s="2954" t="s">
        <v>3051</v>
      </c>
      <c r="X298" s="2954" t="s">
        <v>3046</v>
      </c>
      <c r="Y298" s="2954" t="s">
        <v>3283</v>
      </c>
      <c r="Z298" s="2957">
        <v>43362.415937500002</v>
      </c>
      <c r="AA298" s="2954" t="s">
        <v>3543</v>
      </c>
      <c r="AB298" s="2954" t="s">
        <v>3300</v>
      </c>
      <c r="AC298" s="2954" t="s">
        <v>3544</v>
      </c>
      <c r="AD298" s="2954" t="s">
        <v>3283</v>
      </c>
      <c r="AE298" s="2954" t="s">
        <v>3051</v>
      </c>
      <c r="AF298" s="2954" t="s">
        <v>3283</v>
      </c>
    </row>
    <row r="299" spans="1:32" ht="67.5">
      <c r="A299" s="2954">
        <v>6865</v>
      </c>
      <c r="B299" s="2954" t="s">
        <v>3281</v>
      </c>
      <c r="C299" s="2954" t="s">
        <v>4010</v>
      </c>
      <c r="D299" s="2954" t="s">
        <v>3283</v>
      </c>
      <c r="E299" s="2954" t="s">
        <v>3797</v>
      </c>
      <c r="F299" s="2954" t="s">
        <v>4024</v>
      </c>
      <c r="G299" s="2954" t="s">
        <v>4025</v>
      </c>
      <c r="H299" s="2955">
        <v>1259784</v>
      </c>
      <c r="I299" s="2955">
        <v>10990</v>
      </c>
      <c r="J299" s="2955">
        <v>14370</v>
      </c>
      <c r="K299" s="2959">
        <v>114.63</v>
      </c>
      <c r="L299" s="2955">
        <v>87.67</v>
      </c>
      <c r="M299" s="2954" t="s">
        <v>3233</v>
      </c>
      <c r="N299" s="2954" t="s">
        <v>4017</v>
      </c>
      <c r="O299" s="2954" t="s">
        <v>3441</v>
      </c>
      <c r="P299" s="2954" t="s">
        <v>3289</v>
      </c>
      <c r="Q299" s="2954" t="s">
        <v>4014</v>
      </c>
      <c r="R299" s="2954" t="s">
        <v>3291</v>
      </c>
      <c r="S299" s="2954">
        <v>1259784</v>
      </c>
      <c r="T299" s="2954" t="s">
        <v>3233</v>
      </c>
      <c r="U299" s="2954" t="s">
        <v>3299</v>
      </c>
      <c r="V299" s="2956">
        <v>44499</v>
      </c>
      <c r="W299" s="2954" t="s">
        <v>3051</v>
      </c>
      <c r="X299" s="2954" t="s">
        <v>3046</v>
      </c>
      <c r="Y299" s="2954" t="s">
        <v>3283</v>
      </c>
      <c r="Z299" s="2957">
        <v>43362.415937500002</v>
      </c>
      <c r="AA299" s="2954" t="s">
        <v>3543</v>
      </c>
      <c r="AB299" s="2954" t="s">
        <v>3300</v>
      </c>
      <c r="AC299" s="2954" t="s">
        <v>3544</v>
      </c>
      <c r="AD299" s="2954" t="s">
        <v>3283</v>
      </c>
      <c r="AE299" s="2954" t="s">
        <v>3051</v>
      </c>
      <c r="AF299" s="2954" t="s">
        <v>3283</v>
      </c>
    </row>
    <row r="300" spans="1:32" ht="67.5">
      <c r="A300" s="2954">
        <v>6866</v>
      </c>
      <c r="B300" s="2954" t="s">
        <v>3281</v>
      </c>
      <c r="C300" s="2954" t="s">
        <v>4010</v>
      </c>
      <c r="D300" s="2954" t="s">
        <v>3283</v>
      </c>
      <c r="E300" s="2954" t="s">
        <v>3320</v>
      </c>
      <c r="F300" s="2954" t="s">
        <v>4026</v>
      </c>
      <c r="G300" s="2954" t="s">
        <v>4027</v>
      </c>
      <c r="H300" s="2955">
        <v>1284206</v>
      </c>
      <c r="I300" s="2955">
        <v>11010</v>
      </c>
      <c r="J300" s="2955">
        <v>14395</v>
      </c>
      <c r="K300" s="2959">
        <v>116.64</v>
      </c>
      <c r="L300" s="2955">
        <v>89.21</v>
      </c>
      <c r="M300" s="2954" t="s">
        <v>3233</v>
      </c>
      <c r="N300" s="2954" t="s">
        <v>4013</v>
      </c>
      <c r="O300" s="2954" t="s">
        <v>3441</v>
      </c>
      <c r="P300" s="2954" t="s">
        <v>3289</v>
      </c>
      <c r="Q300" s="2954" t="s">
        <v>4014</v>
      </c>
      <c r="R300" s="2954" t="s">
        <v>3291</v>
      </c>
      <c r="S300" s="2954">
        <v>1284206</v>
      </c>
      <c r="T300" s="2954" t="s">
        <v>3233</v>
      </c>
      <c r="U300" s="2954" t="s">
        <v>3299</v>
      </c>
      <c r="V300" s="2956">
        <v>44499</v>
      </c>
      <c r="W300" s="2954" t="s">
        <v>3051</v>
      </c>
      <c r="X300" s="2954" t="s">
        <v>3046</v>
      </c>
      <c r="Y300" s="2954" t="s">
        <v>3283</v>
      </c>
      <c r="Z300" s="2957">
        <v>43362.415937500002</v>
      </c>
      <c r="AA300" s="2954" t="s">
        <v>3543</v>
      </c>
      <c r="AB300" s="2954" t="s">
        <v>3300</v>
      </c>
      <c r="AC300" s="2954" t="s">
        <v>3544</v>
      </c>
      <c r="AD300" s="2954" t="s">
        <v>3283</v>
      </c>
      <c r="AE300" s="2954" t="s">
        <v>3051</v>
      </c>
      <c r="AF300" s="2954" t="s">
        <v>3283</v>
      </c>
    </row>
    <row r="301" spans="1:32" ht="67.5">
      <c r="A301" s="2954">
        <v>6869</v>
      </c>
      <c r="B301" s="2954" t="s">
        <v>3281</v>
      </c>
      <c r="C301" s="2954" t="s">
        <v>4010</v>
      </c>
      <c r="D301" s="2954" t="s">
        <v>3283</v>
      </c>
      <c r="E301" s="2954" t="s">
        <v>3893</v>
      </c>
      <c r="F301" s="2954" t="s">
        <v>4028</v>
      </c>
      <c r="G301" s="2954" t="s">
        <v>4029</v>
      </c>
      <c r="H301" s="2955">
        <v>1262076</v>
      </c>
      <c r="I301" s="2955">
        <v>11010</v>
      </c>
      <c r="J301" s="2955">
        <v>14396</v>
      </c>
      <c r="K301" s="2959">
        <v>114.63</v>
      </c>
      <c r="L301" s="2955">
        <v>87.67</v>
      </c>
      <c r="M301" s="2954" t="s">
        <v>3233</v>
      </c>
      <c r="N301" s="2954" t="s">
        <v>4017</v>
      </c>
      <c r="O301" s="2954" t="s">
        <v>3441</v>
      </c>
      <c r="P301" s="2954" t="s">
        <v>3289</v>
      </c>
      <c r="Q301" s="2954" t="s">
        <v>4014</v>
      </c>
      <c r="R301" s="2954" t="s">
        <v>3291</v>
      </c>
      <c r="S301" s="2954">
        <v>1262076</v>
      </c>
      <c r="T301" s="2954" t="s">
        <v>3233</v>
      </c>
      <c r="U301" s="2954" t="s">
        <v>3299</v>
      </c>
      <c r="V301" s="2956">
        <v>44499</v>
      </c>
      <c r="W301" s="2954" t="s">
        <v>3051</v>
      </c>
      <c r="X301" s="2954" t="s">
        <v>3046</v>
      </c>
      <c r="Y301" s="2954" t="s">
        <v>3283</v>
      </c>
      <c r="Z301" s="2957">
        <v>43362.415937500002</v>
      </c>
      <c r="AA301" s="2954" t="s">
        <v>3543</v>
      </c>
      <c r="AB301" s="2954" t="s">
        <v>3300</v>
      </c>
      <c r="AC301" s="2954" t="s">
        <v>3544</v>
      </c>
      <c r="AD301" s="2954" t="s">
        <v>3283</v>
      </c>
      <c r="AE301" s="2954" t="s">
        <v>3051</v>
      </c>
      <c r="AF301" s="2954" t="s">
        <v>3283</v>
      </c>
    </row>
    <row r="302" spans="1:32" ht="67.5">
      <c r="A302" s="2954">
        <v>6870</v>
      </c>
      <c r="B302" s="2954" t="s">
        <v>3281</v>
      </c>
      <c r="C302" s="2954" t="s">
        <v>4010</v>
      </c>
      <c r="D302" s="2954" t="s">
        <v>3283</v>
      </c>
      <c r="E302" s="2954" t="s">
        <v>3326</v>
      </c>
      <c r="F302" s="2954" t="s">
        <v>4030</v>
      </c>
      <c r="G302" s="2954" t="s">
        <v>4031</v>
      </c>
      <c r="H302" s="2955">
        <v>1286539</v>
      </c>
      <c r="I302" s="2955">
        <v>11030</v>
      </c>
      <c r="J302" s="2955">
        <v>14421</v>
      </c>
      <c r="K302" s="2959">
        <v>116.64</v>
      </c>
      <c r="L302" s="2955">
        <v>89.21</v>
      </c>
      <c r="M302" s="2954" t="s">
        <v>3233</v>
      </c>
      <c r="N302" s="2954" t="s">
        <v>4013</v>
      </c>
      <c r="O302" s="2954" t="s">
        <v>3441</v>
      </c>
      <c r="P302" s="2954" t="s">
        <v>3289</v>
      </c>
      <c r="Q302" s="2954" t="s">
        <v>4014</v>
      </c>
      <c r="R302" s="2954" t="s">
        <v>3291</v>
      </c>
      <c r="S302" s="2954">
        <v>1286539</v>
      </c>
      <c r="T302" s="2954" t="s">
        <v>3233</v>
      </c>
      <c r="U302" s="2954" t="s">
        <v>3299</v>
      </c>
      <c r="V302" s="2956">
        <v>44499</v>
      </c>
      <c r="W302" s="2954" t="s">
        <v>3051</v>
      </c>
      <c r="X302" s="2954" t="s">
        <v>3046</v>
      </c>
      <c r="Y302" s="2954" t="s">
        <v>3283</v>
      </c>
      <c r="Z302" s="2957">
        <v>43362.415937500002</v>
      </c>
      <c r="AA302" s="2954" t="s">
        <v>3543</v>
      </c>
      <c r="AB302" s="2954" t="s">
        <v>3300</v>
      </c>
      <c r="AC302" s="2954" t="s">
        <v>3544</v>
      </c>
      <c r="AD302" s="2954" t="s">
        <v>3283</v>
      </c>
      <c r="AE302" s="2954" t="s">
        <v>3051</v>
      </c>
      <c r="AF302" s="2954" t="s">
        <v>3283</v>
      </c>
    </row>
    <row r="303" spans="1:32" ht="67.5">
      <c r="A303" s="2954">
        <v>6873</v>
      </c>
      <c r="B303" s="2954" t="s">
        <v>3281</v>
      </c>
      <c r="C303" s="2954" t="s">
        <v>4010</v>
      </c>
      <c r="D303" s="2954" t="s">
        <v>3283</v>
      </c>
      <c r="E303" s="2954" t="s">
        <v>4032</v>
      </c>
      <c r="F303" s="2954" t="s">
        <v>4033</v>
      </c>
      <c r="G303" s="2954" t="s">
        <v>4034</v>
      </c>
      <c r="H303" s="2955">
        <v>1264369</v>
      </c>
      <c r="I303" s="2955">
        <v>11030</v>
      </c>
      <c r="J303" s="2955">
        <v>14422</v>
      </c>
      <c r="K303" s="2959">
        <v>114.63</v>
      </c>
      <c r="L303" s="2955">
        <v>87.67</v>
      </c>
      <c r="M303" s="2954" t="s">
        <v>3233</v>
      </c>
      <c r="N303" s="2954" t="s">
        <v>4017</v>
      </c>
      <c r="O303" s="2954" t="s">
        <v>3441</v>
      </c>
      <c r="P303" s="2954" t="s">
        <v>3289</v>
      </c>
      <c r="Q303" s="2954" t="s">
        <v>4014</v>
      </c>
      <c r="R303" s="2954" t="s">
        <v>3291</v>
      </c>
      <c r="S303" s="2954">
        <v>1264369</v>
      </c>
      <c r="T303" s="2954" t="s">
        <v>3233</v>
      </c>
      <c r="U303" s="2954" t="s">
        <v>3299</v>
      </c>
      <c r="V303" s="2956">
        <v>44499</v>
      </c>
      <c r="W303" s="2954" t="s">
        <v>3051</v>
      </c>
      <c r="X303" s="2954" t="s">
        <v>3046</v>
      </c>
      <c r="Y303" s="2954" t="s">
        <v>3283</v>
      </c>
      <c r="Z303" s="2957">
        <v>43362.415937500002</v>
      </c>
      <c r="AA303" s="2954" t="s">
        <v>3543</v>
      </c>
      <c r="AB303" s="2954" t="s">
        <v>3300</v>
      </c>
      <c r="AC303" s="2954" t="s">
        <v>3544</v>
      </c>
      <c r="AD303" s="2954" t="s">
        <v>3283</v>
      </c>
      <c r="AE303" s="2954" t="s">
        <v>3051</v>
      </c>
      <c r="AF303" s="2954" t="s">
        <v>3283</v>
      </c>
    </row>
    <row r="304" spans="1:32" ht="67.5">
      <c r="A304" s="2954">
        <v>6874</v>
      </c>
      <c r="B304" s="2954" t="s">
        <v>3281</v>
      </c>
      <c r="C304" s="2954" t="s">
        <v>4010</v>
      </c>
      <c r="D304" s="2954" t="s">
        <v>3283</v>
      </c>
      <c r="E304" s="2954" t="s">
        <v>3329</v>
      </c>
      <c r="F304" s="2954" t="s">
        <v>4035</v>
      </c>
      <c r="G304" s="2954" t="s">
        <v>4036</v>
      </c>
      <c r="H304" s="2955">
        <v>1288872</v>
      </c>
      <c r="I304" s="2955">
        <v>11050</v>
      </c>
      <c r="J304" s="2955">
        <v>14448</v>
      </c>
      <c r="K304" s="2959">
        <v>116.64</v>
      </c>
      <c r="L304" s="2955">
        <v>89.21</v>
      </c>
      <c r="M304" s="2954" t="s">
        <v>3233</v>
      </c>
      <c r="N304" s="2954" t="s">
        <v>4013</v>
      </c>
      <c r="O304" s="2954" t="s">
        <v>3441</v>
      </c>
      <c r="P304" s="2954" t="s">
        <v>3289</v>
      </c>
      <c r="Q304" s="2954" t="s">
        <v>4014</v>
      </c>
      <c r="R304" s="2954" t="s">
        <v>3291</v>
      </c>
      <c r="S304" s="2954">
        <v>1288872</v>
      </c>
      <c r="T304" s="2954" t="s">
        <v>3233</v>
      </c>
      <c r="U304" s="2954" t="s">
        <v>3299</v>
      </c>
      <c r="V304" s="2956">
        <v>44499</v>
      </c>
      <c r="W304" s="2954" t="s">
        <v>3051</v>
      </c>
      <c r="X304" s="2954" t="s">
        <v>3046</v>
      </c>
      <c r="Y304" s="2954" t="s">
        <v>3283</v>
      </c>
      <c r="Z304" s="2957">
        <v>43362.415937500002</v>
      </c>
      <c r="AA304" s="2954" t="s">
        <v>3543</v>
      </c>
      <c r="AB304" s="2954" t="s">
        <v>3300</v>
      </c>
      <c r="AC304" s="2954" t="s">
        <v>3544</v>
      </c>
      <c r="AD304" s="2954" t="s">
        <v>3283</v>
      </c>
      <c r="AE304" s="2954" t="s">
        <v>3051</v>
      </c>
      <c r="AF304" s="2954" t="s">
        <v>3283</v>
      </c>
    </row>
    <row r="305" spans="1:32" ht="67.5">
      <c r="A305" s="2954">
        <v>6877</v>
      </c>
      <c r="B305" s="2954" t="s">
        <v>3281</v>
      </c>
      <c r="C305" s="2954" t="s">
        <v>4010</v>
      </c>
      <c r="D305" s="2954" t="s">
        <v>3283</v>
      </c>
      <c r="E305" s="2954" t="s">
        <v>4037</v>
      </c>
      <c r="F305" s="2954" t="s">
        <v>4038</v>
      </c>
      <c r="G305" s="2954" t="s">
        <v>4039</v>
      </c>
      <c r="H305" s="2955">
        <v>1266662</v>
      </c>
      <c r="I305" s="2955">
        <v>11050</v>
      </c>
      <c r="J305" s="2955">
        <v>14448</v>
      </c>
      <c r="K305" s="2959">
        <v>114.63</v>
      </c>
      <c r="L305" s="2955">
        <v>87.67</v>
      </c>
      <c r="M305" s="2954" t="s">
        <v>3233</v>
      </c>
      <c r="N305" s="2954" t="s">
        <v>4017</v>
      </c>
      <c r="O305" s="2954" t="s">
        <v>3441</v>
      </c>
      <c r="P305" s="2954" t="s">
        <v>3289</v>
      </c>
      <c r="Q305" s="2954" t="s">
        <v>4014</v>
      </c>
      <c r="R305" s="2954" t="s">
        <v>3291</v>
      </c>
      <c r="S305" s="2954">
        <v>1266662</v>
      </c>
      <c r="T305" s="2954" t="s">
        <v>3233</v>
      </c>
      <c r="U305" s="2954" t="s">
        <v>3299</v>
      </c>
      <c r="V305" s="2956">
        <v>44499</v>
      </c>
      <c r="W305" s="2954" t="s">
        <v>3051</v>
      </c>
      <c r="X305" s="2954" t="s">
        <v>3046</v>
      </c>
      <c r="Y305" s="2954" t="s">
        <v>3283</v>
      </c>
      <c r="Z305" s="2957">
        <v>43362.415937500002</v>
      </c>
      <c r="AA305" s="2954" t="s">
        <v>3543</v>
      </c>
      <c r="AB305" s="2954" t="s">
        <v>3300</v>
      </c>
      <c r="AC305" s="2954" t="s">
        <v>3544</v>
      </c>
      <c r="AD305" s="2954" t="s">
        <v>3283</v>
      </c>
      <c r="AE305" s="2954" t="s">
        <v>3051</v>
      </c>
      <c r="AF305" s="2954" t="s">
        <v>3283</v>
      </c>
    </row>
    <row r="306" spans="1:32" ht="67.5">
      <c r="A306" s="2954">
        <v>6878</v>
      </c>
      <c r="B306" s="2954" t="s">
        <v>3281</v>
      </c>
      <c r="C306" s="2954" t="s">
        <v>4010</v>
      </c>
      <c r="D306" s="2954" t="s">
        <v>3283</v>
      </c>
      <c r="E306" s="2954" t="s">
        <v>3406</v>
      </c>
      <c r="F306" s="2954" t="s">
        <v>4040</v>
      </c>
      <c r="G306" s="2954" t="s">
        <v>4041</v>
      </c>
      <c r="H306" s="2955">
        <v>1291205</v>
      </c>
      <c r="I306" s="2955">
        <v>11070</v>
      </c>
      <c r="J306" s="2955">
        <v>14474</v>
      </c>
      <c r="K306" s="2959">
        <v>116.64</v>
      </c>
      <c r="L306" s="2955">
        <v>89.21</v>
      </c>
      <c r="M306" s="2954" t="s">
        <v>3233</v>
      </c>
      <c r="N306" s="2954" t="s">
        <v>4013</v>
      </c>
      <c r="O306" s="2954" t="s">
        <v>3441</v>
      </c>
      <c r="P306" s="2954" t="s">
        <v>3289</v>
      </c>
      <c r="Q306" s="2954" t="s">
        <v>4014</v>
      </c>
      <c r="R306" s="2954" t="s">
        <v>3291</v>
      </c>
      <c r="S306" s="2954">
        <v>1291205</v>
      </c>
      <c r="T306" s="2954" t="s">
        <v>3233</v>
      </c>
      <c r="U306" s="2954" t="s">
        <v>3299</v>
      </c>
      <c r="V306" s="2956">
        <v>44499</v>
      </c>
      <c r="W306" s="2954" t="s">
        <v>3051</v>
      </c>
      <c r="X306" s="2954" t="s">
        <v>3046</v>
      </c>
      <c r="Y306" s="2954" t="s">
        <v>3283</v>
      </c>
      <c r="Z306" s="2957">
        <v>43362.415937500002</v>
      </c>
      <c r="AA306" s="2954" t="s">
        <v>3543</v>
      </c>
      <c r="AB306" s="2954" t="s">
        <v>3300</v>
      </c>
      <c r="AC306" s="2954" t="s">
        <v>3544</v>
      </c>
      <c r="AD306" s="2954" t="s">
        <v>3283</v>
      </c>
      <c r="AE306" s="2954" t="s">
        <v>3051</v>
      </c>
      <c r="AF306" s="2954" t="s">
        <v>3283</v>
      </c>
    </row>
    <row r="307" spans="1:32" ht="67.5">
      <c r="A307" s="2954">
        <v>6882</v>
      </c>
      <c r="B307" s="2954" t="s">
        <v>3281</v>
      </c>
      <c r="C307" s="2954" t="s">
        <v>4010</v>
      </c>
      <c r="D307" s="2954" t="s">
        <v>3283</v>
      </c>
      <c r="E307" s="2954" t="s">
        <v>3338</v>
      </c>
      <c r="F307" s="2954" t="s">
        <v>4042</v>
      </c>
      <c r="G307" s="2954" t="s">
        <v>4043</v>
      </c>
      <c r="H307" s="2955">
        <v>1293538</v>
      </c>
      <c r="I307" s="2955">
        <v>11090</v>
      </c>
      <c r="J307" s="2955">
        <v>14500</v>
      </c>
      <c r="K307" s="2959">
        <v>116.64</v>
      </c>
      <c r="L307" s="2955">
        <v>89.21</v>
      </c>
      <c r="M307" s="2954" t="s">
        <v>3233</v>
      </c>
      <c r="N307" s="2954" t="s">
        <v>4013</v>
      </c>
      <c r="O307" s="2954" t="s">
        <v>3441</v>
      </c>
      <c r="P307" s="2954" t="s">
        <v>3289</v>
      </c>
      <c r="Q307" s="2954" t="s">
        <v>4014</v>
      </c>
      <c r="R307" s="2954" t="s">
        <v>3291</v>
      </c>
      <c r="S307" s="2954">
        <v>1293538</v>
      </c>
      <c r="T307" s="2954" t="s">
        <v>3233</v>
      </c>
      <c r="U307" s="2954" t="s">
        <v>3299</v>
      </c>
      <c r="V307" s="2956">
        <v>44499</v>
      </c>
      <c r="W307" s="2954" t="s">
        <v>3051</v>
      </c>
      <c r="X307" s="2954" t="s">
        <v>3046</v>
      </c>
      <c r="Y307" s="2954" t="s">
        <v>3283</v>
      </c>
      <c r="Z307" s="2957">
        <v>43362.415937500002</v>
      </c>
      <c r="AA307" s="2954" t="s">
        <v>3543</v>
      </c>
      <c r="AB307" s="2954" t="s">
        <v>3300</v>
      </c>
      <c r="AC307" s="2954" t="s">
        <v>3544</v>
      </c>
      <c r="AD307" s="2954" t="s">
        <v>3283</v>
      </c>
      <c r="AE307" s="2954" t="s">
        <v>3051</v>
      </c>
      <c r="AF307" s="2954" t="s">
        <v>3283</v>
      </c>
    </row>
    <row r="308" spans="1:32" ht="67.5">
      <c r="A308" s="2954">
        <v>6885</v>
      </c>
      <c r="B308" s="2954" t="s">
        <v>3281</v>
      </c>
      <c r="C308" s="2954" t="s">
        <v>4010</v>
      </c>
      <c r="D308" s="2954" t="s">
        <v>3283</v>
      </c>
      <c r="E308" s="2954" t="s">
        <v>3912</v>
      </c>
      <c r="F308" s="2954" t="s">
        <v>4044</v>
      </c>
      <c r="G308" s="2954" t="s">
        <v>4045</v>
      </c>
      <c r="H308" s="2955">
        <v>1271247</v>
      </c>
      <c r="I308" s="2955">
        <v>11090</v>
      </c>
      <c r="J308" s="2955">
        <v>14500</v>
      </c>
      <c r="K308" s="2959">
        <v>114.63</v>
      </c>
      <c r="L308" s="2955">
        <v>87.67</v>
      </c>
      <c r="M308" s="2954" t="s">
        <v>3233</v>
      </c>
      <c r="N308" s="2954" t="s">
        <v>4017</v>
      </c>
      <c r="O308" s="2954" t="s">
        <v>3441</v>
      </c>
      <c r="P308" s="2954" t="s">
        <v>3289</v>
      </c>
      <c r="Q308" s="2954" t="s">
        <v>4014</v>
      </c>
      <c r="R308" s="2954" t="s">
        <v>3291</v>
      </c>
      <c r="S308" s="2954">
        <v>1271247</v>
      </c>
      <c r="T308" s="2954" t="s">
        <v>3233</v>
      </c>
      <c r="U308" s="2954" t="s">
        <v>3299</v>
      </c>
      <c r="V308" s="2956">
        <v>44499</v>
      </c>
      <c r="W308" s="2954" t="s">
        <v>3051</v>
      </c>
      <c r="X308" s="2954" t="s">
        <v>3046</v>
      </c>
      <c r="Y308" s="2954" t="s">
        <v>3283</v>
      </c>
      <c r="Z308" s="2957">
        <v>43362.415937500002</v>
      </c>
      <c r="AA308" s="2954" t="s">
        <v>3543</v>
      </c>
      <c r="AB308" s="2954" t="s">
        <v>3300</v>
      </c>
      <c r="AC308" s="2954" t="s">
        <v>3544</v>
      </c>
      <c r="AD308" s="2954" t="s">
        <v>3283</v>
      </c>
      <c r="AE308" s="2954" t="s">
        <v>3051</v>
      </c>
      <c r="AF308" s="2954" t="s">
        <v>3283</v>
      </c>
    </row>
    <row r="309" spans="1:32" ht="67.5">
      <c r="A309" s="2954">
        <v>6886</v>
      </c>
      <c r="B309" s="2954" t="s">
        <v>3281</v>
      </c>
      <c r="C309" s="2954" t="s">
        <v>4010</v>
      </c>
      <c r="D309" s="2954" t="s">
        <v>3283</v>
      </c>
      <c r="E309" s="2954" t="s">
        <v>3344</v>
      </c>
      <c r="F309" s="2954" t="s">
        <v>4046</v>
      </c>
      <c r="G309" s="2954" t="s">
        <v>4047</v>
      </c>
      <c r="H309" s="2955">
        <v>1295870</v>
      </c>
      <c r="I309" s="2955">
        <v>11110</v>
      </c>
      <c r="J309" s="2955">
        <v>14526</v>
      </c>
      <c r="K309" s="2959">
        <v>116.64</v>
      </c>
      <c r="L309" s="2955">
        <v>89.21</v>
      </c>
      <c r="M309" s="2954" t="s">
        <v>3233</v>
      </c>
      <c r="N309" s="2954" t="s">
        <v>4013</v>
      </c>
      <c r="O309" s="2954" t="s">
        <v>3441</v>
      </c>
      <c r="P309" s="2954" t="s">
        <v>3289</v>
      </c>
      <c r="Q309" s="2954" t="s">
        <v>4014</v>
      </c>
      <c r="R309" s="2954" t="s">
        <v>3291</v>
      </c>
      <c r="S309" s="2954">
        <v>1295870</v>
      </c>
      <c r="T309" s="2954" t="s">
        <v>3233</v>
      </c>
      <c r="U309" s="2954" t="s">
        <v>3299</v>
      </c>
      <c r="V309" s="2956">
        <v>44499</v>
      </c>
      <c r="W309" s="2954" t="s">
        <v>3051</v>
      </c>
      <c r="X309" s="2954" t="s">
        <v>3046</v>
      </c>
      <c r="Y309" s="2954" t="s">
        <v>3283</v>
      </c>
      <c r="Z309" s="2957">
        <v>43362.415937500002</v>
      </c>
      <c r="AA309" s="2954" t="s">
        <v>3543</v>
      </c>
      <c r="AB309" s="2954" t="s">
        <v>3300</v>
      </c>
      <c r="AC309" s="2954" t="s">
        <v>3544</v>
      </c>
      <c r="AD309" s="2954" t="s">
        <v>3283</v>
      </c>
      <c r="AE309" s="2954" t="s">
        <v>3051</v>
      </c>
      <c r="AF309" s="2954" t="s">
        <v>3283</v>
      </c>
    </row>
    <row r="310" spans="1:32" ht="67.5">
      <c r="A310" s="2954">
        <v>6889</v>
      </c>
      <c r="B310" s="2954" t="s">
        <v>3281</v>
      </c>
      <c r="C310" s="2954" t="s">
        <v>4010</v>
      </c>
      <c r="D310" s="2954" t="s">
        <v>3283</v>
      </c>
      <c r="E310" s="2954" t="s">
        <v>3919</v>
      </c>
      <c r="F310" s="2954" t="s">
        <v>4048</v>
      </c>
      <c r="G310" s="2954" t="s">
        <v>4049</v>
      </c>
      <c r="H310" s="2955">
        <v>1273539</v>
      </c>
      <c r="I310" s="2955">
        <v>11110</v>
      </c>
      <c r="J310" s="2955">
        <v>14527</v>
      </c>
      <c r="K310" s="2959">
        <v>114.63</v>
      </c>
      <c r="L310" s="2955">
        <v>87.67</v>
      </c>
      <c r="M310" s="2954" t="s">
        <v>3233</v>
      </c>
      <c r="N310" s="2954" t="s">
        <v>4017</v>
      </c>
      <c r="O310" s="2954" t="s">
        <v>3441</v>
      </c>
      <c r="P310" s="2954" t="s">
        <v>3289</v>
      </c>
      <c r="Q310" s="2954" t="s">
        <v>4014</v>
      </c>
      <c r="R310" s="2954" t="s">
        <v>3291</v>
      </c>
      <c r="S310" s="2954">
        <v>1273539</v>
      </c>
      <c r="T310" s="2954" t="s">
        <v>3233</v>
      </c>
      <c r="U310" s="2954" t="s">
        <v>3299</v>
      </c>
      <c r="V310" s="2956">
        <v>44499</v>
      </c>
      <c r="W310" s="2954" t="s">
        <v>3051</v>
      </c>
      <c r="X310" s="2954" t="s">
        <v>3046</v>
      </c>
      <c r="Y310" s="2954" t="s">
        <v>3283</v>
      </c>
      <c r="Z310" s="2957">
        <v>43362.415937500002</v>
      </c>
      <c r="AA310" s="2954" t="s">
        <v>3543</v>
      </c>
      <c r="AB310" s="2954" t="s">
        <v>3300</v>
      </c>
      <c r="AC310" s="2954" t="s">
        <v>3544</v>
      </c>
      <c r="AD310" s="2954" t="s">
        <v>3283</v>
      </c>
      <c r="AE310" s="2954" t="s">
        <v>3051</v>
      </c>
      <c r="AF310" s="2954" t="s">
        <v>3283</v>
      </c>
    </row>
    <row r="311" spans="1:32" ht="67.5">
      <c r="A311" s="2954">
        <v>6890</v>
      </c>
      <c r="B311" s="2954" t="s">
        <v>3281</v>
      </c>
      <c r="C311" s="2954" t="s">
        <v>4010</v>
      </c>
      <c r="D311" s="2954" t="s">
        <v>3283</v>
      </c>
      <c r="E311" s="2954" t="s">
        <v>3350</v>
      </c>
      <c r="F311" s="2954" t="s">
        <v>4050</v>
      </c>
      <c r="G311" s="2954" t="s">
        <v>4051</v>
      </c>
      <c r="H311" s="2955">
        <v>1298203</v>
      </c>
      <c r="I311" s="2955">
        <v>11130</v>
      </c>
      <c r="J311" s="2955">
        <v>14552</v>
      </c>
      <c r="K311" s="2959">
        <v>116.64</v>
      </c>
      <c r="L311" s="2955">
        <v>89.21</v>
      </c>
      <c r="M311" s="2954" t="s">
        <v>3233</v>
      </c>
      <c r="N311" s="2954" t="s">
        <v>4013</v>
      </c>
      <c r="O311" s="2954" t="s">
        <v>3441</v>
      </c>
      <c r="P311" s="2954" t="s">
        <v>3289</v>
      </c>
      <c r="Q311" s="2954" t="s">
        <v>4014</v>
      </c>
      <c r="R311" s="2954" t="s">
        <v>3291</v>
      </c>
      <c r="S311" s="2954">
        <v>1298203</v>
      </c>
      <c r="T311" s="2954" t="s">
        <v>3233</v>
      </c>
      <c r="U311" s="2954" t="s">
        <v>3299</v>
      </c>
      <c r="V311" s="2956">
        <v>44499</v>
      </c>
      <c r="W311" s="2954" t="s">
        <v>3051</v>
      </c>
      <c r="X311" s="2954" t="s">
        <v>3046</v>
      </c>
      <c r="Y311" s="2954" t="s">
        <v>3283</v>
      </c>
      <c r="Z311" s="2957">
        <v>43362.415937500002</v>
      </c>
      <c r="AA311" s="2954" t="s">
        <v>3543</v>
      </c>
      <c r="AB311" s="2954" t="s">
        <v>3300</v>
      </c>
      <c r="AC311" s="2954" t="s">
        <v>3544</v>
      </c>
      <c r="AD311" s="2954" t="s">
        <v>3283</v>
      </c>
      <c r="AE311" s="2954" t="s">
        <v>3051</v>
      </c>
      <c r="AF311" s="2954" t="s">
        <v>3283</v>
      </c>
    </row>
    <row r="312" spans="1:32" ht="67.5">
      <c r="A312" s="2954">
        <v>6893</v>
      </c>
      <c r="B312" s="2954" t="s">
        <v>3281</v>
      </c>
      <c r="C312" s="2954" t="s">
        <v>4010</v>
      </c>
      <c r="D312" s="2954" t="s">
        <v>3283</v>
      </c>
      <c r="E312" s="2954" t="s">
        <v>4052</v>
      </c>
      <c r="F312" s="2954" t="s">
        <v>4053</v>
      </c>
      <c r="G312" s="2954" t="s">
        <v>4054</v>
      </c>
      <c r="H312" s="2955">
        <v>1275832</v>
      </c>
      <c r="I312" s="2955">
        <v>11130</v>
      </c>
      <c r="J312" s="2955">
        <v>14553</v>
      </c>
      <c r="K312" s="2959">
        <v>114.63</v>
      </c>
      <c r="L312" s="2955">
        <v>87.67</v>
      </c>
      <c r="M312" s="2954" t="s">
        <v>3233</v>
      </c>
      <c r="N312" s="2954" t="s">
        <v>4017</v>
      </c>
      <c r="O312" s="2954" t="s">
        <v>3441</v>
      </c>
      <c r="P312" s="2954" t="s">
        <v>3289</v>
      </c>
      <c r="Q312" s="2954" t="s">
        <v>4014</v>
      </c>
      <c r="R312" s="2954" t="s">
        <v>3291</v>
      </c>
      <c r="S312" s="2954">
        <v>1275832</v>
      </c>
      <c r="T312" s="2954" t="s">
        <v>3233</v>
      </c>
      <c r="U312" s="2954" t="s">
        <v>3299</v>
      </c>
      <c r="V312" s="2956">
        <v>44499</v>
      </c>
      <c r="W312" s="2954" t="s">
        <v>3051</v>
      </c>
      <c r="X312" s="2954" t="s">
        <v>3046</v>
      </c>
      <c r="Y312" s="2954" t="s">
        <v>3283</v>
      </c>
      <c r="Z312" s="2957">
        <v>43362.415937500002</v>
      </c>
      <c r="AA312" s="2954" t="s">
        <v>3543</v>
      </c>
      <c r="AB312" s="2954" t="s">
        <v>3300</v>
      </c>
      <c r="AC312" s="2954" t="s">
        <v>3544</v>
      </c>
      <c r="AD312" s="2954" t="s">
        <v>3283</v>
      </c>
      <c r="AE312" s="2954" t="s">
        <v>3051</v>
      </c>
      <c r="AF312" s="2954" t="s">
        <v>3283</v>
      </c>
    </row>
    <row r="313" spans="1:32" ht="67.5">
      <c r="A313" s="2954">
        <v>6894</v>
      </c>
      <c r="B313" s="2954" t="s">
        <v>3281</v>
      </c>
      <c r="C313" s="2954" t="s">
        <v>4010</v>
      </c>
      <c r="D313" s="2954" t="s">
        <v>3283</v>
      </c>
      <c r="E313" s="2954" t="s">
        <v>3356</v>
      </c>
      <c r="F313" s="2954" t="s">
        <v>4055</v>
      </c>
      <c r="G313" s="2954" t="s">
        <v>4056</v>
      </c>
      <c r="H313" s="2955">
        <v>1300536</v>
      </c>
      <c r="I313" s="2955">
        <v>11150</v>
      </c>
      <c r="J313" s="2955">
        <v>14578</v>
      </c>
      <c r="K313" s="2959">
        <v>116.64</v>
      </c>
      <c r="L313" s="2955">
        <v>89.21</v>
      </c>
      <c r="M313" s="2954" t="s">
        <v>3233</v>
      </c>
      <c r="N313" s="2954" t="s">
        <v>4013</v>
      </c>
      <c r="O313" s="2954" t="s">
        <v>3441</v>
      </c>
      <c r="P313" s="2954" t="s">
        <v>3289</v>
      </c>
      <c r="Q313" s="2954" t="s">
        <v>4014</v>
      </c>
      <c r="R313" s="2954" t="s">
        <v>3291</v>
      </c>
      <c r="S313" s="2954">
        <v>1300536</v>
      </c>
      <c r="T313" s="2954" t="s">
        <v>3233</v>
      </c>
      <c r="U313" s="2954" t="s">
        <v>3299</v>
      </c>
      <c r="V313" s="2956">
        <v>44499</v>
      </c>
      <c r="W313" s="2954" t="s">
        <v>3051</v>
      </c>
      <c r="X313" s="2954" t="s">
        <v>3046</v>
      </c>
      <c r="Y313" s="2954" t="s">
        <v>3283</v>
      </c>
      <c r="Z313" s="2957">
        <v>43362.415937500002</v>
      </c>
      <c r="AA313" s="2954" t="s">
        <v>3543</v>
      </c>
      <c r="AB313" s="2954" t="s">
        <v>3300</v>
      </c>
      <c r="AC313" s="2954" t="s">
        <v>3544</v>
      </c>
      <c r="AD313" s="2954" t="s">
        <v>3283</v>
      </c>
      <c r="AE313" s="2954" t="s">
        <v>3051</v>
      </c>
      <c r="AF313" s="2954" t="s">
        <v>3283</v>
      </c>
    </row>
    <row r="314" spans="1:32" ht="67.5">
      <c r="A314" s="2954">
        <v>6897</v>
      </c>
      <c r="B314" s="2954" t="s">
        <v>3281</v>
      </c>
      <c r="C314" s="2954" t="s">
        <v>4010</v>
      </c>
      <c r="D314" s="2954" t="s">
        <v>3283</v>
      </c>
      <c r="E314" s="2954" t="s">
        <v>3812</v>
      </c>
      <c r="F314" s="2954" t="s">
        <v>4057</v>
      </c>
      <c r="G314" s="2954" t="s">
        <v>4058</v>
      </c>
      <c r="H314" s="2955">
        <v>1278125</v>
      </c>
      <c r="I314" s="2955">
        <v>11150</v>
      </c>
      <c r="J314" s="2955">
        <v>14579</v>
      </c>
      <c r="K314" s="2959">
        <v>114.63</v>
      </c>
      <c r="L314" s="2955">
        <v>87.67</v>
      </c>
      <c r="M314" s="2954" t="s">
        <v>3233</v>
      </c>
      <c r="N314" s="2954" t="s">
        <v>4017</v>
      </c>
      <c r="O314" s="2954" t="s">
        <v>3441</v>
      </c>
      <c r="P314" s="2954" t="s">
        <v>3289</v>
      </c>
      <c r="Q314" s="2954" t="s">
        <v>4014</v>
      </c>
      <c r="R314" s="2954" t="s">
        <v>3291</v>
      </c>
      <c r="S314" s="2954">
        <v>1278125</v>
      </c>
      <c r="T314" s="2954" t="s">
        <v>3233</v>
      </c>
      <c r="U314" s="2954" t="s">
        <v>3299</v>
      </c>
      <c r="V314" s="2956">
        <v>44499</v>
      </c>
      <c r="W314" s="2954" t="s">
        <v>3051</v>
      </c>
      <c r="X314" s="2954" t="s">
        <v>3046</v>
      </c>
      <c r="Y314" s="2954" t="s">
        <v>3283</v>
      </c>
      <c r="Z314" s="2957">
        <v>43362.415937500002</v>
      </c>
      <c r="AA314" s="2954" t="s">
        <v>3543</v>
      </c>
      <c r="AB314" s="2954" t="s">
        <v>3300</v>
      </c>
      <c r="AC314" s="2954" t="s">
        <v>3544</v>
      </c>
      <c r="AD314" s="2954" t="s">
        <v>3283</v>
      </c>
      <c r="AE314" s="2954" t="s">
        <v>3051</v>
      </c>
      <c r="AF314" s="2954" t="s">
        <v>3283</v>
      </c>
    </row>
    <row r="315" spans="1:32" ht="67.5">
      <c r="A315" s="2954">
        <v>6898</v>
      </c>
      <c r="B315" s="2954" t="s">
        <v>3281</v>
      </c>
      <c r="C315" s="2954" t="s">
        <v>4010</v>
      </c>
      <c r="D315" s="2954" t="s">
        <v>3283</v>
      </c>
      <c r="E315" s="2954" t="s">
        <v>3362</v>
      </c>
      <c r="F315" s="2954" t="s">
        <v>4059</v>
      </c>
      <c r="G315" s="2954" t="s">
        <v>4060</v>
      </c>
      <c r="H315" s="2955">
        <v>1302869</v>
      </c>
      <c r="I315" s="2955">
        <v>11170</v>
      </c>
      <c r="J315" s="2955">
        <v>14605</v>
      </c>
      <c r="K315" s="2959">
        <v>116.64</v>
      </c>
      <c r="L315" s="2955">
        <v>89.21</v>
      </c>
      <c r="M315" s="2954" t="s">
        <v>3233</v>
      </c>
      <c r="N315" s="2954" t="s">
        <v>4013</v>
      </c>
      <c r="O315" s="2954" t="s">
        <v>3441</v>
      </c>
      <c r="P315" s="2954" t="s">
        <v>3289</v>
      </c>
      <c r="Q315" s="2954" t="s">
        <v>4014</v>
      </c>
      <c r="R315" s="2954" t="s">
        <v>3291</v>
      </c>
      <c r="S315" s="2954">
        <v>1302869</v>
      </c>
      <c r="T315" s="2954" t="s">
        <v>3233</v>
      </c>
      <c r="U315" s="2954" t="s">
        <v>3299</v>
      </c>
      <c r="V315" s="2956">
        <v>44499</v>
      </c>
      <c r="W315" s="2954" t="s">
        <v>3051</v>
      </c>
      <c r="X315" s="2954" t="s">
        <v>3046</v>
      </c>
      <c r="Y315" s="2954" t="s">
        <v>3283</v>
      </c>
      <c r="Z315" s="2957">
        <v>43362.415937500002</v>
      </c>
      <c r="AA315" s="2954" t="s">
        <v>3543</v>
      </c>
      <c r="AB315" s="2954" t="s">
        <v>3300</v>
      </c>
      <c r="AC315" s="2954" t="s">
        <v>3544</v>
      </c>
      <c r="AD315" s="2954" t="s">
        <v>3283</v>
      </c>
      <c r="AE315" s="2954" t="s">
        <v>3051</v>
      </c>
      <c r="AF315" s="2954" t="s">
        <v>3283</v>
      </c>
    </row>
    <row r="316" spans="1:32" ht="67.5">
      <c r="A316" s="2954">
        <v>6901</v>
      </c>
      <c r="B316" s="2954" t="s">
        <v>3281</v>
      </c>
      <c r="C316" s="2954" t="s">
        <v>4010</v>
      </c>
      <c r="D316" s="2954" t="s">
        <v>3283</v>
      </c>
      <c r="E316" s="2954" t="s">
        <v>3821</v>
      </c>
      <c r="F316" s="2954" t="s">
        <v>4061</v>
      </c>
      <c r="G316" s="2954" t="s">
        <v>4062</v>
      </c>
      <c r="H316" s="2955">
        <v>1280417</v>
      </c>
      <c r="I316" s="2955">
        <v>11170</v>
      </c>
      <c r="J316" s="2955">
        <v>14605</v>
      </c>
      <c r="K316" s="2959">
        <v>114.63</v>
      </c>
      <c r="L316" s="2955">
        <v>87.67</v>
      </c>
      <c r="M316" s="2954" t="s">
        <v>3233</v>
      </c>
      <c r="N316" s="2954" t="s">
        <v>4017</v>
      </c>
      <c r="O316" s="2954" t="s">
        <v>3441</v>
      </c>
      <c r="P316" s="2954" t="s">
        <v>3289</v>
      </c>
      <c r="Q316" s="2954" t="s">
        <v>4014</v>
      </c>
      <c r="R316" s="2954" t="s">
        <v>3291</v>
      </c>
      <c r="S316" s="2954">
        <v>1280417</v>
      </c>
      <c r="T316" s="2954" t="s">
        <v>3233</v>
      </c>
      <c r="U316" s="2954" t="s">
        <v>3299</v>
      </c>
      <c r="V316" s="2956">
        <v>44499</v>
      </c>
      <c r="W316" s="2954" t="s">
        <v>3051</v>
      </c>
      <c r="X316" s="2954" t="s">
        <v>3046</v>
      </c>
      <c r="Y316" s="2954" t="s">
        <v>3283</v>
      </c>
      <c r="Z316" s="2957">
        <v>43362.415937500002</v>
      </c>
      <c r="AA316" s="2954" t="s">
        <v>3543</v>
      </c>
      <c r="AB316" s="2954" t="s">
        <v>3300</v>
      </c>
      <c r="AC316" s="2954" t="s">
        <v>3544</v>
      </c>
      <c r="AD316" s="2954" t="s">
        <v>3283</v>
      </c>
      <c r="AE316" s="2954" t="s">
        <v>3051</v>
      </c>
      <c r="AF316" s="2954" t="s">
        <v>3283</v>
      </c>
    </row>
    <row r="317" spans="1:32" ht="67.5">
      <c r="A317" s="2954">
        <v>6905</v>
      </c>
      <c r="B317" s="2954" t="s">
        <v>3281</v>
      </c>
      <c r="C317" s="2954" t="s">
        <v>4010</v>
      </c>
      <c r="D317" s="2954" t="s">
        <v>3283</v>
      </c>
      <c r="E317" s="2954" t="s">
        <v>3944</v>
      </c>
      <c r="F317" s="2954" t="s">
        <v>4063</v>
      </c>
      <c r="G317" s="2954" t="s">
        <v>4064</v>
      </c>
      <c r="H317" s="2955">
        <v>1282710</v>
      </c>
      <c r="I317" s="2955">
        <v>11190</v>
      </c>
      <c r="J317" s="2955">
        <v>14631</v>
      </c>
      <c r="K317" s="2959">
        <v>114.63</v>
      </c>
      <c r="L317" s="2955">
        <v>87.67</v>
      </c>
      <c r="M317" s="2954" t="s">
        <v>3233</v>
      </c>
      <c r="N317" s="2954" t="s">
        <v>4017</v>
      </c>
      <c r="O317" s="2954" t="s">
        <v>3441</v>
      </c>
      <c r="P317" s="2954" t="s">
        <v>3289</v>
      </c>
      <c r="Q317" s="2954" t="s">
        <v>4014</v>
      </c>
      <c r="R317" s="2954" t="s">
        <v>3291</v>
      </c>
      <c r="S317" s="2954">
        <v>1282710</v>
      </c>
      <c r="T317" s="2954" t="s">
        <v>3233</v>
      </c>
      <c r="U317" s="2954" t="s">
        <v>3299</v>
      </c>
      <c r="V317" s="2956">
        <v>44499</v>
      </c>
      <c r="W317" s="2954" t="s">
        <v>3051</v>
      </c>
      <c r="X317" s="2954" t="s">
        <v>3046</v>
      </c>
      <c r="Y317" s="2954" t="s">
        <v>3283</v>
      </c>
      <c r="Z317" s="2957">
        <v>43362.415937500002</v>
      </c>
      <c r="AA317" s="2954" t="s">
        <v>3543</v>
      </c>
      <c r="AB317" s="2954" t="s">
        <v>3300</v>
      </c>
      <c r="AC317" s="2954" t="s">
        <v>3544</v>
      </c>
      <c r="AD317" s="2954" t="s">
        <v>3283</v>
      </c>
      <c r="AE317" s="2954" t="s">
        <v>3051</v>
      </c>
      <c r="AF317" s="2954" t="s">
        <v>3283</v>
      </c>
    </row>
    <row r="318" spans="1:32" ht="67.5">
      <c r="A318" s="2954">
        <v>6906</v>
      </c>
      <c r="B318" s="2954" t="s">
        <v>3281</v>
      </c>
      <c r="C318" s="2954" t="s">
        <v>4010</v>
      </c>
      <c r="D318" s="2954" t="s">
        <v>3283</v>
      </c>
      <c r="E318" s="2954" t="s">
        <v>4065</v>
      </c>
      <c r="F318" s="2954" t="s">
        <v>4066</v>
      </c>
      <c r="G318" s="2954" t="s">
        <v>4067</v>
      </c>
      <c r="H318" s="2955">
        <v>1307534</v>
      </c>
      <c r="I318" s="2955">
        <v>11210</v>
      </c>
      <c r="J318" s="2955">
        <v>14657</v>
      </c>
      <c r="K318" s="2959">
        <v>116.64</v>
      </c>
      <c r="L318" s="2955">
        <v>89.21</v>
      </c>
      <c r="M318" s="2954" t="s">
        <v>3233</v>
      </c>
      <c r="N318" s="2954" t="s">
        <v>4013</v>
      </c>
      <c r="O318" s="2954" t="s">
        <v>3441</v>
      </c>
      <c r="P318" s="2954" t="s">
        <v>3289</v>
      </c>
      <c r="Q318" s="2954" t="s">
        <v>4014</v>
      </c>
      <c r="R318" s="2954" t="s">
        <v>3291</v>
      </c>
      <c r="S318" s="2954">
        <v>1307534</v>
      </c>
      <c r="T318" s="2954" t="s">
        <v>3233</v>
      </c>
      <c r="U318" s="2954" t="s">
        <v>3299</v>
      </c>
      <c r="V318" s="2956">
        <v>44499</v>
      </c>
      <c r="W318" s="2954" t="s">
        <v>3051</v>
      </c>
      <c r="X318" s="2954" t="s">
        <v>3046</v>
      </c>
      <c r="Y318" s="2954" t="s">
        <v>3283</v>
      </c>
      <c r="Z318" s="2957">
        <v>43362.415937500002</v>
      </c>
      <c r="AA318" s="2954" t="s">
        <v>3543</v>
      </c>
      <c r="AB318" s="2954" t="s">
        <v>3300</v>
      </c>
      <c r="AC318" s="2954" t="s">
        <v>3544</v>
      </c>
      <c r="AD318" s="2954" t="s">
        <v>3283</v>
      </c>
      <c r="AE318" s="2954" t="s">
        <v>3051</v>
      </c>
      <c r="AF318" s="2954" t="s">
        <v>3283</v>
      </c>
    </row>
    <row r="319" spans="1:32" ht="67.5">
      <c r="A319" s="2954">
        <v>6909</v>
      </c>
      <c r="B319" s="2954" t="s">
        <v>3281</v>
      </c>
      <c r="C319" s="2954" t="s">
        <v>4010</v>
      </c>
      <c r="D319" s="2954" t="s">
        <v>3283</v>
      </c>
      <c r="E319" s="2954" t="s">
        <v>4068</v>
      </c>
      <c r="F319" s="2954" t="s">
        <v>4069</v>
      </c>
      <c r="G319" s="2954" t="s">
        <v>4070</v>
      </c>
      <c r="H319" s="2955">
        <v>1285002</v>
      </c>
      <c r="I319" s="2955">
        <v>11210</v>
      </c>
      <c r="J319" s="2955">
        <v>14657</v>
      </c>
      <c r="K319" s="2959">
        <v>114.63</v>
      </c>
      <c r="L319" s="2955">
        <v>87.67</v>
      </c>
      <c r="M319" s="2954" t="s">
        <v>3233</v>
      </c>
      <c r="N319" s="2954" t="s">
        <v>4017</v>
      </c>
      <c r="O319" s="2954" t="s">
        <v>3441</v>
      </c>
      <c r="P319" s="2954" t="s">
        <v>3289</v>
      </c>
      <c r="Q319" s="2954" t="s">
        <v>4014</v>
      </c>
      <c r="R319" s="2954" t="s">
        <v>3291</v>
      </c>
      <c r="S319" s="2954">
        <v>1285002</v>
      </c>
      <c r="T319" s="2954" t="s">
        <v>3233</v>
      </c>
      <c r="U319" s="2954" t="s">
        <v>3299</v>
      </c>
      <c r="V319" s="2956">
        <v>44499</v>
      </c>
      <c r="W319" s="2954" t="s">
        <v>3051</v>
      </c>
      <c r="X319" s="2954" t="s">
        <v>3046</v>
      </c>
      <c r="Y319" s="2954" t="s">
        <v>3283</v>
      </c>
      <c r="Z319" s="2957">
        <v>43362.415937500002</v>
      </c>
      <c r="AA319" s="2954" t="s">
        <v>3543</v>
      </c>
      <c r="AB319" s="2954" t="s">
        <v>3300</v>
      </c>
      <c r="AC319" s="2954" t="s">
        <v>3544</v>
      </c>
      <c r="AD319" s="2954" t="s">
        <v>3283</v>
      </c>
      <c r="AE319" s="2954" t="s">
        <v>3051</v>
      </c>
      <c r="AF319" s="2954" t="s">
        <v>3283</v>
      </c>
    </row>
    <row r="320" spans="1:32" ht="67.5">
      <c r="A320" s="2954">
        <v>6910</v>
      </c>
      <c r="B320" s="2954" t="s">
        <v>3281</v>
      </c>
      <c r="C320" s="2954" t="s">
        <v>4010</v>
      </c>
      <c r="D320" s="2954" t="s">
        <v>3283</v>
      </c>
      <c r="E320" s="2954" t="s">
        <v>3430</v>
      </c>
      <c r="F320" s="2954" t="s">
        <v>4071</v>
      </c>
      <c r="G320" s="2954" t="s">
        <v>4072</v>
      </c>
      <c r="H320" s="2955">
        <v>1309867</v>
      </c>
      <c r="I320" s="2955">
        <v>11230</v>
      </c>
      <c r="J320" s="2955">
        <v>14683</v>
      </c>
      <c r="K320" s="2959">
        <v>116.64</v>
      </c>
      <c r="L320" s="2955">
        <v>89.21</v>
      </c>
      <c r="M320" s="2954" t="s">
        <v>3233</v>
      </c>
      <c r="N320" s="2954" t="s">
        <v>4013</v>
      </c>
      <c r="O320" s="2954" t="s">
        <v>3441</v>
      </c>
      <c r="P320" s="2954" t="s">
        <v>3289</v>
      </c>
      <c r="Q320" s="2954" t="s">
        <v>4014</v>
      </c>
      <c r="R320" s="2954" t="s">
        <v>3291</v>
      </c>
      <c r="S320" s="2954">
        <v>1309867</v>
      </c>
      <c r="T320" s="2954" t="s">
        <v>3233</v>
      </c>
      <c r="U320" s="2954" t="s">
        <v>3299</v>
      </c>
      <c r="V320" s="2956">
        <v>44499</v>
      </c>
      <c r="W320" s="2954" t="s">
        <v>3051</v>
      </c>
      <c r="X320" s="2954" t="s">
        <v>3046</v>
      </c>
      <c r="Y320" s="2954" t="s">
        <v>3283</v>
      </c>
      <c r="Z320" s="2957">
        <v>43362.415937500002</v>
      </c>
      <c r="AA320" s="2954" t="s">
        <v>3543</v>
      </c>
      <c r="AB320" s="2954" t="s">
        <v>3300</v>
      </c>
      <c r="AC320" s="2954" t="s">
        <v>3544</v>
      </c>
      <c r="AD320" s="2954" t="s">
        <v>3283</v>
      </c>
      <c r="AE320" s="2954" t="s">
        <v>3051</v>
      </c>
      <c r="AF320" s="2954" t="s">
        <v>3283</v>
      </c>
    </row>
    <row r="321" spans="1:32" ht="67.5">
      <c r="A321" s="2954">
        <v>6913</v>
      </c>
      <c r="B321" s="2954" t="s">
        <v>3281</v>
      </c>
      <c r="C321" s="2954" t="s">
        <v>4010</v>
      </c>
      <c r="D321" s="2954" t="s">
        <v>3283</v>
      </c>
      <c r="E321" s="2954" t="s">
        <v>4073</v>
      </c>
      <c r="F321" s="2954" t="s">
        <v>4074</v>
      </c>
      <c r="G321" s="2954" t="s">
        <v>4075</v>
      </c>
      <c r="H321" s="2955">
        <v>1287295</v>
      </c>
      <c r="I321" s="2955">
        <v>11230</v>
      </c>
      <c r="J321" s="2955">
        <v>14683</v>
      </c>
      <c r="K321" s="2959">
        <v>114.63</v>
      </c>
      <c r="L321" s="2955">
        <v>87.67</v>
      </c>
      <c r="M321" s="2954" t="s">
        <v>3233</v>
      </c>
      <c r="N321" s="2954" t="s">
        <v>4017</v>
      </c>
      <c r="O321" s="2954" t="s">
        <v>3441</v>
      </c>
      <c r="P321" s="2954" t="s">
        <v>3289</v>
      </c>
      <c r="Q321" s="2954" t="s">
        <v>4014</v>
      </c>
      <c r="R321" s="2954" t="s">
        <v>3291</v>
      </c>
      <c r="S321" s="2954">
        <v>1287295</v>
      </c>
      <c r="T321" s="2954" t="s">
        <v>3233</v>
      </c>
      <c r="U321" s="2954" t="s">
        <v>3299</v>
      </c>
      <c r="V321" s="2956">
        <v>44499</v>
      </c>
      <c r="W321" s="2954" t="s">
        <v>3051</v>
      </c>
      <c r="X321" s="2954" t="s">
        <v>3046</v>
      </c>
      <c r="Y321" s="2954" t="s">
        <v>3283</v>
      </c>
      <c r="Z321" s="2957">
        <v>43362.415937500002</v>
      </c>
      <c r="AA321" s="2954" t="s">
        <v>3543</v>
      </c>
      <c r="AB321" s="2954" t="s">
        <v>3300</v>
      </c>
      <c r="AC321" s="2954" t="s">
        <v>3544</v>
      </c>
      <c r="AD321" s="2954" t="s">
        <v>3283</v>
      </c>
      <c r="AE321" s="2954" t="s">
        <v>3051</v>
      </c>
      <c r="AF321" s="2954" t="s">
        <v>3283</v>
      </c>
    </row>
    <row r="322" spans="1:32" ht="67.5">
      <c r="A322" s="2954">
        <v>6914</v>
      </c>
      <c r="B322" s="2954" t="s">
        <v>3281</v>
      </c>
      <c r="C322" s="2954" t="s">
        <v>4010</v>
      </c>
      <c r="D322" s="2954" t="s">
        <v>3283</v>
      </c>
      <c r="E322" s="2954" t="s">
        <v>3433</v>
      </c>
      <c r="F322" s="2954" t="s">
        <v>4076</v>
      </c>
      <c r="G322" s="2954" t="s">
        <v>4077</v>
      </c>
      <c r="H322" s="2955">
        <v>1309867</v>
      </c>
      <c r="I322" s="2955">
        <v>11230</v>
      </c>
      <c r="J322" s="2955">
        <v>14683</v>
      </c>
      <c r="K322" s="2959">
        <v>116.64</v>
      </c>
      <c r="L322" s="2955">
        <v>89.21</v>
      </c>
      <c r="M322" s="2954" t="s">
        <v>3233</v>
      </c>
      <c r="N322" s="2954" t="s">
        <v>4013</v>
      </c>
      <c r="O322" s="2954" t="s">
        <v>3441</v>
      </c>
      <c r="P322" s="2954" t="s">
        <v>3289</v>
      </c>
      <c r="Q322" s="2954" t="s">
        <v>4014</v>
      </c>
      <c r="R322" s="2954" t="s">
        <v>3291</v>
      </c>
      <c r="S322" s="2954">
        <v>1309867</v>
      </c>
      <c r="T322" s="2954" t="s">
        <v>3233</v>
      </c>
      <c r="U322" s="2954" t="s">
        <v>3299</v>
      </c>
      <c r="V322" s="2956">
        <v>44499</v>
      </c>
      <c r="W322" s="2954" t="s">
        <v>3051</v>
      </c>
      <c r="X322" s="2954" t="s">
        <v>3046</v>
      </c>
      <c r="Y322" s="2954" t="s">
        <v>3283</v>
      </c>
      <c r="Z322" s="2957">
        <v>43362.415937500002</v>
      </c>
      <c r="AA322" s="2954" t="s">
        <v>3543</v>
      </c>
      <c r="AB322" s="2954" t="s">
        <v>3300</v>
      </c>
      <c r="AC322" s="2954" t="s">
        <v>3544</v>
      </c>
      <c r="AD322" s="2954" t="s">
        <v>3283</v>
      </c>
      <c r="AE322" s="2954" t="s">
        <v>3051</v>
      </c>
      <c r="AF322" s="2954" t="s">
        <v>3283</v>
      </c>
    </row>
    <row r="323" spans="1:32" ht="67.5">
      <c r="A323" s="2954">
        <v>6917</v>
      </c>
      <c r="B323" s="2954" t="s">
        <v>3281</v>
      </c>
      <c r="C323" s="2954" t="s">
        <v>4010</v>
      </c>
      <c r="D323" s="2954" t="s">
        <v>3283</v>
      </c>
      <c r="E323" s="2954" t="s">
        <v>3953</v>
      </c>
      <c r="F323" s="2954" t="s">
        <v>4078</v>
      </c>
      <c r="G323" s="2954" t="s">
        <v>4079</v>
      </c>
      <c r="H323" s="2955">
        <v>1287295</v>
      </c>
      <c r="I323" s="2955">
        <v>11230</v>
      </c>
      <c r="J323" s="2955">
        <v>14683</v>
      </c>
      <c r="K323" s="2959">
        <v>114.63</v>
      </c>
      <c r="L323" s="2955">
        <v>87.67</v>
      </c>
      <c r="M323" s="2954" t="s">
        <v>3233</v>
      </c>
      <c r="N323" s="2954" t="s">
        <v>4017</v>
      </c>
      <c r="O323" s="2954" t="s">
        <v>3441</v>
      </c>
      <c r="P323" s="2954" t="s">
        <v>3289</v>
      </c>
      <c r="Q323" s="2954" t="s">
        <v>4014</v>
      </c>
      <c r="R323" s="2954" t="s">
        <v>3291</v>
      </c>
      <c r="S323" s="2954">
        <v>1287295</v>
      </c>
      <c r="T323" s="2954" t="s">
        <v>3233</v>
      </c>
      <c r="U323" s="2954" t="s">
        <v>3299</v>
      </c>
      <c r="V323" s="2956">
        <v>44499</v>
      </c>
      <c r="W323" s="2954" t="s">
        <v>3051</v>
      </c>
      <c r="X323" s="2954" t="s">
        <v>3046</v>
      </c>
      <c r="Y323" s="2954" t="s">
        <v>3283</v>
      </c>
      <c r="Z323" s="2957">
        <v>43362.415937500002</v>
      </c>
      <c r="AA323" s="2954" t="s">
        <v>3543</v>
      </c>
      <c r="AB323" s="2954" t="s">
        <v>3300</v>
      </c>
      <c r="AC323" s="2954" t="s">
        <v>3544</v>
      </c>
      <c r="AD323" s="2954" t="s">
        <v>3283</v>
      </c>
      <c r="AE323" s="2954" t="s">
        <v>3051</v>
      </c>
      <c r="AF323" s="2954" t="s">
        <v>3283</v>
      </c>
    </row>
    <row r="324" spans="1:32" ht="67.5">
      <c r="A324" s="2954">
        <v>6918</v>
      </c>
      <c r="B324" s="2954" t="s">
        <v>3281</v>
      </c>
      <c r="C324" s="2954" t="s">
        <v>4010</v>
      </c>
      <c r="D324" s="2954" t="s">
        <v>3283</v>
      </c>
      <c r="E324" s="2954" t="s">
        <v>4080</v>
      </c>
      <c r="F324" s="2954" t="s">
        <v>4081</v>
      </c>
      <c r="G324" s="2954" t="s">
        <v>4082</v>
      </c>
      <c r="H324" s="2955">
        <v>1309867</v>
      </c>
      <c r="I324" s="2955">
        <v>11230</v>
      </c>
      <c r="J324" s="2955">
        <v>14683</v>
      </c>
      <c r="K324" s="2959">
        <v>116.64</v>
      </c>
      <c r="L324" s="2955">
        <v>89.21</v>
      </c>
      <c r="M324" s="2954" t="s">
        <v>3233</v>
      </c>
      <c r="N324" s="2954" t="s">
        <v>4013</v>
      </c>
      <c r="O324" s="2954" t="s">
        <v>3441</v>
      </c>
      <c r="P324" s="2954" t="s">
        <v>3289</v>
      </c>
      <c r="Q324" s="2954" t="s">
        <v>4014</v>
      </c>
      <c r="R324" s="2954" t="s">
        <v>3291</v>
      </c>
      <c r="S324" s="2954">
        <v>1309867</v>
      </c>
      <c r="T324" s="2954" t="s">
        <v>3233</v>
      </c>
      <c r="U324" s="2954" t="s">
        <v>3299</v>
      </c>
      <c r="V324" s="2956">
        <v>44499</v>
      </c>
      <c r="W324" s="2954" t="s">
        <v>3051</v>
      </c>
      <c r="X324" s="2954" t="s">
        <v>3046</v>
      </c>
      <c r="Y324" s="2954" t="s">
        <v>3283</v>
      </c>
      <c r="Z324" s="2957">
        <v>43362.415937500002</v>
      </c>
      <c r="AA324" s="2954" t="s">
        <v>3543</v>
      </c>
      <c r="AB324" s="2954" t="s">
        <v>3300</v>
      </c>
      <c r="AC324" s="2954" t="s">
        <v>3544</v>
      </c>
      <c r="AD324" s="2954" t="s">
        <v>3283</v>
      </c>
      <c r="AE324" s="2954" t="s">
        <v>3051</v>
      </c>
      <c r="AF324" s="2954" t="s">
        <v>3283</v>
      </c>
    </row>
    <row r="325" spans="1:32" ht="67.5">
      <c r="A325" s="2954">
        <v>6921</v>
      </c>
      <c r="B325" s="2954" t="s">
        <v>3281</v>
      </c>
      <c r="C325" s="2954" t="s">
        <v>4010</v>
      </c>
      <c r="D325" s="2954" t="s">
        <v>3283</v>
      </c>
      <c r="E325" s="2954" t="s">
        <v>3956</v>
      </c>
      <c r="F325" s="2954" t="s">
        <v>4083</v>
      </c>
      <c r="G325" s="2954" t="s">
        <v>4084</v>
      </c>
      <c r="H325" s="2955">
        <v>1287295</v>
      </c>
      <c r="I325" s="2955">
        <v>11230</v>
      </c>
      <c r="J325" s="2955">
        <v>14683</v>
      </c>
      <c r="K325" s="2959">
        <v>114.63</v>
      </c>
      <c r="L325" s="2955">
        <v>87.67</v>
      </c>
      <c r="M325" s="2954" t="s">
        <v>3233</v>
      </c>
      <c r="N325" s="2954" t="s">
        <v>4017</v>
      </c>
      <c r="O325" s="2954" t="s">
        <v>3441</v>
      </c>
      <c r="P325" s="2954" t="s">
        <v>3289</v>
      </c>
      <c r="Q325" s="2954" t="s">
        <v>4014</v>
      </c>
      <c r="R325" s="2954" t="s">
        <v>3291</v>
      </c>
      <c r="S325" s="2954">
        <v>1287295</v>
      </c>
      <c r="T325" s="2954" t="s">
        <v>3233</v>
      </c>
      <c r="U325" s="2954" t="s">
        <v>3299</v>
      </c>
      <c r="V325" s="2956">
        <v>44499</v>
      </c>
      <c r="W325" s="2954" t="s">
        <v>3051</v>
      </c>
      <c r="X325" s="2954" t="s">
        <v>3046</v>
      </c>
      <c r="Y325" s="2954" t="s">
        <v>3283</v>
      </c>
      <c r="Z325" s="2957">
        <v>43362.415937500002</v>
      </c>
      <c r="AA325" s="2954" t="s">
        <v>3543</v>
      </c>
      <c r="AB325" s="2954" t="s">
        <v>3300</v>
      </c>
      <c r="AC325" s="2954" t="s">
        <v>3544</v>
      </c>
      <c r="AD325" s="2954" t="s">
        <v>3283</v>
      </c>
      <c r="AE325" s="2954" t="s">
        <v>3051</v>
      </c>
      <c r="AF325" s="2954" t="s">
        <v>3283</v>
      </c>
    </row>
    <row r="326" spans="1:32" ht="67.5">
      <c r="A326" s="2954">
        <v>6922</v>
      </c>
      <c r="B326" s="2954" t="s">
        <v>3281</v>
      </c>
      <c r="C326" s="2954" t="s">
        <v>4010</v>
      </c>
      <c r="D326" s="2954" t="s">
        <v>3283</v>
      </c>
      <c r="E326" s="2954" t="s">
        <v>4085</v>
      </c>
      <c r="F326" s="2954" t="s">
        <v>4086</v>
      </c>
      <c r="G326" s="2954" t="s">
        <v>4087</v>
      </c>
      <c r="H326" s="2955">
        <v>1307534</v>
      </c>
      <c r="I326" s="2955">
        <v>11210</v>
      </c>
      <c r="J326" s="2955">
        <v>14657</v>
      </c>
      <c r="K326" s="2959">
        <v>116.64</v>
      </c>
      <c r="L326" s="2955">
        <v>89.21</v>
      </c>
      <c r="M326" s="2954" t="s">
        <v>3233</v>
      </c>
      <c r="N326" s="2954" t="s">
        <v>4013</v>
      </c>
      <c r="O326" s="2954" t="s">
        <v>3441</v>
      </c>
      <c r="P326" s="2954" t="s">
        <v>3289</v>
      </c>
      <c r="Q326" s="2954" t="s">
        <v>4014</v>
      </c>
      <c r="R326" s="2954" t="s">
        <v>3291</v>
      </c>
      <c r="S326" s="2954">
        <v>1307534</v>
      </c>
      <c r="T326" s="2954" t="s">
        <v>3233</v>
      </c>
      <c r="U326" s="2954" t="s">
        <v>3299</v>
      </c>
      <c r="V326" s="2956">
        <v>44499</v>
      </c>
      <c r="W326" s="2954" t="s">
        <v>3051</v>
      </c>
      <c r="X326" s="2954" t="s">
        <v>3046</v>
      </c>
      <c r="Y326" s="2954" t="s">
        <v>3283</v>
      </c>
      <c r="Z326" s="2957">
        <v>43362.415937500002</v>
      </c>
      <c r="AA326" s="2954" t="s">
        <v>3543</v>
      </c>
      <c r="AB326" s="2954" t="s">
        <v>3300</v>
      </c>
      <c r="AC326" s="2954" t="s">
        <v>3544</v>
      </c>
      <c r="AD326" s="2954" t="s">
        <v>3283</v>
      </c>
      <c r="AE326" s="2954" t="s">
        <v>3051</v>
      </c>
      <c r="AF326" s="2954" t="s">
        <v>3283</v>
      </c>
    </row>
    <row r="327" spans="1:32" ht="67.5">
      <c r="A327" s="2954">
        <v>6925</v>
      </c>
      <c r="B327" s="2954" t="s">
        <v>3281</v>
      </c>
      <c r="C327" s="2954" t="s">
        <v>4010</v>
      </c>
      <c r="D327" s="2954" t="s">
        <v>3283</v>
      </c>
      <c r="E327" s="2954" t="s">
        <v>3961</v>
      </c>
      <c r="F327" s="2954" t="s">
        <v>4088</v>
      </c>
      <c r="G327" s="2954" t="s">
        <v>4089</v>
      </c>
      <c r="H327" s="2955">
        <v>1285002</v>
      </c>
      <c r="I327" s="2955">
        <v>11210</v>
      </c>
      <c r="J327" s="2955">
        <v>14657</v>
      </c>
      <c r="K327" s="2959">
        <v>114.63</v>
      </c>
      <c r="L327" s="2955">
        <v>87.67</v>
      </c>
      <c r="M327" s="2954" t="s">
        <v>3233</v>
      </c>
      <c r="N327" s="2954" t="s">
        <v>4017</v>
      </c>
      <c r="O327" s="2954" t="s">
        <v>3441</v>
      </c>
      <c r="P327" s="2954" t="s">
        <v>3289</v>
      </c>
      <c r="Q327" s="2954" t="s">
        <v>4014</v>
      </c>
      <c r="R327" s="2954" t="s">
        <v>3291</v>
      </c>
      <c r="S327" s="2954">
        <v>1285002</v>
      </c>
      <c r="T327" s="2954" t="s">
        <v>3233</v>
      </c>
      <c r="U327" s="2954" t="s">
        <v>3299</v>
      </c>
      <c r="V327" s="2956">
        <v>44499</v>
      </c>
      <c r="W327" s="2954" t="s">
        <v>3051</v>
      </c>
      <c r="X327" s="2954" t="s">
        <v>3046</v>
      </c>
      <c r="Y327" s="2954" t="s">
        <v>3283</v>
      </c>
      <c r="Z327" s="2957">
        <v>43362.415937500002</v>
      </c>
      <c r="AA327" s="2954" t="s">
        <v>3543</v>
      </c>
      <c r="AB327" s="2954" t="s">
        <v>3300</v>
      </c>
      <c r="AC327" s="2954" t="s">
        <v>3544</v>
      </c>
      <c r="AD327" s="2954" t="s">
        <v>3283</v>
      </c>
      <c r="AE327" s="2954" t="s">
        <v>3051</v>
      </c>
      <c r="AF327" s="2954" t="s">
        <v>3283</v>
      </c>
    </row>
    <row r="328" spans="1:32" ht="67.5">
      <c r="A328" s="2954">
        <v>6926</v>
      </c>
      <c r="B328" s="2954" t="s">
        <v>3281</v>
      </c>
      <c r="C328" s="2954" t="s">
        <v>4010</v>
      </c>
      <c r="D328" s="2954" t="s">
        <v>3283</v>
      </c>
      <c r="E328" s="2954" t="s">
        <v>3964</v>
      </c>
      <c r="F328" s="2954" t="s">
        <v>4090</v>
      </c>
      <c r="G328" s="2954" t="s">
        <v>4091</v>
      </c>
      <c r="H328" s="2955">
        <v>1307534</v>
      </c>
      <c r="I328" s="2955">
        <v>11210</v>
      </c>
      <c r="J328" s="2955">
        <v>14657</v>
      </c>
      <c r="K328" s="2959">
        <v>116.64</v>
      </c>
      <c r="L328" s="2955">
        <v>89.21</v>
      </c>
      <c r="M328" s="2954" t="s">
        <v>3233</v>
      </c>
      <c r="N328" s="2954" t="s">
        <v>4013</v>
      </c>
      <c r="O328" s="2954" t="s">
        <v>3441</v>
      </c>
      <c r="P328" s="2954" t="s">
        <v>3289</v>
      </c>
      <c r="Q328" s="2954" t="s">
        <v>4014</v>
      </c>
      <c r="R328" s="2954" t="s">
        <v>3291</v>
      </c>
      <c r="S328" s="2954">
        <v>1307534</v>
      </c>
      <c r="T328" s="2954" t="s">
        <v>3233</v>
      </c>
      <c r="U328" s="2954" t="s">
        <v>3299</v>
      </c>
      <c r="V328" s="2956">
        <v>44499</v>
      </c>
      <c r="W328" s="2954" t="s">
        <v>3051</v>
      </c>
      <c r="X328" s="2954" t="s">
        <v>3046</v>
      </c>
      <c r="Y328" s="2954" t="s">
        <v>3283</v>
      </c>
      <c r="Z328" s="2957">
        <v>43362.415937500002</v>
      </c>
      <c r="AA328" s="2954" t="s">
        <v>3543</v>
      </c>
      <c r="AB328" s="2954" t="s">
        <v>3300</v>
      </c>
      <c r="AC328" s="2954" t="s">
        <v>3544</v>
      </c>
      <c r="AD328" s="2954" t="s">
        <v>3283</v>
      </c>
      <c r="AE328" s="2954" t="s">
        <v>3051</v>
      </c>
      <c r="AF328" s="2954" t="s">
        <v>3283</v>
      </c>
    </row>
    <row r="329" spans="1:32" ht="67.5">
      <c r="A329" s="2954">
        <v>6929</v>
      </c>
      <c r="B329" s="2954" t="s">
        <v>3281</v>
      </c>
      <c r="C329" s="2954" t="s">
        <v>4010</v>
      </c>
      <c r="D329" s="2954" t="s">
        <v>3283</v>
      </c>
      <c r="E329" s="2954" t="s">
        <v>3969</v>
      </c>
      <c r="F329" s="2954" t="s">
        <v>4092</v>
      </c>
      <c r="G329" s="2954" t="s">
        <v>4093</v>
      </c>
      <c r="H329" s="2955">
        <v>1285002</v>
      </c>
      <c r="I329" s="2955">
        <v>11210</v>
      </c>
      <c r="J329" s="2955">
        <v>14657</v>
      </c>
      <c r="K329" s="2959">
        <v>114.63</v>
      </c>
      <c r="L329" s="2955">
        <v>87.67</v>
      </c>
      <c r="M329" s="2954" t="s">
        <v>3233</v>
      </c>
      <c r="N329" s="2954" t="s">
        <v>4017</v>
      </c>
      <c r="O329" s="2954" t="s">
        <v>3441</v>
      </c>
      <c r="P329" s="2954" t="s">
        <v>3289</v>
      </c>
      <c r="Q329" s="2954" t="s">
        <v>4014</v>
      </c>
      <c r="R329" s="2954" t="s">
        <v>3291</v>
      </c>
      <c r="S329" s="2954">
        <v>1285002</v>
      </c>
      <c r="T329" s="2954" t="s">
        <v>3233</v>
      </c>
      <c r="U329" s="2954" t="s">
        <v>3299</v>
      </c>
      <c r="V329" s="2956">
        <v>44499</v>
      </c>
      <c r="W329" s="2954" t="s">
        <v>3051</v>
      </c>
      <c r="X329" s="2954" t="s">
        <v>3046</v>
      </c>
      <c r="Y329" s="2954" t="s">
        <v>3283</v>
      </c>
      <c r="Z329" s="2957">
        <v>43362.415937500002</v>
      </c>
      <c r="AA329" s="2954" t="s">
        <v>3543</v>
      </c>
      <c r="AB329" s="2954" t="s">
        <v>3300</v>
      </c>
      <c r="AC329" s="2954" t="s">
        <v>3544</v>
      </c>
      <c r="AD329" s="2954" t="s">
        <v>3283</v>
      </c>
      <c r="AE329" s="2954" t="s">
        <v>3051</v>
      </c>
      <c r="AF329" s="2954" t="s">
        <v>3283</v>
      </c>
    </row>
    <row r="330" spans="1:32" ht="67.5">
      <c r="A330" s="2954">
        <v>6930</v>
      </c>
      <c r="B330" s="2954" t="s">
        <v>3281</v>
      </c>
      <c r="C330" s="2954" t="s">
        <v>4010</v>
      </c>
      <c r="D330" s="2954" t="s">
        <v>3283</v>
      </c>
      <c r="E330" s="2954" t="s">
        <v>4094</v>
      </c>
      <c r="F330" s="2954" t="s">
        <v>4095</v>
      </c>
      <c r="G330" s="2954" t="s">
        <v>4096</v>
      </c>
      <c r="H330" s="2955">
        <v>1307534</v>
      </c>
      <c r="I330" s="2955">
        <v>11210</v>
      </c>
      <c r="J330" s="2955">
        <v>14657</v>
      </c>
      <c r="K330" s="2959">
        <v>116.64</v>
      </c>
      <c r="L330" s="2955">
        <v>89.21</v>
      </c>
      <c r="M330" s="2954" t="s">
        <v>3233</v>
      </c>
      <c r="N330" s="2954" t="s">
        <v>4013</v>
      </c>
      <c r="O330" s="2954" t="s">
        <v>3441</v>
      </c>
      <c r="P330" s="2954" t="s">
        <v>3289</v>
      </c>
      <c r="Q330" s="2954" t="s">
        <v>4014</v>
      </c>
      <c r="R330" s="2954" t="s">
        <v>3291</v>
      </c>
      <c r="S330" s="2954">
        <v>1307534</v>
      </c>
      <c r="T330" s="2954" t="s">
        <v>3233</v>
      </c>
      <c r="U330" s="2954" t="s">
        <v>3299</v>
      </c>
      <c r="V330" s="2956">
        <v>44499</v>
      </c>
      <c r="W330" s="2954" t="s">
        <v>3051</v>
      </c>
      <c r="X330" s="2954" t="s">
        <v>3046</v>
      </c>
      <c r="Y330" s="2954" t="s">
        <v>3283</v>
      </c>
      <c r="Z330" s="2957">
        <v>43362.415937500002</v>
      </c>
      <c r="AA330" s="2954" t="s">
        <v>3543</v>
      </c>
      <c r="AB330" s="2954" t="s">
        <v>3300</v>
      </c>
      <c r="AC330" s="2954" t="s">
        <v>3544</v>
      </c>
      <c r="AD330" s="2954" t="s">
        <v>3283</v>
      </c>
      <c r="AE330" s="2954" t="s">
        <v>3051</v>
      </c>
      <c r="AF330" s="2954" t="s">
        <v>3283</v>
      </c>
    </row>
    <row r="331" spans="1:32" ht="67.5">
      <c r="A331" s="2954">
        <v>6933</v>
      </c>
      <c r="B331" s="2954" t="s">
        <v>3281</v>
      </c>
      <c r="C331" s="2954" t="s">
        <v>4010</v>
      </c>
      <c r="D331" s="2954" t="s">
        <v>3283</v>
      </c>
      <c r="E331" s="2954" t="s">
        <v>3974</v>
      </c>
      <c r="F331" s="2954" t="s">
        <v>4097</v>
      </c>
      <c r="G331" s="2954" t="s">
        <v>4098</v>
      </c>
      <c r="H331" s="2955">
        <v>1285002</v>
      </c>
      <c r="I331" s="2955">
        <v>11210</v>
      </c>
      <c r="J331" s="2955">
        <v>14657</v>
      </c>
      <c r="K331" s="2959">
        <v>114.63</v>
      </c>
      <c r="L331" s="2955">
        <v>87.67</v>
      </c>
      <c r="M331" s="2954" t="s">
        <v>3233</v>
      </c>
      <c r="N331" s="2954" t="s">
        <v>4017</v>
      </c>
      <c r="O331" s="2954" t="s">
        <v>3441</v>
      </c>
      <c r="P331" s="2954" t="s">
        <v>3289</v>
      </c>
      <c r="Q331" s="2954" t="s">
        <v>4014</v>
      </c>
      <c r="R331" s="2954" t="s">
        <v>3291</v>
      </c>
      <c r="S331" s="2954">
        <v>1285002</v>
      </c>
      <c r="T331" s="2954" t="s">
        <v>3233</v>
      </c>
      <c r="U331" s="2954" t="s">
        <v>3299</v>
      </c>
      <c r="V331" s="2956">
        <v>44499</v>
      </c>
      <c r="W331" s="2954" t="s">
        <v>3051</v>
      </c>
      <c r="X331" s="2954" t="s">
        <v>3046</v>
      </c>
      <c r="Y331" s="2954" t="s">
        <v>3283</v>
      </c>
      <c r="Z331" s="2957">
        <v>43362.415937500002</v>
      </c>
      <c r="AA331" s="2954" t="s">
        <v>3543</v>
      </c>
      <c r="AB331" s="2954" t="s">
        <v>3300</v>
      </c>
      <c r="AC331" s="2954" t="s">
        <v>3544</v>
      </c>
      <c r="AD331" s="2954" t="s">
        <v>3283</v>
      </c>
      <c r="AE331" s="2954" t="s">
        <v>3051</v>
      </c>
      <c r="AF331" s="2954" t="s">
        <v>3283</v>
      </c>
    </row>
    <row r="332" spans="1:32" ht="67.5">
      <c r="A332" s="2954">
        <v>6934</v>
      </c>
      <c r="B332" s="2954" t="s">
        <v>3281</v>
      </c>
      <c r="C332" s="2954" t="s">
        <v>4010</v>
      </c>
      <c r="D332" s="2954" t="s">
        <v>3283</v>
      </c>
      <c r="E332" s="2954" t="s">
        <v>3977</v>
      </c>
      <c r="F332" s="2954" t="s">
        <v>4099</v>
      </c>
      <c r="G332" s="2954" t="s">
        <v>4100</v>
      </c>
      <c r="H332" s="2955">
        <v>1305202</v>
      </c>
      <c r="I332" s="2955">
        <v>11190</v>
      </c>
      <c r="J332" s="2955">
        <v>14631</v>
      </c>
      <c r="K332" s="2959">
        <v>116.64</v>
      </c>
      <c r="L332" s="2955">
        <v>89.21</v>
      </c>
      <c r="M332" s="2954" t="s">
        <v>3233</v>
      </c>
      <c r="N332" s="2954" t="s">
        <v>4013</v>
      </c>
      <c r="O332" s="2954" t="s">
        <v>3441</v>
      </c>
      <c r="P332" s="2954" t="s">
        <v>3289</v>
      </c>
      <c r="Q332" s="2954" t="s">
        <v>4014</v>
      </c>
      <c r="R332" s="2954" t="s">
        <v>3291</v>
      </c>
      <c r="S332" s="2954">
        <v>1305202</v>
      </c>
      <c r="T332" s="2954" t="s">
        <v>3233</v>
      </c>
      <c r="U332" s="2954" t="s">
        <v>3299</v>
      </c>
      <c r="V332" s="2956">
        <v>44499</v>
      </c>
      <c r="W332" s="2954" t="s">
        <v>3051</v>
      </c>
      <c r="X332" s="2954" t="s">
        <v>3046</v>
      </c>
      <c r="Y332" s="2954" t="s">
        <v>3283</v>
      </c>
      <c r="Z332" s="2957">
        <v>43362.415937500002</v>
      </c>
      <c r="AA332" s="2954" t="s">
        <v>3543</v>
      </c>
      <c r="AB332" s="2954" t="s">
        <v>3300</v>
      </c>
      <c r="AC332" s="2954" t="s">
        <v>3544</v>
      </c>
      <c r="AD332" s="2954" t="s">
        <v>3283</v>
      </c>
      <c r="AE332" s="2954" t="s">
        <v>3051</v>
      </c>
      <c r="AF332" s="2954" t="s">
        <v>3283</v>
      </c>
    </row>
    <row r="333" spans="1:32" ht="67.5">
      <c r="A333" s="2954">
        <v>6937</v>
      </c>
      <c r="B333" s="2954" t="s">
        <v>3281</v>
      </c>
      <c r="C333" s="2954" t="s">
        <v>4010</v>
      </c>
      <c r="D333" s="2954" t="s">
        <v>3283</v>
      </c>
      <c r="E333" s="2954" t="s">
        <v>3982</v>
      </c>
      <c r="F333" s="2954" t="s">
        <v>4101</v>
      </c>
      <c r="G333" s="2954" t="s">
        <v>4102</v>
      </c>
      <c r="H333" s="2955">
        <v>1282710</v>
      </c>
      <c r="I333" s="2955">
        <v>11190</v>
      </c>
      <c r="J333" s="2955">
        <v>14631</v>
      </c>
      <c r="K333" s="2959">
        <v>114.63</v>
      </c>
      <c r="L333" s="2955">
        <v>87.67</v>
      </c>
      <c r="M333" s="2954" t="s">
        <v>3233</v>
      </c>
      <c r="N333" s="2954" t="s">
        <v>4017</v>
      </c>
      <c r="O333" s="2954" t="s">
        <v>3441</v>
      </c>
      <c r="P333" s="2954" t="s">
        <v>3289</v>
      </c>
      <c r="Q333" s="2954" t="s">
        <v>4014</v>
      </c>
      <c r="R333" s="2954" t="s">
        <v>3291</v>
      </c>
      <c r="S333" s="2954">
        <v>1282710</v>
      </c>
      <c r="T333" s="2954" t="s">
        <v>3233</v>
      </c>
      <c r="U333" s="2954" t="s">
        <v>3299</v>
      </c>
      <c r="V333" s="2956">
        <v>44499</v>
      </c>
      <c r="W333" s="2954" t="s">
        <v>3051</v>
      </c>
      <c r="X333" s="2954" t="s">
        <v>3046</v>
      </c>
      <c r="Y333" s="2954" t="s">
        <v>3283</v>
      </c>
      <c r="Z333" s="2957">
        <v>43362.415937500002</v>
      </c>
      <c r="AA333" s="2954" t="s">
        <v>3543</v>
      </c>
      <c r="AB333" s="2954" t="s">
        <v>3300</v>
      </c>
      <c r="AC333" s="2954" t="s">
        <v>3544</v>
      </c>
      <c r="AD333" s="2954" t="s">
        <v>3283</v>
      </c>
      <c r="AE333" s="2954" t="s">
        <v>3051</v>
      </c>
      <c r="AF333" s="2954" t="s">
        <v>3283</v>
      </c>
    </row>
    <row r="334" spans="1:32" ht="67.5">
      <c r="A334" s="2954">
        <v>6938</v>
      </c>
      <c r="B334" s="2954" t="s">
        <v>3281</v>
      </c>
      <c r="C334" s="2954" t="s">
        <v>4010</v>
      </c>
      <c r="D334" s="2954" t="s">
        <v>3283</v>
      </c>
      <c r="E334" s="2954" t="s">
        <v>4103</v>
      </c>
      <c r="F334" s="2954" t="s">
        <v>4104</v>
      </c>
      <c r="G334" s="2954" t="s">
        <v>4105</v>
      </c>
      <c r="H334" s="2955">
        <v>1305202</v>
      </c>
      <c r="I334" s="2955">
        <v>11190</v>
      </c>
      <c r="J334" s="2955">
        <v>14631</v>
      </c>
      <c r="K334" s="2959">
        <v>116.64</v>
      </c>
      <c r="L334" s="2955">
        <v>89.21</v>
      </c>
      <c r="M334" s="2954" t="s">
        <v>3233</v>
      </c>
      <c r="N334" s="2954" t="s">
        <v>4013</v>
      </c>
      <c r="O334" s="2954" t="s">
        <v>3441</v>
      </c>
      <c r="P334" s="2954" t="s">
        <v>3289</v>
      </c>
      <c r="Q334" s="2954" t="s">
        <v>4014</v>
      </c>
      <c r="R334" s="2954" t="s">
        <v>3291</v>
      </c>
      <c r="S334" s="2954">
        <v>1305202</v>
      </c>
      <c r="T334" s="2954" t="s">
        <v>3233</v>
      </c>
      <c r="U334" s="2954" t="s">
        <v>3299</v>
      </c>
      <c r="V334" s="2956">
        <v>44499</v>
      </c>
      <c r="W334" s="2954" t="s">
        <v>3051</v>
      </c>
      <c r="X334" s="2954" t="s">
        <v>3046</v>
      </c>
      <c r="Y334" s="2954" t="s">
        <v>3283</v>
      </c>
      <c r="Z334" s="2957">
        <v>43362.415937500002</v>
      </c>
      <c r="AA334" s="2954" t="s">
        <v>3543</v>
      </c>
      <c r="AB334" s="2954" t="s">
        <v>3300</v>
      </c>
      <c r="AC334" s="2954" t="s">
        <v>3544</v>
      </c>
      <c r="AD334" s="2954" t="s">
        <v>3283</v>
      </c>
      <c r="AE334" s="2954" t="s">
        <v>3051</v>
      </c>
      <c r="AF334" s="2954" t="s">
        <v>3283</v>
      </c>
    </row>
    <row r="335" spans="1:32" ht="67.5">
      <c r="A335" s="2954">
        <v>6941</v>
      </c>
      <c r="B335" s="2954" t="s">
        <v>3281</v>
      </c>
      <c r="C335" s="2954" t="s">
        <v>4010</v>
      </c>
      <c r="D335" s="2954" t="s">
        <v>3283</v>
      </c>
      <c r="E335" s="2954" t="s">
        <v>3989</v>
      </c>
      <c r="F335" s="2954" t="s">
        <v>4106</v>
      </c>
      <c r="G335" s="2954" t="s">
        <v>4107</v>
      </c>
      <c r="H335" s="2955">
        <v>1282710</v>
      </c>
      <c r="I335" s="2955">
        <v>11190</v>
      </c>
      <c r="J335" s="2955">
        <v>14631</v>
      </c>
      <c r="K335" s="2959">
        <v>114.63</v>
      </c>
      <c r="L335" s="2955">
        <v>87.67</v>
      </c>
      <c r="M335" s="2954" t="s">
        <v>3233</v>
      </c>
      <c r="N335" s="2954" t="s">
        <v>4017</v>
      </c>
      <c r="O335" s="2954" t="s">
        <v>3441</v>
      </c>
      <c r="P335" s="2954" t="s">
        <v>3289</v>
      </c>
      <c r="Q335" s="2954" t="s">
        <v>4014</v>
      </c>
      <c r="R335" s="2954" t="s">
        <v>3291</v>
      </c>
      <c r="S335" s="2954">
        <v>1282710</v>
      </c>
      <c r="T335" s="2954" t="s">
        <v>3233</v>
      </c>
      <c r="U335" s="2954" t="s">
        <v>3299</v>
      </c>
      <c r="V335" s="2956">
        <v>44499</v>
      </c>
      <c r="W335" s="2954" t="s">
        <v>3051</v>
      </c>
      <c r="X335" s="2954" t="s">
        <v>3046</v>
      </c>
      <c r="Y335" s="2954" t="s">
        <v>3283</v>
      </c>
      <c r="Z335" s="2957">
        <v>43362.415937500002</v>
      </c>
      <c r="AA335" s="2954" t="s">
        <v>3543</v>
      </c>
      <c r="AB335" s="2954" t="s">
        <v>3300</v>
      </c>
      <c r="AC335" s="2954" t="s">
        <v>3544</v>
      </c>
      <c r="AD335" s="2954" t="s">
        <v>3283</v>
      </c>
      <c r="AE335" s="2954" t="s">
        <v>3051</v>
      </c>
      <c r="AF335" s="2954" t="s">
        <v>3283</v>
      </c>
    </row>
    <row r="336" spans="1:32" ht="67.5">
      <c r="A336" s="2954">
        <v>6942</v>
      </c>
      <c r="B336" s="2954" t="s">
        <v>3281</v>
      </c>
      <c r="C336" s="2954" t="s">
        <v>4010</v>
      </c>
      <c r="D336" s="2954" t="s">
        <v>3283</v>
      </c>
      <c r="E336" s="2954" t="s">
        <v>4108</v>
      </c>
      <c r="F336" s="2954" t="s">
        <v>4109</v>
      </c>
      <c r="G336" s="2954" t="s">
        <v>4110</v>
      </c>
      <c r="H336" s="2955">
        <v>1305202</v>
      </c>
      <c r="I336" s="2955">
        <v>11190</v>
      </c>
      <c r="J336" s="2955">
        <v>14631</v>
      </c>
      <c r="K336" s="2959">
        <v>116.64</v>
      </c>
      <c r="L336" s="2955">
        <v>89.21</v>
      </c>
      <c r="M336" s="2954" t="s">
        <v>3233</v>
      </c>
      <c r="N336" s="2954" t="s">
        <v>4013</v>
      </c>
      <c r="O336" s="2954" t="s">
        <v>3441</v>
      </c>
      <c r="P336" s="2954" t="s">
        <v>3289</v>
      </c>
      <c r="Q336" s="2954" t="s">
        <v>4014</v>
      </c>
      <c r="R336" s="2954" t="s">
        <v>3291</v>
      </c>
      <c r="S336" s="2954">
        <v>1305202</v>
      </c>
      <c r="T336" s="2954" t="s">
        <v>3233</v>
      </c>
      <c r="U336" s="2954" t="s">
        <v>3299</v>
      </c>
      <c r="V336" s="2956">
        <v>44499</v>
      </c>
      <c r="W336" s="2954" t="s">
        <v>3051</v>
      </c>
      <c r="X336" s="2954" t="s">
        <v>3046</v>
      </c>
      <c r="Y336" s="2954" t="s">
        <v>3283</v>
      </c>
      <c r="Z336" s="2957">
        <v>43362.415937500002</v>
      </c>
      <c r="AA336" s="2954" t="s">
        <v>3543</v>
      </c>
      <c r="AB336" s="2954" t="s">
        <v>3300</v>
      </c>
      <c r="AC336" s="2954" t="s">
        <v>3544</v>
      </c>
      <c r="AD336" s="2954" t="s">
        <v>3283</v>
      </c>
      <c r="AE336" s="2954" t="s">
        <v>3051</v>
      </c>
      <c r="AF336" s="2954" t="s">
        <v>3283</v>
      </c>
    </row>
    <row r="337" spans="1:32" ht="67.5">
      <c r="A337" s="2954">
        <v>6945</v>
      </c>
      <c r="B337" s="2954" t="s">
        <v>3281</v>
      </c>
      <c r="C337" s="2954" t="s">
        <v>4010</v>
      </c>
      <c r="D337" s="2954" t="s">
        <v>3283</v>
      </c>
      <c r="E337" s="2954" t="s">
        <v>3992</v>
      </c>
      <c r="F337" s="2954" t="s">
        <v>4111</v>
      </c>
      <c r="G337" s="2954" t="s">
        <v>4112</v>
      </c>
      <c r="H337" s="2955">
        <v>1282710</v>
      </c>
      <c r="I337" s="2955">
        <v>11190</v>
      </c>
      <c r="J337" s="2955">
        <v>14631</v>
      </c>
      <c r="K337" s="2959">
        <v>114.63</v>
      </c>
      <c r="L337" s="2955">
        <v>87.67</v>
      </c>
      <c r="M337" s="2954" t="s">
        <v>3233</v>
      </c>
      <c r="N337" s="2954" t="s">
        <v>4017</v>
      </c>
      <c r="O337" s="2954" t="s">
        <v>3441</v>
      </c>
      <c r="P337" s="2954" t="s">
        <v>3289</v>
      </c>
      <c r="Q337" s="2954" t="s">
        <v>4014</v>
      </c>
      <c r="R337" s="2954" t="s">
        <v>3291</v>
      </c>
      <c r="S337" s="2954">
        <v>1282710</v>
      </c>
      <c r="T337" s="2954" t="s">
        <v>3233</v>
      </c>
      <c r="U337" s="2954" t="s">
        <v>3299</v>
      </c>
      <c r="V337" s="2956">
        <v>44499</v>
      </c>
      <c r="W337" s="2954" t="s">
        <v>3051</v>
      </c>
      <c r="X337" s="2954" t="s">
        <v>3046</v>
      </c>
      <c r="Y337" s="2954" t="s">
        <v>3283</v>
      </c>
      <c r="Z337" s="2957">
        <v>43362.415937500002</v>
      </c>
      <c r="AA337" s="2954" t="s">
        <v>3543</v>
      </c>
      <c r="AB337" s="2954" t="s">
        <v>3300</v>
      </c>
      <c r="AC337" s="2954" t="s">
        <v>3544</v>
      </c>
      <c r="AD337" s="2954" t="s">
        <v>3283</v>
      </c>
      <c r="AE337" s="2954" t="s">
        <v>3051</v>
      </c>
      <c r="AF337" s="2954" t="s">
        <v>3283</v>
      </c>
    </row>
    <row r="338" spans="1:32" ht="67.5">
      <c r="A338" s="2954">
        <v>6946</v>
      </c>
      <c r="B338" s="2954" t="s">
        <v>3281</v>
      </c>
      <c r="C338" s="2954" t="s">
        <v>4010</v>
      </c>
      <c r="D338" s="2954" t="s">
        <v>3283</v>
      </c>
      <c r="E338" s="2954" t="s">
        <v>4113</v>
      </c>
      <c r="F338" s="2954" t="s">
        <v>4114</v>
      </c>
      <c r="G338" s="2954" t="s">
        <v>4115</v>
      </c>
      <c r="H338" s="2955">
        <v>1302869</v>
      </c>
      <c r="I338" s="2955">
        <v>11170</v>
      </c>
      <c r="J338" s="2955">
        <v>14605</v>
      </c>
      <c r="K338" s="2959">
        <v>116.64</v>
      </c>
      <c r="L338" s="2955">
        <v>89.21</v>
      </c>
      <c r="M338" s="2954" t="s">
        <v>3233</v>
      </c>
      <c r="N338" s="2954" t="s">
        <v>4013</v>
      </c>
      <c r="O338" s="2954" t="s">
        <v>3441</v>
      </c>
      <c r="P338" s="2954" t="s">
        <v>3289</v>
      </c>
      <c r="Q338" s="2954" t="s">
        <v>4014</v>
      </c>
      <c r="R338" s="2954" t="s">
        <v>3291</v>
      </c>
      <c r="S338" s="2954">
        <v>1302869</v>
      </c>
      <c r="T338" s="2954" t="s">
        <v>3233</v>
      </c>
      <c r="U338" s="2954" t="s">
        <v>3299</v>
      </c>
      <c r="V338" s="2956">
        <v>44499</v>
      </c>
      <c r="W338" s="2954" t="s">
        <v>3051</v>
      </c>
      <c r="X338" s="2954" t="s">
        <v>3046</v>
      </c>
      <c r="Y338" s="2954" t="s">
        <v>3283</v>
      </c>
      <c r="Z338" s="2957">
        <v>43362.415937500002</v>
      </c>
      <c r="AA338" s="2954" t="s">
        <v>3543</v>
      </c>
      <c r="AB338" s="2954" t="s">
        <v>3300</v>
      </c>
      <c r="AC338" s="2954" t="s">
        <v>3544</v>
      </c>
      <c r="AD338" s="2954" t="s">
        <v>3283</v>
      </c>
      <c r="AE338" s="2954" t="s">
        <v>3051</v>
      </c>
      <c r="AF338" s="2954" t="s">
        <v>3283</v>
      </c>
    </row>
    <row r="339" spans="1:32" ht="67.5">
      <c r="A339" s="2954">
        <v>6949</v>
      </c>
      <c r="B339" s="2954" t="s">
        <v>3281</v>
      </c>
      <c r="C339" s="2954" t="s">
        <v>4010</v>
      </c>
      <c r="D339" s="2954" t="s">
        <v>3283</v>
      </c>
      <c r="E339" s="2954" t="s">
        <v>3995</v>
      </c>
      <c r="F339" s="2954" t="s">
        <v>4116</v>
      </c>
      <c r="G339" s="2954" t="s">
        <v>4117</v>
      </c>
      <c r="H339" s="2955">
        <v>1280417</v>
      </c>
      <c r="I339" s="2955">
        <v>11170</v>
      </c>
      <c r="J339" s="2955">
        <v>14605</v>
      </c>
      <c r="K339" s="2959">
        <v>114.63</v>
      </c>
      <c r="L339" s="2955">
        <v>87.67</v>
      </c>
      <c r="M339" s="2954" t="s">
        <v>3233</v>
      </c>
      <c r="N339" s="2954" t="s">
        <v>4017</v>
      </c>
      <c r="O339" s="2954" t="s">
        <v>3441</v>
      </c>
      <c r="P339" s="2954" t="s">
        <v>3289</v>
      </c>
      <c r="Q339" s="2954" t="s">
        <v>4014</v>
      </c>
      <c r="R339" s="2954" t="s">
        <v>3291</v>
      </c>
      <c r="S339" s="2954">
        <v>1280417</v>
      </c>
      <c r="T339" s="2954" t="s">
        <v>3233</v>
      </c>
      <c r="U339" s="2954" t="s">
        <v>3299</v>
      </c>
      <c r="V339" s="2956">
        <v>44499</v>
      </c>
      <c r="W339" s="2954" t="s">
        <v>3051</v>
      </c>
      <c r="X339" s="2954" t="s">
        <v>3046</v>
      </c>
      <c r="Y339" s="2954" t="s">
        <v>3283</v>
      </c>
      <c r="Z339" s="2957">
        <v>43362.415937500002</v>
      </c>
      <c r="AA339" s="2954" t="s">
        <v>3543</v>
      </c>
      <c r="AB339" s="2954" t="s">
        <v>3300</v>
      </c>
      <c r="AC339" s="2954" t="s">
        <v>3544</v>
      </c>
      <c r="AD339" s="2954" t="s">
        <v>3283</v>
      </c>
      <c r="AE339" s="2954" t="s">
        <v>3051</v>
      </c>
      <c r="AF339" s="2954" t="s">
        <v>3283</v>
      </c>
    </row>
    <row r="340" spans="1:32" ht="67.5">
      <c r="A340" s="2954">
        <v>6950</v>
      </c>
      <c r="B340" s="2954" t="s">
        <v>3281</v>
      </c>
      <c r="C340" s="2954" t="s">
        <v>4010</v>
      </c>
      <c r="D340" s="2954" t="s">
        <v>3283</v>
      </c>
      <c r="E340" s="2954" t="s">
        <v>4118</v>
      </c>
      <c r="F340" s="2954" t="s">
        <v>4119</v>
      </c>
      <c r="G340" s="2954" t="s">
        <v>4120</v>
      </c>
      <c r="H340" s="2955">
        <v>1302869</v>
      </c>
      <c r="I340" s="2955">
        <v>11170</v>
      </c>
      <c r="J340" s="2955">
        <v>14605</v>
      </c>
      <c r="K340" s="2959">
        <v>116.64</v>
      </c>
      <c r="L340" s="2955">
        <v>89.21</v>
      </c>
      <c r="M340" s="2954" t="s">
        <v>3233</v>
      </c>
      <c r="N340" s="2954" t="s">
        <v>4013</v>
      </c>
      <c r="O340" s="2954" t="s">
        <v>3441</v>
      </c>
      <c r="P340" s="2954" t="s">
        <v>3289</v>
      </c>
      <c r="Q340" s="2954" t="s">
        <v>4014</v>
      </c>
      <c r="R340" s="2954" t="s">
        <v>3291</v>
      </c>
      <c r="S340" s="2954">
        <v>1302869</v>
      </c>
      <c r="T340" s="2954" t="s">
        <v>3233</v>
      </c>
      <c r="U340" s="2954" t="s">
        <v>3299</v>
      </c>
      <c r="V340" s="2956">
        <v>44499</v>
      </c>
      <c r="W340" s="2954" t="s">
        <v>3051</v>
      </c>
      <c r="X340" s="2954" t="s">
        <v>3046</v>
      </c>
      <c r="Y340" s="2954" t="s">
        <v>3283</v>
      </c>
      <c r="Z340" s="2957">
        <v>43362.415937500002</v>
      </c>
      <c r="AA340" s="2954" t="s">
        <v>3543</v>
      </c>
      <c r="AB340" s="2954" t="s">
        <v>3300</v>
      </c>
      <c r="AC340" s="2954" t="s">
        <v>3544</v>
      </c>
      <c r="AD340" s="2954" t="s">
        <v>3283</v>
      </c>
      <c r="AE340" s="2954" t="s">
        <v>3051</v>
      </c>
      <c r="AF340" s="2954" t="s">
        <v>3283</v>
      </c>
    </row>
    <row r="341" spans="1:32" ht="67.5">
      <c r="A341" s="2954">
        <v>6953</v>
      </c>
      <c r="B341" s="2954" t="s">
        <v>3281</v>
      </c>
      <c r="C341" s="2954" t="s">
        <v>4010</v>
      </c>
      <c r="D341" s="2954" t="s">
        <v>3283</v>
      </c>
      <c r="E341" s="2954" t="s">
        <v>4002</v>
      </c>
      <c r="F341" s="2954" t="s">
        <v>4121</v>
      </c>
      <c r="G341" s="2954" t="s">
        <v>4122</v>
      </c>
      <c r="H341" s="2955">
        <v>1280417</v>
      </c>
      <c r="I341" s="2955">
        <v>11170</v>
      </c>
      <c r="J341" s="2955">
        <v>14605</v>
      </c>
      <c r="K341" s="2959">
        <v>114.63</v>
      </c>
      <c r="L341" s="2955">
        <v>87.67</v>
      </c>
      <c r="M341" s="2954" t="s">
        <v>3233</v>
      </c>
      <c r="N341" s="2954" t="s">
        <v>4017</v>
      </c>
      <c r="O341" s="2954" t="s">
        <v>3441</v>
      </c>
      <c r="P341" s="2954" t="s">
        <v>3289</v>
      </c>
      <c r="Q341" s="2954" t="s">
        <v>4014</v>
      </c>
      <c r="R341" s="2954" t="s">
        <v>3291</v>
      </c>
      <c r="S341" s="2954">
        <v>1280417</v>
      </c>
      <c r="T341" s="2954" t="s">
        <v>3233</v>
      </c>
      <c r="U341" s="2954" t="s">
        <v>3299</v>
      </c>
      <c r="V341" s="2956">
        <v>44499</v>
      </c>
      <c r="W341" s="2954" t="s">
        <v>3051</v>
      </c>
      <c r="X341" s="2954" t="s">
        <v>3046</v>
      </c>
      <c r="Y341" s="2954" t="s">
        <v>3283</v>
      </c>
      <c r="Z341" s="2957">
        <v>43362.415937500002</v>
      </c>
      <c r="AA341" s="2954" t="s">
        <v>3543</v>
      </c>
      <c r="AB341" s="2954" t="s">
        <v>3300</v>
      </c>
      <c r="AC341" s="2954" t="s">
        <v>3544</v>
      </c>
      <c r="AD341" s="2954" t="s">
        <v>3283</v>
      </c>
      <c r="AE341" s="2954" t="s">
        <v>3051</v>
      </c>
      <c r="AF341" s="2954" t="s">
        <v>3283</v>
      </c>
    </row>
    <row r="342" spans="1:32" ht="67.5">
      <c r="A342" s="2954">
        <v>6954</v>
      </c>
      <c r="B342" s="2954" t="s">
        <v>3281</v>
      </c>
      <c r="C342" s="2954" t="s">
        <v>4010</v>
      </c>
      <c r="D342" s="2954" t="s">
        <v>3283</v>
      </c>
      <c r="E342" s="2954" t="s">
        <v>3852</v>
      </c>
      <c r="F342" s="2954" t="s">
        <v>4123</v>
      </c>
      <c r="G342" s="2954" t="s">
        <v>4124</v>
      </c>
      <c r="H342" s="2955">
        <v>1302869</v>
      </c>
      <c r="I342" s="2955">
        <v>11170</v>
      </c>
      <c r="J342" s="2955">
        <v>14605</v>
      </c>
      <c r="K342" s="2959">
        <v>116.64</v>
      </c>
      <c r="L342" s="2955">
        <v>89.21</v>
      </c>
      <c r="M342" s="2954" t="s">
        <v>3233</v>
      </c>
      <c r="N342" s="2954" t="s">
        <v>4013</v>
      </c>
      <c r="O342" s="2954" t="s">
        <v>3441</v>
      </c>
      <c r="P342" s="2954" t="s">
        <v>3289</v>
      </c>
      <c r="Q342" s="2954" t="s">
        <v>4014</v>
      </c>
      <c r="R342" s="2954" t="s">
        <v>3291</v>
      </c>
      <c r="S342" s="2954">
        <v>1302869</v>
      </c>
      <c r="T342" s="2954" t="s">
        <v>3233</v>
      </c>
      <c r="U342" s="2954" t="s">
        <v>3299</v>
      </c>
      <c r="V342" s="2956">
        <v>44499</v>
      </c>
      <c r="W342" s="2954" t="s">
        <v>3051</v>
      </c>
      <c r="X342" s="2954" t="s">
        <v>3046</v>
      </c>
      <c r="Y342" s="2954" t="s">
        <v>3283</v>
      </c>
      <c r="Z342" s="2957">
        <v>43362.415937500002</v>
      </c>
      <c r="AA342" s="2954" t="s">
        <v>3543</v>
      </c>
      <c r="AB342" s="2954" t="s">
        <v>3300</v>
      </c>
      <c r="AC342" s="2954" t="s">
        <v>3544</v>
      </c>
      <c r="AD342" s="2954" t="s">
        <v>3283</v>
      </c>
      <c r="AE342" s="2954" t="s">
        <v>3051</v>
      </c>
      <c r="AF342" s="2954" t="s">
        <v>3283</v>
      </c>
    </row>
    <row r="343" spans="1:32" ht="67.5">
      <c r="A343" s="2954">
        <v>6957</v>
      </c>
      <c r="B343" s="2954" t="s">
        <v>3281</v>
      </c>
      <c r="C343" s="2954" t="s">
        <v>4010</v>
      </c>
      <c r="D343" s="2954" t="s">
        <v>3283</v>
      </c>
      <c r="E343" s="2954" t="s">
        <v>3666</v>
      </c>
      <c r="F343" s="2954" t="s">
        <v>4125</v>
      </c>
      <c r="G343" s="2954" t="s">
        <v>4126</v>
      </c>
      <c r="H343" s="2955">
        <v>1280417</v>
      </c>
      <c r="I343" s="2955">
        <v>11170</v>
      </c>
      <c r="J343" s="2955">
        <v>14605</v>
      </c>
      <c r="K343" s="2959">
        <v>114.63</v>
      </c>
      <c r="L343" s="2955">
        <v>87.67</v>
      </c>
      <c r="M343" s="2954" t="s">
        <v>3233</v>
      </c>
      <c r="N343" s="2954" t="s">
        <v>4017</v>
      </c>
      <c r="O343" s="2954" t="s">
        <v>3441</v>
      </c>
      <c r="P343" s="2954" t="s">
        <v>3289</v>
      </c>
      <c r="Q343" s="2954" t="s">
        <v>4014</v>
      </c>
      <c r="R343" s="2954" t="s">
        <v>3291</v>
      </c>
      <c r="S343" s="2954">
        <v>1280417</v>
      </c>
      <c r="T343" s="2954" t="s">
        <v>3233</v>
      </c>
      <c r="U343" s="2954" t="s">
        <v>3299</v>
      </c>
      <c r="V343" s="2956">
        <v>44499</v>
      </c>
      <c r="W343" s="2954" t="s">
        <v>3051</v>
      </c>
      <c r="X343" s="2954" t="s">
        <v>3046</v>
      </c>
      <c r="Y343" s="2954" t="s">
        <v>3283</v>
      </c>
      <c r="Z343" s="2957">
        <v>43362.415937500002</v>
      </c>
      <c r="AA343" s="2954" t="s">
        <v>3543</v>
      </c>
      <c r="AB343" s="2954" t="s">
        <v>3300</v>
      </c>
      <c r="AC343" s="2954" t="s">
        <v>3544</v>
      </c>
      <c r="AD343" s="2954" t="s">
        <v>3283</v>
      </c>
      <c r="AE343" s="2954" t="s">
        <v>3051</v>
      </c>
      <c r="AF343" s="2954" t="s">
        <v>3283</v>
      </c>
    </row>
    <row r="344" spans="1:32" ht="67.5">
      <c r="A344" s="2954">
        <v>6958</v>
      </c>
      <c r="B344" s="2954" t="s">
        <v>3281</v>
      </c>
      <c r="C344" s="2954" t="s">
        <v>4010</v>
      </c>
      <c r="D344" s="2954" t="s">
        <v>3283</v>
      </c>
      <c r="E344" s="2954" t="s">
        <v>3669</v>
      </c>
      <c r="F344" s="2954" t="s">
        <v>4421</v>
      </c>
      <c r="G344" s="2954" t="s">
        <v>4127</v>
      </c>
      <c r="H344" s="2955">
        <v>1291205</v>
      </c>
      <c r="I344" s="2955">
        <v>11070</v>
      </c>
      <c r="J344" s="2955">
        <v>14474</v>
      </c>
      <c r="K344" s="2959">
        <v>116.64</v>
      </c>
      <c r="L344" s="2955">
        <v>89.21</v>
      </c>
      <c r="M344" s="2954" t="s">
        <v>3233</v>
      </c>
      <c r="N344" s="2954" t="s">
        <v>4013</v>
      </c>
      <c r="O344" s="2954" t="s">
        <v>3441</v>
      </c>
      <c r="P344" s="2954" t="s">
        <v>3289</v>
      </c>
      <c r="Q344" s="2954" t="s">
        <v>4014</v>
      </c>
      <c r="R344" s="2954" t="s">
        <v>3291</v>
      </c>
      <c r="S344" s="2954">
        <v>1291205</v>
      </c>
      <c r="T344" s="2954" t="s">
        <v>3233</v>
      </c>
      <c r="U344" s="2954" t="s">
        <v>3299</v>
      </c>
      <c r="V344" s="2956">
        <v>44499</v>
      </c>
      <c r="W344" s="2954" t="s">
        <v>3051</v>
      </c>
      <c r="X344" s="2954" t="s">
        <v>3046</v>
      </c>
      <c r="Y344" s="2954" t="s">
        <v>3283</v>
      </c>
      <c r="Z344" s="2957">
        <v>43362.415937500002</v>
      </c>
      <c r="AA344" s="2954" t="s">
        <v>3543</v>
      </c>
      <c r="AB344" s="2954" t="s">
        <v>3673</v>
      </c>
      <c r="AC344" s="2954" t="s">
        <v>3544</v>
      </c>
      <c r="AD344" s="2954" t="s">
        <v>3283</v>
      </c>
      <c r="AE344" s="2954" t="s">
        <v>3051</v>
      </c>
      <c r="AF344" s="2954" t="s">
        <v>3283</v>
      </c>
    </row>
    <row r="345" spans="1:32" s="2968" customFormat="1">
      <c r="A345" s="2964"/>
      <c r="B345" s="2964"/>
      <c r="C345" s="2964"/>
      <c r="D345" s="2964"/>
      <c r="E345" s="2964"/>
      <c r="F345" s="2964" t="s">
        <v>4422</v>
      </c>
      <c r="G345" s="2964"/>
      <c r="H345" s="2965"/>
      <c r="I345" s="2965"/>
      <c r="J345" s="2965"/>
      <c r="K345" s="2965">
        <f>SUM(K294:K344)</f>
        <v>5898.3900000000031</v>
      </c>
      <c r="L345" s="2965"/>
      <c r="M345" s="2964"/>
      <c r="N345" s="2964"/>
      <c r="O345" s="2964"/>
      <c r="P345" s="2964"/>
      <c r="Q345" s="2964"/>
      <c r="R345" s="2964"/>
      <c r="S345" s="2964"/>
      <c r="T345" s="2964"/>
      <c r="U345" s="2964"/>
      <c r="V345" s="2966"/>
      <c r="W345" s="2964"/>
      <c r="X345" s="2964"/>
      <c r="Y345" s="2964"/>
      <c r="Z345" s="2967"/>
      <c r="AA345" s="2964"/>
      <c r="AB345" s="2964"/>
      <c r="AC345" s="2964"/>
      <c r="AD345" s="2964"/>
      <c r="AE345" s="2964"/>
      <c r="AF345" s="2964"/>
    </row>
    <row r="346" spans="1:32" ht="67.5">
      <c r="A346" s="2954">
        <v>6962</v>
      </c>
      <c r="B346" s="2954" t="s">
        <v>3281</v>
      </c>
      <c r="C346" s="2954" t="s">
        <v>4128</v>
      </c>
      <c r="D346" s="2954" t="s">
        <v>3283</v>
      </c>
      <c r="E346" s="2954" t="s">
        <v>3296</v>
      </c>
      <c r="F346" s="2954" t="s">
        <v>4129</v>
      </c>
      <c r="G346" s="2954" t="s">
        <v>4130</v>
      </c>
      <c r="H346" s="2955">
        <v>1252818</v>
      </c>
      <c r="I346" s="2955">
        <v>10980</v>
      </c>
      <c r="J346" s="2955">
        <v>13900</v>
      </c>
      <c r="K346" s="2959">
        <v>114.1</v>
      </c>
      <c r="L346" s="2955">
        <v>90.13</v>
      </c>
      <c r="M346" s="2954" t="s">
        <v>3233</v>
      </c>
      <c r="N346" s="2954" t="s">
        <v>3672</v>
      </c>
      <c r="O346" s="2954" t="s">
        <v>3441</v>
      </c>
      <c r="P346" s="2954" t="s">
        <v>3289</v>
      </c>
      <c r="Q346" s="2954" t="s">
        <v>4131</v>
      </c>
      <c r="R346" s="2954" t="s">
        <v>3291</v>
      </c>
      <c r="S346" s="2954">
        <v>1252818</v>
      </c>
      <c r="T346" s="2954" t="s">
        <v>3233</v>
      </c>
      <c r="U346" s="2954" t="s">
        <v>3299</v>
      </c>
      <c r="V346" s="2956">
        <v>44499</v>
      </c>
      <c r="W346" s="2954" t="s">
        <v>3051</v>
      </c>
      <c r="X346" s="2954" t="s">
        <v>3046</v>
      </c>
      <c r="Y346" s="2954" t="s">
        <v>3283</v>
      </c>
      <c r="Z346" s="2957">
        <v>43596.392268518503</v>
      </c>
      <c r="AA346" s="2954" t="s">
        <v>3543</v>
      </c>
      <c r="AB346" s="2954" t="s">
        <v>3300</v>
      </c>
      <c r="AC346" s="2954" t="s">
        <v>3544</v>
      </c>
      <c r="AD346" s="2954" t="s">
        <v>3283</v>
      </c>
      <c r="AE346" s="2954" t="s">
        <v>3051</v>
      </c>
      <c r="AF346" s="2954" t="s">
        <v>3283</v>
      </c>
    </row>
    <row r="347" spans="1:32" ht="67.5">
      <c r="A347" s="2954">
        <v>6963</v>
      </c>
      <c r="B347" s="2954" t="s">
        <v>3281</v>
      </c>
      <c r="C347" s="2954" t="s">
        <v>4128</v>
      </c>
      <c r="D347" s="2954" t="s">
        <v>3283</v>
      </c>
      <c r="E347" s="2954" t="s">
        <v>3301</v>
      </c>
      <c r="F347" s="2954" t="s">
        <v>4132</v>
      </c>
      <c r="G347" s="2954" t="s">
        <v>4133</v>
      </c>
      <c r="H347" s="2955">
        <v>1241042</v>
      </c>
      <c r="I347" s="2955">
        <v>10480</v>
      </c>
      <c r="J347" s="2955">
        <v>13268</v>
      </c>
      <c r="K347" s="2959">
        <v>118.42</v>
      </c>
      <c r="L347" s="2955">
        <v>93.54</v>
      </c>
      <c r="M347" s="2954" t="s">
        <v>3233</v>
      </c>
      <c r="N347" s="2954" t="s">
        <v>3547</v>
      </c>
      <c r="O347" s="2954" t="s">
        <v>3441</v>
      </c>
      <c r="P347" s="2954" t="s">
        <v>3289</v>
      </c>
      <c r="Q347" s="2954" t="s">
        <v>4131</v>
      </c>
      <c r="R347" s="2954" t="s">
        <v>3291</v>
      </c>
      <c r="S347" s="2954">
        <v>1241042</v>
      </c>
      <c r="T347" s="2954" t="s">
        <v>3233</v>
      </c>
      <c r="U347" s="2954" t="s">
        <v>3299</v>
      </c>
      <c r="V347" s="2956">
        <v>44499</v>
      </c>
      <c r="W347" s="2954" t="s">
        <v>3051</v>
      </c>
      <c r="X347" s="2954" t="s">
        <v>3046</v>
      </c>
      <c r="Y347" s="2954" t="s">
        <v>3283</v>
      </c>
      <c r="Z347" s="2957">
        <v>43596.392268518503</v>
      </c>
      <c r="AA347" s="2954" t="s">
        <v>3543</v>
      </c>
      <c r="AB347" s="2954" t="s">
        <v>3300</v>
      </c>
      <c r="AC347" s="2954" t="s">
        <v>3544</v>
      </c>
      <c r="AD347" s="2954" t="s">
        <v>3283</v>
      </c>
      <c r="AE347" s="2954" t="s">
        <v>3051</v>
      </c>
      <c r="AF347" s="2954" t="s">
        <v>3283</v>
      </c>
    </row>
    <row r="348" spans="1:32" ht="67.5">
      <c r="A348" s="2954">
        <v>6964</v>
      </c>
      <c r="B348" s="2954" t="s">
        <v>3281</v>
      </c>
      <c r="C348" s="2954" t="s">
        <v>4128</v>
      </c>
      <c r="D348" s="2954" t="s">
        <v>3283</v>
      </c>
      <c r="E348" s="2954" t="s">
        <v>3683</v>
      </c>
      <c r="F348" s="2954" t="s">
        <v>4134</v>
      </c>
      <c r="G348" s="2954" t="s">
        <v>4135</v>
      </c>
      <c r="H348" s="2955">
        <v>1241042</v>
      </c>
      <c r="I348" s="2955">
        <v>10480</v>
      </c>
      <c r="J348" s="2955">
        <v>13268</v>
      </c>
      <c r="K348" s="2959">
        <v>118.42</v>
      </c>
      <c r="L348" s="2955">
        <v>93.54</v>
      </c>
      <c r="M348" s="2954" t="s">
        <v>3233</v>
      </c>
      <c r="N348" s="2954" t="s">
        <v>3551</v>
      </c>
      <c r="O348" s="2954" t="s">
        <v>3441</v>
      </c>
      <c r="P348" s="2954" t="s">
        <v>3289</v>
      </c>
      <c r="Q348" s="2954" t="s">
        <v>4131</v>
      </c>
      <c r="R348" s="2954" t="s">
        <v>3291</v>
      </c>
      <c r="S348" s="2954">
        <v>1241042</v>
      </c>
      <c r="T348" s="2954" t="s">
        <v>3233</v>
      </c>
      <c r="U348" s="2954" t="s">
        <v>3299</v>
      </c>
      <c r="V348" s="2956">
        <v>44499</v>
      </c>
      <c r="W348" s="2954" t="s">
        <v>3051</v>
      </c>
      <c r="X348" s="2954" t="s">
        <v>3046</v>
      </c>
      <c r="Y348" s="2954" t="s">
        <v>3283</v>
      </c>
      <c r="Z348" s="2957">
        <v>43596.392268518503</v>
      </c>
      <c r="AA348" s="2954" t="s">
        <v>3543</v>
      </c>
      <c r="AB348" s="2954" t="s">
        <v>3300</v>
      </c>
      <c r="AC348" s="2954" t="s">
        <v>3544</v>
      </c>
      <c r="AD348" s="2954" t="s">
        <v>3283</v>
      </c>
      <c r="AE348" s="2954" t="s">
        <v>3051</v>
      </c>
      <c r="AF348" s="2954" t="s">
        <v>3283</v>
      </c>
    </row>
    <row r="349" spans="1:32" ht="67.5">
      <c r="A349" s="2954">
        <v>6965</v>
      </c>
      <c r="B349" s="2954" t="s">
        <v>3281</v>
      </c>
      <c r="C349" s="2954" t="s">
        <v>4128</v>
      </c>
      <c r="D349" s="2954" t="s">
        <v>3283</v>
      </c>
      <c r="E349" s="2954" t="s">
        <v>3538</v>
      </c>
      <c r="F349" s="2954" t="s">
        <v>4136</v>
      </c>
      <c r="G349" s="2954" t="s">
        <v>4137</v>
      </c>
      <c r="H349" s="2955">
        <v>1252818</v>
      </c>
      <c r="I349" s="2955">
        <v>10980</v>
      </c>
      <c r="J349" s="2955">
        <v>13900</v>
      </c>
      <c r="K349" s="2959">
        <v>114.1</v>
      </c>
      <c r="L349" s="2955">
        <v>90.13</v>
      </c>
      <c r="M349" s="2954" t="s">
        <v>3233</v>
      </c>
      <c r="N349" s="2954" t="s">
        <v>3541</v>
      </c>
      <c r="O349" s="2954" t="s">
        <v>3441</v>
      </c>
      <c r="P349" s="2954" t="s">
        <v>3289</v>
      </c>
      <c r="Q349" s="2954" t="s">
        <v>4131</v>
      </c>
      <c r="R349" s="2954" t="s">
        <v>3291</v>
      </c>
      <c r="S349" s="2954">
        <v>1252818</v>
      </c>
      <c r="T349" s="2954" t="s">
        <v>3233</v>
      </c>
      <c r="U349" s="2954" t="s">
        <v>3299</v>
      </c>
      <c r="V349" s="2956">
        <v>44499</v>
      </c>
      <c r="W349" s="2954" t="s">
        <v>3051</v>
      </c>
      <c r="X349" s="2954" t="s">
        <v>3046</v>
      </c>
      <c r="Y349" s="2954" t="s">
        <v>3283</v>
      </c>
      <c r="Z349" s="2957">
        <v>43596.392268518503</v>
      </c>
      <c r="AA349" s="2954" t="s">
        <v>3543</v>
      </c>
      <c r="AB349" s="2954" t="s">
        <v>3300</v>
      </c>
      <c r="AC349" s="2954" t="s">
        <v>3544</v>
      </c>
      <c r="AD349" s="2954" t="s">
        <v>3283</v>
      </c>
      <c r="AE349" s="2954" t="s">
        <v>3051</v>
      </c>
      <c r="AF349" s="2954" t="s">
        <v>3283</v>
      </c>
    </row>
    <row r="350" spans="1:32" ht="67.5">
      <c r="A350" s="2954">
        <v>6966</v>
      </c>
      <c r="B350" s="2954" t="s">
        <v>3281</v>
      </c>
      <c r="C350" s="2954" t="s">
        <v>4128</v>
      </c>
      <c r="D350" s="2954" t="s">
        <v>3283</v>
      </c>
      <c r="E350" s="2954" t="s">
        <v>3305</v>
      </c>
      <c r="F350" s="2954" t="s">
        <v>4138</v>
      </c>
      <c r="G350" s="2954" t="s">
        <v>4139</v>
      </c>
      <c r="H350" s="2955">
        <v>1255100</v>
      </c>
      <c r="I350" s="2955">
        <v>11000</v>
      </c>
      <c r="J350" s="2955">
        <v>13925</v>
      </c>
      <c r="K350" s="2959">
        <v>114.1</v>
      </c>
      <c r="L350" s="2955">
        <v>90.13</v>
      </c>
      <c r="M350" s="2954" t="s">
        <v>3233</v>
      </c>
      <c r="N350" s="2954" t="s">
        <v>3672</v>
      </c>
      <c r="O350" s="2954" t="s">
        <v>3441</v>
      </c>
      <c r="P350" s="2954" t="s">
        <v>3289</v>
      </c>
      <c r="Q350" s="2954" t="s">
        <v>4131</v>
      </c>
      <c r="R350" s="2954" t="s">
        <v>3291</v>
      </c>
      <c r="S350" s="2954">
        <v>1255100</v>
      </c>
      <c r="T350" s="2954" t="s">
        <v>3233</v>
      </c>
      <c r="U350" s="2954" t="s">
        <v>3299</v>
      </c>
      <c r="V350" s="2956">
        <v>44499</v>
      </c>
      <c r="W350" s="2954" t="s">
        <v>3051</v>
      </c>
      <c r="X350" s="2954" t="s">
        <v>3046</v>
      </c>
      <c r="Y350" s="2954" t="s">
        <v>3283</v>
      </c>
      <c r="Z350" s="2957">
        <v>43596.392268518503</v>
      </c>
      <c r="AA350" s="2954" t="s">
        <v>3543</v>
      </c>
      <c r="AB350" s="2954" t="s">
        <v>3300</v>
      </c>
      <c r="AC350" s="2954" t="s">
        <v>3544</v>
      </c>
      <c r="AD350" s="2954" t="s">
        <v>3283</v>
      </c>
      <c r="AE350" s="2954" t="s">
        <v>3051</v>
      </c>
      <c r="AF350" s="2954" t="s">
        <v>3283</v>
      </c>
    </row>
    <row r="351" spans="1:32" ht="67.5">
      <c r="A351" s="2954">
        <v>6967</v>
      </c>
      <c r="B351" s="2954" t="s">
        <v>3281</v>
      </c>
      <c r="C351" s="2954" t="s">
        <v>4128</v>
      </c>
      <c r="D351" s="2954" t="s">
        <v>3283</v>
      </c>
      <c r="E351" s="2954" t="s">
        <v>3308</v>
      </c>
      <c r="F351" s="2954" t="s">
        <v>4140</v>
      </c>
      <c r="G351" s="2954" t="s">
        <v>4141</v>
      </c>
      <c r="H351" s="2955">
        <v>1243410</v>
      </c>
      <c r="I351" s="2955">
        <v>10500</v>
      </c>
      <c r="J351" s="2955">
        <v>13293</v>
      </c>
      <c r="K351" s="2959">
        <v>118.42</v>
      </c>
      <c r="L351" s="2955">
        <v>93.54</v>
      </c>
      <c r="M351" s="2954" t="s">
        <v>3233</v>
      </c>
      <c r="N351" s="2954" t="s">
        <v>3547</v>
      </c>
      <c r="O351" s="2954" t="s">
        <v>3441</v>
      </c>
      <c r="P351" s="2954" t="s">
        <v>3289</v>
      </c>
      <c r="Q351" s="2954" t="s">
        <v>4131</v>
      </c>
      <c r="R351" s="2954" t="s">
        <v>3291</v>
      </c>
      <c r="S351" s="2954">
        <v>1243410</v>
      </c>
      <c r="T351" s="2954" t="s">
        <v>3233</v>
      </c>
      <c r="U351" s="2954" t="s">
        <v>3299</v>
      </c>
      <c r="V351" s="2956">
        <v>44499</v>
      </c>
      <c r="W351" s="2954" t="s">
        <v>3051</v>
      </c>
      <c r="X351" s="2954" t="s">
        <v>3046</v>
      </c>
      <c r="Y351" s="2954" t="s">
        <v>3283</v>
      </c>
      <c r="Z351" s="2957">
        <v>43596.392268518503</v>
      </c>
      <c r="AA351" s="2954" t="s">
        <v>3543</v>
      </c>
      <c r="AB351" s="2954" t="s">
        <v>3300</v>
      </c>
      <c r="AC351" s="2954" t="s">
        <v>3544</v>
      </c>
      <c r="AD351" s="2954" t="s">
        <v>3283</v>
      </c>
      <c r="AE351" s="2954" t="s">
        <v>3051</v>
      </c>
      <c r="AF351" s="2954" t="s">
        <v>3283</v>
      </c>
    </row>
    <row r="352" spans="1:32" ht="67.5">
      <c r="A352" s="2954">
        <v>6968</v>
      </c>
      <c r="B352" s="2954" t="s">
        <v>3281</v>
      </c>
      <c r="C352" s="2954" t="s">
        <v>4128</v>
      </c>
      <c r="D352" s="2954" t="s">
        <v>3283</v>
      </c>
      <c r="E352" s="2954" t="s">
        <v>3548</v>
      </c>
      <c r="F352" s="2954" t="s">
        <v>4142</v>
      </c>
      <c r="G352" s="2954" t="s">
        <v>4143</v>
      </c>
      <c r="H352" s="2955">
        <v>1243410</v>
      </c>
      <c r="I352" s="2955">
        <v>10500</v>
      </c>
      <c r="J352" s="2955">
        <v>13293</v>
      </c>
      <c r="K352" s="2959">
        <v>118.42</v>
      </c>
      <c r="L352" s="2955">
        <v>93.54</v>
      </c>
      <c r="M352" s="2954" t="s">
        <v>3233</v>
      </c>
      <c r="N352" s="2954" t="s">
        <v>3551</v>
      </c>
      <c r="O352" s="2954" t="s">
        <v>3441</v>
      </c>
      <c r="P352" s="2954" t="s">
        <v>3289</v>
      </c>
      <c r="Q352" s="2954" t="s">
        <v>4131</v>
      </c>
      <c r="R352" s="2954" t="s">
        <v>3291</v>
      </c>
      <c r="S352" s="2954">
        <v>1243410</v>
      </c>
      <c r="T352" s="2954" t="s">
        <v>3233</v>
      </c>
      <c r="U352" s="2954" t="s">
        <v>3299</v>
      </c>
      <c r="V352" s="2956">
        <v>44499</v>
      </c>
      <c r="W352" s="2954" t="s">
        <v>3051</v>
      </c>
      <c r="X352" s="2954" t="s">
        <v>3046</v>
      </c>
      <c r="Y352" s="2954" t="s">
        <v>3283</v>
      </c>
      <c r="Z352" s="2957">
        <v>43596.392268518503</v>
      </c>
      <c r="AA352" s="2954" t="s">
        <v>3543</v>
      </c>
      <c r="AB352" s="2954" t="s">
        <v>3300</v>
      </c>
      <c r="AC352" s="2954" t="s">
        <v>3544</v>
      </c>
      <c r="AD352" s="2954" t="s">
        <v>3283</v>
      </c>
      <c r="AE352" s="2954" t="s">
        <v>3051</v>
      </c>
      <c r="AF352" s="2954" t="s">
        <v>3283</v>
      </c>
    </row>
    <row r="353" spans="1:32" ht="67.5">
      <c r="A353" s="2954">
        <v>6969</v>
      </c>
      <c r="B353" s="2954" t="s">
        <v>3281</v>
      </c>
      <c r="C353" s="2954" t="s">
        <v>4128</v>
      </c>
      <c r="D353" s="2954" t="s">
        <v>3283</v>
      </c>
      <c r="E353" s="2954" t="s">
        <v>3784</v>
      </c>
      <c r="F353" s="2954" t="s">
        <v>4144</v>
      </c>
      <c r="G353" s="2954" t="s">
        <v>4145</v>
      </c>
      <c r="H353" s="2955">
        <v>1255100</v>
      </c>
      <c r="I353" s="2955">
        <v>11000</v>
      </c>
      <c r="J353" s="2955">
        <v>13925</v>
      </c>
      <c r="K353" s="2959">
        <v>114.1</v>
      </c>
      <c r="L353" s="2955">
        <v>90.13</v>
      </c>
      <c r="M353" s="2954" t="s">
        <v>3233</v>
      </c>
      <c r="N353" s="2954" t="s">
        <v>3541</v>
      </c>
      <c r="O353" s="2954" t="s">
        <v>3441</v>
      </c>
      <c r="P353" s="2954" t="s">
        <v>3289</v>
      </c>
      <c r="Q353" s="2954" t="s">
        <v>4131</v>
      </c>
      <c r="R353" s="2954" t="s">
        <v>3291</v>
      </c>
      <c r="S353" s="2954">
        <v>1255100</v>
      </c>
      <c r="T353" s="2954" t="s">
        <v>3233</v>
      </c>
      <c r="U353" s="2954" t="s">
        <v>3299</v>
      </c>
      <c r="V353" s="2956">
        <v>44499</v>
      </c>
      <c r="W353" s="2954" t="s">
        <v>3051</v>
      </c>
      <c r="X353" s="2954" t="s">
        <v>3046</v>
      </c>
      <c r="Y353" s="2954" t="s">
        <v>3283</v>
      </c>
      <c r="Z353" s="2957">
        <v>43596.392268518503</v>
      </c>
      <c r="AA353" s="2954" t="s">
        <v>3543</v>
      </c>
      <c r="AB353" s="2954" t="s">
        <v>3300</v>
      </c>
      <c r="AC353" s="2954" t="s">
        <v>3544</v>
      </c>
      <c r="AD353" s="2954" t="s">
        <v>3283</v>
      </c>
      <c r="AE353" s="2954" t="s">
        <v>3051</v>
      </c>
      <c r="AF353" s="2954" t="s">
        <v>3283</v>
      </c>
    </row>
    <row r="354" spans="1:32" ht="67.5">
      <c r="A354" s="2954">
        <v>6970</v>
      </c>
      <c r="B354" s="2954" t="s">
        <v>3281</v>
      </c>
      <c r="C354" s="2954" t="s">
        <v>4128</v>
      </c>
      <c r="D354" s="2954" t="s">
        <v>3283</v>
      </c>
      <c r="E354" s="2954" t="s">
        <v>3311</v>
      </c>
      <c r="F354" s="2954" t="s">
        <v>4146</v>
      </c>
      <c r="G354" s="2954" t="s">
        <v>4147</v>
      </c>
      <c r="H354" s="2955">
        <v>1257382</v>
      </c>
      <c r="I354" s="2955">
        <v>11020</v>
      </c>
      <c r="J354" s="2955">
        <v>13951</v>
      </c>
      <c r="K354" s="2959">
        <v>114.1</v>
      </c>
      <c r="L354" s="2955">
        <v>90.13</v>
      </c>
      <c r="M354" s="2954" t="s">
        <v>3233</v>
      </c>
      <c r="N354" s="2954" t="s">
        <v>3672</v>
      </c>
      <c r="O354" s="2954" t="s">
        <v>3441</v>
      </c>
      <c r="P354" s="2954" t="s">
        <v>3289</v>
      </c>
      <c r="Q354" s="2954" t="s">
        <v>4131</v>
      </c>
      <c r="R354" s="2954" t="s">
        <v>3291</v>
      </c>
      <c r="S354" s="2954">
        <v>1257382</v>
      </c>
      <c r="T354" s="2954" t="s">
        <v>3233</v>
      </c>
      <c r="U354" s="2954" t="s">
        <v>3299</v>
      </c>
      <c r="V354" s="2956">
        <v>44499</v>
      </c>
      <c r="W354" s="2954" t="s">
        <v>3051</v>
      </c>
      <c r="X354" s="2954" t="s">
        <v>3046</v>
      </c>
      <c r="Y354" s="2954" t="s">
        <v>3283</v>
      </c>
      <c r="Z354" s="2957">
        <v>43596.392268518503</v>
      </c>
      <c r="AA354" s="2954" t="s">
        <v>3543</v>
      </c>
      <c r="AB354" s="2954" t="s">
        <v>3300</v>
      </c>
      <c r="AC354" s="2954" t="s">
        <v>3544</v>
      </c>
      <c r="AD354" s="2954" t="s">
        <v>3283</v>
      </c>
      <c r="AE354" s="2954" t="s">
        <v>3051</v>
      </c>
      <c r="AF354" s="2954" t="s">
        <v>3283</v>
      </c>
    </row>
    <row r="355" spans="1:32" ht="67.5">
      <c r="A355" s="2954">
        <v>6971</v>
      </c>
      <c r="B355" s="2954" t="s">
        <v>3281</v>
      </c>
      <c r="C355" s="2954" t="s">
        <v>4128</v>
      </c>
      <c r="D355" s="2954" t="s">
        <v>3283</v>
      </c>
      <c r="E355" s="2954" t="s">
        <v>3314</v>
      </c>
      <c r="F355" s="2954" t="s">
        <v>4148</v>
      </c>
      <c r="G355" s="2954" t="s">
        <v>4149</v>
      </c>
      <c r="H355" s="2955">
        <v>1245778</v>
      </c>
      <c r="I355" s="2955">
        <v>10520</v>
      </c>
      <c r="J355" s="2955">
        <v>13318</v>
      </c>
      <c r="K355" s="2959">
        <v>118.42</v>
      </c>
      <c r="L355" s="2955">
        <v>93.54</v>
      </c>
      <c r="M355" s="2954" t="s">
        <v>3233</v>
      </c>
      <c r="N355" s="2954" t="s">
        <v>3547</v>
      </c>
      <c r="O355" s="2954" t="s">
        <v>3441</v>
      </c>
      <c r="P355" s="2954" t="s">
        <v>3289</v>
      </c>
      <c r="Q355" s="2954" t="s">
        <v>4131</v>
      </c>
      <c r="R355" s="2954" t="s">
        <v>3291</v>
      </c>
      <c r="S355" s="2954">
        <v>1245778</v>
      </c>
      <c r="T355" s="2954" t="s">
        <v>3233</v>
      </c>
      <c r="U355" s="2954" t="s">
        <v>3299</v>
      </c>
      <c r="V355" s="2956">
        <v>44499</v>
      </c>
      <c r="W355" s="2954" t="s">
        <v>3051</v>
      </c>
      <c r="X355" s="2954" t="s">
        <v>3046</v>
      </c>
      <c r="Y355" s="2954" t="s">
        <v>3283</v>
      </c>
      <c r="Z355" s="2957">
        <v>43596.392268518503</v>
      </c>
      <c r="AA355" s="2954" t="s">
        <v>3543</v>
      </c>
      <c r="AB355" s="2954" t="s">
        <v>3300</v>
      </c>
      <c r="AC355" s="2954" t="s">
        <v>3544</v>
      </c>
      <c r="AD355" s="2954" t="s">
        <v>3283</v>
      </c>
      <c r="AE355" s="2954" t="s">
        <v>3051</v>
      </c>
      <c r="AF355" s="2954" t="s">
        <v>3283</v>
      </c>
    </row>
    <row r="356" spans="1:32" ht="67.5">
      <c r="A356" s="2954">
        <v>6972</v>
      </c>
      <c r="B356" s="2954" t="s">
        <v>3281</v>
      </c>
      <c r="C356" s="2954" t="s">
        <v>4128</v>
      </c>
      <c r="D356" s="2954" t="s">
        <v>3283</v>
      </c>
      <c r="E356" s="2954" t="s">
        <v>3554</v>
      </c>
      <c r="F356" s="2954" t="s">
        <v>4150</v>
      </c>
      <c r="G356" s="2954" t="s">
        <v>4151</v>
      </c>
      <c r="H356" s="2955">
        <v>1245778</v>
      </c>
      <c r="I356" s="2955">
        <v>10520</v>
      </c>
      <c r="J356" s="2955">
        <v>13318</v>
      </c>
      <c r="K356" s="2959">
        <v>118.42</v>
      </c>
      <c r="L356" s="2955">
        <v>93.54</v>
      </c>
      <c r="M356" s="2954" t="s">
        <v>3233</v>
      </c>
      <c r="N356" s="2954" t="s">
        <v>3551</v>
      </c>
      <c r="O356" s="2954" t="s">
        <v>3441</v>
      </c>
      <c r="P356" s="2954" t="s">
        <v>3289</v>
      </c>
      <c r="Q356" s="2954" t="s">
        <v>4131</v>
      </c>
      <c r="R356" s="2954" t="s">
        <v>3291</v>
      </c>
      <c r="S356" s="2954">
        <v>1245778</v>
      </c>
      <c r="T356" s="2954" t="s">
        <v>3233</v>
      </c>
      <c r="U356" s="2954" t="s">
        <v>3299</v>
      </c>
      <c r="V356" s="2956">
        <v>44499</v>
      </c>
      <c r="W356" s="2954" t="s">
        <v>3051</v>
      </c>
      <c r="X356" s="2954" t="s">
        <v>3046</v>
      </c>
      <c r="Y356" s="2954" t="s">
        <v>3283</v>
      </c>
      <c r="Z356" s="2957">
        <v>43596.392268518503</v>
      </c>
      <c r="AA356" s="2954" t="s">
        <v>3543</v>
      </c>
      <c r="AB356" s="2954" t="s">
        <v>3300</v>
      </c>
      <c r="AC356" s="2954" t="s">
        <v>3544</v>
      </c>
      <c r="AD356" s="2954" t="s">
        <v>3283</v>
      </c>
      <c r="AE356" s="2954" t="s">
        <v>3051</v>
      </c>
      <c r="AF356" s="2954" t="s">
        <v>3283</v>
      </c>
    </row>
    <row r="357" spans="1:32" ht="67.5">
      <c r="A357" s="2954">
        <v>6973</v>
      </c>
      <c r="B357" s="2954" t="s">
        <v>3281</v>
      </c>
      <c r="C357" s="2954" t="s">
        <v>4128</v>
      </c>
      <c r="D357" s="2954" t="s">
        <v>3283</v>
      </c>
      <c r="E357" s="2954" t="s">
        <v>3557</v>
      </c>
      <c r="F357" s="2954" t="s">
        <v>4152</v>
      </c>
      <c r="G357" s="2954" t="s">
        <v>4153</v>
      </c>
      <c r="H357" s="2955">
        <v>1257382</v>
      </c>
      <c r="I357" s="2955">
        <v>11020</v>
      </c>
      <c r="J357" s="2955">
        <v>13951</v>
      </c>
      <c r="K357" s="2959">
        <v>114.1</v>
      </c>
      <c r="L357" s="2955">
        <v>90.13</v>
      </c>
      <c r="M357" s="2954" t="s">
        <v>3233</v>
      </c>
      <c r="N357" s="2954" t="s">
        <v>3541</v>
      </c>
      <c r="O357" s="2954" t="s">
        <v>3441</v>
      </c>
      <c r="P357" s="2954" t="s">
        <v>3289</v>
      </c>
      <c r="Q357" s="2954" t="s">
        <v>4131</v>
      </c>
      <c r="R357" s="2954" t="s">
        <v>3291</v>
      </c>
      <c r="S357" s="2954">
        <v>1257382</v>
      </c>
      <c r="T357" s="2954" t="s">
        <v>3233</v>
      </c>
      <c r="U357" s="2954" t="s">
        <v>3299</v>
      </c>
      <c r="V357" s="2956">
        <v>44499</v>
      </c>
      <c r="W357" s="2954" t="s">
        <v>3051</v>
      </c>
      <c r="X357" s="2954" t="s">
        <v>3046</v>
      </c>
      <c r="Y357" s="2954" t="s">
        <v>3283</v>
      </c>
      <c r="Z357" s="2957">
        <v>43596.392268518503</v>
      </c>
      <c r="AA357" s="2954" t="s">
        <v>3543</v>
      </c>
      <c r="AB357" s="2954" t="s">
        <v>3300</v>
      </c>
      <c r="AC357" s="2954" t="s">
        <v>3544</v>
      </c>
      <c r="AD357" s="2954" t="s">
        <v>3283</v>
      </c>
      <c r="AE357" s="2954" t="s">
        <v>3051</v>
      </c>
      <c r="AF357" s="2954" t="s">
        <v>3283</v>
      </c>
    </row>
    <row r="358" spans="1:32" ht="67.5">
      <c r="A358" s="2954">
        <v>6974</v>
      </c>
      <c r="B358" s="2954" t="s">
        <v>3281</v>
      </c>
      <c r="C358" s="2954" t="s">
        <v>4128</v>
      </c>
      <c r="D358" s="2954" t="s">
        <v>3283</v>
      </c>
      <c r="E358" s="2954" t="s">
        <v>3317</v>
      </c>
      <c r="F358" s="2954" t="s">
        <v>4154</v>
      </c>
      <c r="G358" s="2954" t="s">
        <v>4155</v>
      </c>
      <c r="H358" s="2955">
        <v>1259664</v>
      </c>
      <c r="I358" s="2955">
        <v>11040</v>
      </c>
      <c r="J358" s="2955">
        <v>13976</v>
      </c>
      <c r="K358" s="2959">
        <v>114.1</v>
      </c>
      <c r="L358" s="2955">
        <v>90.13</v>
      </c>
      <c r="M358" s="2954" t="s">
        <v>3233</v>
      </c>
      <c r="N358" s="2954" t="s">
        <v>3672</v>
      </c>
      <c r="O358" s="2954" t="s">
        <v>3441</v>
      </c>
      <c r="P358" s="2954" t="s">
        <v>3289</v>
      </c>
      <c r="Q358" s="2954" t="s">
        <v>4131</v>
      </c>
      <c r="R358" s="2954" t="s">
        <v>3291</v>
      </c>
      <c r="S358" s="2954">
        <v>1259664</v>
      </c>
      <c r="T358" s="2954" t="s">
        <v>3233</v>
      </c>
      <c r="U358" s="2954" t="s">
        <v>3299</v>
      </c>
      <c r="V358" s="2956">
        <v>44499</v>
      </c>
      <c r="W358" s="2954" t="s">
        <v>3051</v>
      </c>
      <c r="X358" s="2954" t="s">
        <v>3046</v>
      </c>
      <c r="Y358" s="2954" t="s">
        <v>3283</v>
      </c>
      <c r="Z358" s="2957">
        <v>43596.392268518503</v>
      </c>
      <c r="AA358" s="2954" t="s">
        <v>3543</v>
      </c>
      <c r="AB358" s="2954" t="s">
        <v>3300</v>
      </c>
      <c r="AC358" s="2954" t="s">
        <v>3544</v>
      </c>
      <c r="AD358" s="2954" t="s">
        <v>3283</v>
      </c>
      <c r="AE358" s="2954" t="s">
        <v>3051</v>
      </c>
      <c r="AF358" s="2954" t="s">
        <v>3283</v>
      </c>
    </row>
    <row r="359" spans="1:32" ht="67.5">
      <c r="A359" s="2954">
        <v>6975</v>
      </c>
      <c r="B359" s="2954" t="s">
        <v>3281</v>
      </c>
      <c r="C359" s="2954" t="s">
        <v>4128</v>
      </c>
      <c r="D359" s="2954" t="s">
        <v>3283</v>
      </c>
      <c r="E359" s="2954" t="s">
        <v>3392</v>
      </c>
      <c r="F359" s="2954" t="s">
        <v>4156</v>
      </c>
      <c r="G359" s="2954" t="s">
        <v>4157</v>
      </c>
      <c r="H359" s="2955">
        <v>1248147</v>
      </c>
      <c r="I359" s="2955">
        <v>10540</v>
      </c>
      <c r="J359" s="2955">
        <v>13343</v>
      </c>
      <c r="K359" s="2959">
        <v>118.42</v>
      </c>
      <c r="L359" s="2955">
        <v>93.54</v>
      </c>
      <c r="M359" s="2954" t="s">
        <v>3233</v>
      </c>
      <c r="N359" s="2954" t="s">
        <v>3547</v>
      </c>
      <c r="O359" s="2954" t="s">
        <v>3441</v>
      </c>
      <c r="P359" s="2954" t="s">
        <v>3289</v>
      </c>
      <c r="Q359" s="2954" t="s">
        <v>4131</v>
      </c>
      <c r="R359" s="2954" t="s">
        <v>3291</v>
      </c>
      <c r="S359" s="2954">
        <v>1248147</v>
      </c>
      <c r="T359" s="2954" t="s">
        <v>3233</v>
      </c>
      <c r="U359" s="2954" t="s">
        <v>3299</v>
      </c>
      <c r="V359" s="2956">
        <v>44499</v>
      </c>
      <c r="W359" s="2954" t="s">
        <v>3051</v>
      </c>
      <c r="X359" s="2954" t="s">
        <v>3046</v>
      </c>
      <c r="Y359" s="2954" t="s">
        <v>3283</v>
      </c>
      <c r="Z359" s="2957">
        <v>43596.392268518503</v>
      </c>
      <c r="AA359" s="2954" t="s">
        <v>3543</v>
      </c>
      <c r="AB359" s="2954" t="s">
        <v>3300</v>
      </c>
      <c r="AC359" s="2954" t="s">
        <v>3544</v>
      </c>
      <c r="AD359" s="2954" t="s">
        <v>3283</v>
      </c>
      <c r="AE359" s="2954" t="s">
        <v>3051</v>
      </c>
      <c r="AF359" s="2954" t="s">
        <v>3283</v>
      </c>
    </row>
    <row r="360" spans="1:32" ht="67.5">
      <c r="A360" s="2954">
        <v>6976</v>
      </c>
      <c r="B360" s="2954" t="s">
        <v>3281</v>
      </c>
      <c r="C360" s="2954" t="s">
        <v>4128</v>
      </c>
      <c r="D360" s="2954" t="s">
        <v>3283</v>
      </c>
      <c r="E360" s="2954" t="s">
        <v>3562</v>
      </c>
      <c r="F360" s="2954" t="s">
        <v>4158</v>
      </c>
      <c r="G360" s="2954" t="s">
        <v>4159</v>
      </c>
      <c r="H360" s="2955">
        <v>1248147</v>
      </c>
      <c r="I360" s="2955">
        <v>10540</v>
      </c>
      <c r="J360" s="2955">
        <v>13343</v>
      </c>
      <c r="K360" s="2959">
        <v>118.42</v>
      </c>
      <c r="L360" s="2955">
        <v>93.54</v>
      </c>
      <c r="M360" s="2954" t="s">
        <v>3233</v>
      </c>
      <c r="N360" s="2954" t="s">
        <v>3551</v>
      </c>
      <c r="O360" s="2954" t="s">
        <v>3441</v>
      </c>
      <c r="P360" s="2954" t="s">
        <v>3289</v>
      </c>
      <c r="Q360" s="2954" t="s">
        <v>4131</v>
      </c>
      <c r="R360" s="2954" t="s">
        <v>3291</v>
      </c>
      <c r="S360" s="2954">
        <v>1248147</v>
      </c>
      <c r="T360" s="2954" t="s">
        <v>3233</v>
      </c>
      <c r="U360" s="2954" t="s">
        <v>3299</v>
      </c>
      <c r="V360" s="2956">
        <v>44499</v>
      </c>
      <c r="W360" s="2954" t="s">
        <v>3051</v>
      </c>
      <c r="X360" s="2954" t="s">
        <v>3046</v>
      </c>
      <c r="Y360" s="2954" t="s">
        <v>3283</v>
      </c>
      <c r="Z360" s="2957">
        <v>43596.392268518503</v>
      </c>
      <c r="AA360" s="2954" t="s">
        <v>3543</v>
      </c>
      <c r="AB360" s="2954" t="s">
        <v>3300</v>
      </c>
      <c r="AC360" s="2954" t="s">
        <v>3544</v>
      </c>
      <c r="AD360" s="2954" t="s">
        <v>3283</v>
      </c>
      <c r="AE360" s="2954" t="s">
        <v>3051</v>
      </c>
      <c r="AF360" s="2954" t="s">
        <v>3283</v>
      </c>
    </row>
    <row r="361" spans="1:32" ht="67.5">
      <c r="A361" s="2954">
        <v>6977</v>
      </c>
      <c r="B361" s="2954" t="s">
        <v>3281</v>
      </c>
      <c r="C361" s="2954" t="s">
        <v>4128</v>
      </c>
      <c r="D361" s="2954" t="s">
        <v>3283</v>
      </c>
      <c r="E361" s="2954" t="s">
        <v>3797</v>
      </c>
      <c r="F361" s="2954" t="s">
        <v>4160</v>
      </c>
      <c r="G361" s="2954" t="s">
        <v>4161</v>
      </c>
      <c r="H361" s="2955">
        <v>1259664</v>
      </c>
      <c r="I361" s="2955">
        <v>11040</v>
      </c>
      <c r="J361" s="2955">
        <v>13976</v>
      </c>
      <c r="K361" s="2959">
        <v>114.1</v>
      </c>
      <c r="L361" s="2955">
        <v>90.13</v>
      </c>
      <c r="M361" s="2954" t="s">
        <v>3233</v>
      </c>
      <c r="N361" s="2954" t="s">
        <v>3541</v>
      </c>
      <c r="O361" s="2954" t="s">
        <v>3441</v>
      </c>
      <c r="P361" s="2954" t="s">
        <v>3289</v>
      </c>
      <c r="Q361" s="2954" t="s">
        <v>4131</v>
      </c>
      <c r="R361" s="2954" t="s">
        <v>3291</v>
      </c>
      <c r="S361" s="2954">
        <v>1259664</v>
      </c>
      <c r="T361" s="2954" t="s">
        <v>3233</v>
      </c>
      <c r="U361" s="2954" t="s">
        <v>3299</v>
      </c>
      <c r="V361" s="2956">
        <v>44499</v>
      </c>
      <c r="W361" s="2954" t="s">
        <v>3051</v>
      </c>
      <c r="X361" s="2954" t="s">
        <v>3046</v>
      </c>
      <c r="Y361" s="2954" t="s">
        <v>3283</v>
      </c>
      <c r="Z361" s="2957">
        <v>43596.392268518503</v>
      </c>
      <c r="AA361" s="2954" t="s">
        <v>3543</v>
      </c>
      <c r="AB361" s="2954" t="s">
        <v>3300</v>
      </c>
      <c r="AC361" s="2954" t="s">
        <v>3544</v>
      </c>
      <c r="AD361" s="2954" t="s">
        <v>3283</v>
      </c>
      <c r="AE361" s="2954" t="s">
        <v>3051</v>
      </c>
      <c r="AF361" s="2954" t="s">
        <v>3283</v>
      </c>
    </row>
    <row r="362" spans="1:32" ht="67.5">
      <c r="A362" s="2954">
        <v>6978</v>
      </c>
      <c r="B362" s="2954" t="s">
        <v>3281</v>
      </c>
      <c r="C362" s="2954" t="s">
        <v>4128</v>
      </c>
      <c r="D362" s="2954" t="s">
        <v>3283</v>
      </c>
      <c r="E362" s="2954" t="s">
        <v>3320</v>
      </c>
      <c r="F362" s="2954" t="s">
        <v>4162</v>
      </c>
      <c r="G362" s="2954" t="s">
        <v>4163</v>
      </c>
      <c r="H362" s="2955">
        <v>1261946</v>
      </c>
      <c r="I362" s="2955">
        <v>11060</v>
      </c>
      <c r="J362" s="2955">
        <v>14001</v>
      </c>
      <c r="K362" s="2959">
        <v>114.1</v>
      </c>
      <c r="L362" s="2955">
        <v>90.13</v>
      </c>
      <c r="M362" s="2954" t="s">
        <v>3233</v>
      </c>
      <c r="N362" s="2954" t="s">
        <v>3672</v>
      </c>
      <c r="O362" s="2954" t="s">
        <v>3441</v>
      </c>
      <c r="P362" s="2954" t="s">
        <v>3289</v>
      </c>
      <c r="Q362" s="2954" t="s">
        <v>4131</v>
      </c>
      <c r="R362" s="2954" t="s">
        <v>3291</v>
      </c>
      <c r="S362" s="2954">
        <v>1261946</v>
      </c>
      <c r="T362" s="2954" t="s">
        <v>3233</v>
      </c>
      <c r="U362" s="2954" t="s">
        <v>3299</v>
      </c>
      <c r="V362" s="2956">
        <v>44499</v>
      </c>
      <c r="W362" s="2954" t="s">
        <v>3051</v>
      </c>
      <c r="X362" s="2954" t="s">
        <v>3046</v>
      </c>
      <c r="Y362" s="2954" t="s">
        <v>3283</v>
      </c>
      <c r="Z362" s="2957">
        <v>43596.392268518503</v>
      </c>
      <c r="AA362" s="2954" t="s">
        <v>3543</v>
      </c>
      <c r="AB362" s="2954" t="s">
        <v>3300</v>
      </c>
      <c r="AC362" s="2954" t="s">
        <v>3544</v>
      </c>
      <c r="AD362" s="2954" t="s">
        <v>3283</v>
      </c>
      <c r="AE362" s="2954" t="s">
        <v>3051</v>
      </c>
      <c r="AF362" s="2954" t="s">
        <v>3283</v>
      </c>
    </row>
    <row r="363" spans="1:32" ht="67.5">
      <c r="A363" s="2954">
        <v>6979</v>
      </c>
      <c r="B363" s="2954" t="s">
        <v>3281</v>
      </c>
      <c r="C363" s="2954" t="s">
        <v>4128</v>
      </c>
      <c r="D363" s="2954" t="s">
        <v>3283</v>
      </c>
      <c r="E363" s="2954" t="s">
        <v>3323</v>
      </c>
      <c r="F363" s="2954" t="s">
        <v>4164</v>
      </c>
      <c r="G363" s="2954" t="s">
        <v>4165</v>
      </c>
      <c r="H363" s="2955">
        <v>1250515</v>
      </c>
      <c r="I363" s="2955">
        <v>10560</v>
      </c>
      <c r="J363" s="2955">
        <v>13369</v>
      </c>
      <c r="K363" s="2959">
        <v>118.42</v>
      </c>
      <c r="L363" s="2955">
        <v>93.54</v>
      </c>
      <c r="M363" s="2954" t="s">
        <v>3233</v>
      </c>
      <c r="N363" s="2954" t="s">
        <v>3547</v>
      </c>
      <c r="O363" s="2954" t="s">
        <v>3441</v>
      </c>
      <c r="P363" s="2954" t="s">
        <v>3289</v>
      </c>
      <c r="Q363" s="2954" t="s">
        <v>4131</v>
      </c>
      <c r="R363" s="2954" t="s">
        <v>3291</v>
      </c>
      <c r="S363" s="2954">
        <v>1250515</v>
      </c>
      <c r="T363" s="2954" t="s">
        <v>3233</v>
      </c>
      <c r="U363" s="2954" t="s">
        <v>3299</v>
      </c>
      <c r="V363" s="2956">
        <v>44499</v>
      </c>
      <c r="W363" s="2954" t="s">
        <v>3051</v>
      </c>
      <c r="X363" s="2954" t="s">
        <v>3046</v>
      </c>
      <c r="Y363" s="2954" t="s">
        <v>3283</v>
      </c>
      <c r="Z363" s="2957">
        <v>43596.392268518503</v>
      </c>
      <c r="AA363" s="2954" t="s">
        <v>3543</v>
      </c>
      <c r="AB363" s="2954" t="s">
        <v>3300</v>
      </c>
      <c r="AC363" s="2954" t="s">
        <v>3544</v>
      </c>
      <c r="AD363" s="2954" t="s">
        <v>3283</v>
      </c>
      <c r="AE363" s="2954" t="s">
        <v>3051</v>
      </c>
      <c r="AF363" s="2954" t="s">
        <v>3283</v>
      </c>
    </row>
    <row r="364" spans="1:32" ht="67.5">
      <c r="A364" s="2954">
        <v>6980</v>
      </c>
      <c r="B364" s="2954" t="s">
        <v>3281</v>
      </c>
      <c r="C364" s="2954" t="s">
        <v>4128</v>
      </c>
      <c r="D364" s="2954" t="s">
        <v>3283</v>
      </c>
      <c r="E364" s="2954" t="s">
        <v>3567</v>
      </c>
      <c r="F364" s="2954" t="s">
        <v>4166</v>
      </c>
      <c r="G364" s="2954" t="s">
        <v>4167</v>
      </c>
      <c r="H364" s="2955">
        <v>1250515</v>
      </c>
      <c r="I364" s="2955">
        <v>10560</v>
      </c>
      <c r="J364" s="2955">
        <v>13369</v>
      </c>
      <c r="K364" s="2959">
        <v>118.42</v>
      </c>
      <c r="L364" s="2955">
        <v>93.54</v>
      </c>
      <c r="M364" s="2954" t="s">
        <v>3233</v>
      </c>
      <c r="N364" s="2954" t="s">
        <v>3551</v>
      </c>
      <c r="O364" s="2954" t="s">
        <v>3441</v>
      </c>
      <c r="P364" s="2954" t="s">
        <v>3289</v>
      </c>
      <c r="Q364" s="2954" t="s">
        <v>4131</v>
      </c>
      <c r="R364" s="2954" t="s">
        <v>3291</v>
      </c>
      <c r="S364" s="2954">
        <v>1250515</v>
      </c>
      <c r="T364" s="2954" t="s">
        <v>3233</v>
      </c>
      <c r="U364" s="2954" t="s">
        <v>3299</v>
      </c>
      <c r="V364" s="2956">
        <v>44499</v>
      </c>
      <c r="W364" s="2954" t="s">
        <v>3051</v>
      </c>
      <c r="X364" s="2954" t="s">
        <v>3046</v>
      </c>
      <c r="Y364" s="2954" t="s">
        <v>3283</v>
      </c>
      <c r="Z364" s="2957">
        <v>43596.392268518503</v>
      </c>
      <c r="AA364" s="2954" t="s">
        <v>3543</v>
      </c>
      <c r="AB364" s="2954" t="s">
        <v>3300</v>
      </c>
      <c r="AC364" s="2954" t="s">
        <v>3544</v>
      </c>
      <c r="AD364" s="2954" t="s">
        <v>3283</v>
      </c>
      <c r="AE364" s="2954" t="s">
        <v>3051</v>
      </c>
      <c r="AF364" s="2954" t="s">
        <v>3283</v>
      </c>
    </row>
    <row r="365" spans="1:32" ht="67.5">
      <c r="A365" s="2954">
        <v>6981</v>
      </c>
      <c r="B365" s="2954" t="s">
        <v>3281</v>
      </c>
      <c r="C365" s="2954" t="s">
        <v>4128</v>
      </c>
      <c r="D365" s="2954" t="s">
        <v>3283</v>
      </c>
      <c r="E365" s="2954" t="s">
        <v>3893</v>
      </c>
      <c r="F365" s="2954" t="s">
        <v>4168</v>
      </c>
      <c r="G365" s="2954" t="s">
        <v>4169</v>
      </c>
      <c r="H365" s="2955">
        <v>1261946</v>
      </c>
      <c r="I365" s="2955">
        <v>11060</v>
      </c>
      <c r="J365" s="2955">
        <v>14001</v>
      </c>
      <c r="K365" s="2959">
        <v>114.1</v>
      </c>
      <c r="L365" s="2955">
        <v>90.13</v>
      </c>
      <c r="M365" s="2954" t="s">
        <v>3233</v>
      </c>
      <c r="N365" s="2954" t="s">
        <v>3541</v>
      </c>
      <c r="O365" s="2954" t="s">
        <v>3441</v>
      </c>
      <c r="P365" s="2954" t="s">
        <v>3289</v>
      </c>
      <c r="Q365" s="2954" t="s">
        <v>4131</v>
      </c>
      <c r="R365" s="2954" t="s">
        <v>3291</v>
      </c>
      <c r="S365" s="2954">
        <v>1261946</v>
      </c>
      <c r="T365" s="2954" t="s">
        <v>3233</v>
      </c>
      <c r="U365" s="2954" t="s">
        <v>3299</v>
      </c>
      <c r="V365" s="2956">
        <v>44499</v>
      </c>
      <c r="W365" s="2954" t="s">
        <v>3051</v>
      </c>
      <c r="X365" s="2954" t="s">
        <v>3046</v>
      </c>
      <c r="Y365" s="2954" t="s">
        <v>3283</v>
      </c>
      <c r="Z365" s="2957">
        <v>43596.392268518503</v>
      </c>
      <c r="AA365" s="2954" t="s">
        <v>3543</v>
      </c>
      <c r="AB365" s="2954" t="s">
        <v>3300</v>
      </c>
      <c r="AC365" s="2954" t="s">
        <v>3544</v>
      </c>
      <c r="AD365" s="2954" t="s">
        <v>3283</v>
      </c>
      <c r="AE365" s="2954" t="s">
        <v>3051</v>
      </c>
      <c r="AF365" s="2954" t="s">
        <v>3283</v>
      </c>
    </row>
    <row r="366" spans="1:32" ht="67.5">
      <c r="A366" s="2954">
        <v>6982</v>
      </c>
      <c r="B366" s="2954" t="s">
        <v>3281</v>
      </c>
      <c r="C366" s="2954" t="s">
        <v>4128</v>
      </c>
      <c r="D366" s="2954" t="s">
        <v>3283</v>
      </c>
      <c r="E366" s="2954" t="s">
        <v>3326</v>
      </c>
      <c r="F366" s="2954" t="s">
        <v>4170</v>
      </c>
      <c r="G366" s="2954" t="s">
        <v>4171</v>
      </c>
      <c r="H366" s="2955">
        <v>1264228</v>
      </c>
      <c r="I366" s="2955">
        <v>11080</v>
      </c>
      <c r="J366" s="2955">
        <v>14027</v>
      </c>
      <c r="K366" s="2959">
        <v>114.1</v>
      </c>
      <c r="L366" s="2955">
        <v>90.13</v>
      </c>
      <c r="M366" s="2954" t="s">
        <v>3233</v>
      </c>
      <c r="N366" s="2954" t="s">
        <v>3672</v>
      </c>
      <c r="O366" s="2954" t="s">
        <v>3441</v>
      </c>
      <c r="P366" s="2954" t="s">
        <v>3289</v>
      </c>
      <c r="Q366" s="2954" t="s">
        <v>4131</v>
      </c>
      <c r="R366" s="2954" t="s">
        <v>3291</v>
      </c>
      <c r="S366" s="2954">
        <v>1264228</v>
      </c>
      <c r="T366" s="2954" t="s">
        <v>3233</v>
      </c>
      <c r="U366" s="2954" t="s">
        <v>3299</v>
      </c>
      <c r="V366" s="2956">
        <v>44499</v>
      </c>
      <c r="W366" s="2954" t="s">
        <v>3051</v>
      </c>
      <c r="X366" s="2954" t="s">
        <v>3046</v>
      </c>
      <c r="Y366" s="2954" t="s">
        <v>3283</v>
      </c>
      <c r="Z366" s="2957">
        <v>43596.392268518503</v>
      </c>
      <c r="AA366" s="2954" t="s">
        <v>3543</v>
      </c>
      <c r="AB366" s="2954" t="s">
        <v>3300</v>
      </c>
      <c r="AC366" s="2954" t="s">
        <v>3544</v>
      </c>
      <c r="AD366" s="2954" t="s">
        <v>3283</v>
      </c>
      <c r="AE366" s="2954" t="s">
        <v>3051</v>
      </c>
      <c r="AF366" s="2954" t="s">
        <v>3283</v>
      </c>
    </row>
    <row r="367" spans="1:32" ht="67.5">
      <c r="A367" s="2954">
        <v>6983</v>
      </c>
      <c r="B367" s="2954" t="s">
        <v>3281</v>
      </c>
      <c r="C367" s="2954" t="s">
        <v>4128</v>
      </c>
      <c r="D367" s="2954" t="s">
        <v>3283</v>
      </c>
      <c r="E367" s="2954" t="s">
        <v>3401</v>
      </c>
      <c r="F367" s="2954" t="s">
        <v>4172</v>
      </c>
      <c r="G367" s="2954" t="s">
        <v>4173</v>
      </c>
      <c r="H367" s="2955">
        <v>1252884</v>
      </c>
      <c r="I367" s="2955">
        <v>10580</v>
      </c>
      <c r="J367" s="2955">
        <v>13394</v>
      </c>
      <c r="K367" s="2959">
        <v>118.42</v>
      </c>
      <c r="L367" s="2955">
        <v>93.54</v>
      </c>
      <c r="M367" s="2954" t="s">
        <v>3233</v>
      </c>
      <c r="N367" s="2954" t="s">
        <v>3547</v>
      </c>
      <c r="O367" s="2954" t="s">
        <v>3441</v>
      </c>
      <c r="P367" s="2954" t="s">
        <v>3289</v>
      </c>
      <c r="Q367" s="2954" t="s">
        <v>4131</v>
      </c>
      <c r="R367" s="2954" t="s">
        <v>3291</v>
      </c>
      <c r="S367" s="2954">
        <v>1252884</v>
      </c>
      <c r="T367" s="2954" t="s">
        <v>3233</v>
      </c>
      <c r="U367" s="2954" t="s">
        <v>3299</v>
      </c>
      <c r="V367" s="2956">
        <v>44499</v>
      </c>
      <c r="W367" s="2954" t="s">
        <v>3051</v>
      </c>
      <c r="X367" s="2954" t="s">
        <v>3046</v>
      </c>
      <c r="Y367" s="2954" t="s">
        <v>3283</v>
      </c>
      <c r="Z367" s="2957">
        <v>43596.392268518503</v>
      </c>
      <c r="AA367" s="2954" t="s">
        <v>3543</v>
      </c>
      <c r="AB367" s="2954" t="s">
        <v>3300</v>
      </c>
      <c r="AC367" s="2954" t="s">
        <v>3544</v>
      </c>
      <c r="AD367" s="2954" t="s">
        <v>3283</v>
      </c>
      <c r="AE367" s="2954" t="s">
        <v>3051</v>
      </c>
      <c r="AF367" s="2954" t="s">
        <v>3283</v>
      </c>
    </row>
    <row r="368" spans="1:32" ht="67.5">
      <c r="A368" s="2954">
        <v>6984</v>
      </c>
      <c r="B368" s="2954" t="s">
        <v>3281</v>
      </c>
      <c r="C368" s="2954" t="s">
        <v>4128</v>
      </c>
      <c r="D368" s="2954" t="s">
        <v>3283</v>
      </c>
      <c r="E368" s="2954" t="s">
        <v>3572</v>
      </c>
      <c r="F368" s="2954" t="s">
        <v>4174</v>
      </c>
      <c r="G368" s="2954" t="s">
        <v>4175</v>
      </c>
      <c r="H368" s="2955">
        <v>1252884</v>
      </c>
      <c r="I368" s="2955">
        <v>10580</v>
      </c>
      <c r="J368" s="2955">
        <v>13394</v>
      </c>
      <c r="K368" s="2959">
        <v>118.42</v>
      </c>
      <c r="L368" s="2955">
        <v>93.54</v>
      </c>
      <c r="M368" s="2954" t="s">
        <v>3233</v>
      </c>
      <c r="N368" s="2954" t="s">
        <v>3551</v>
      </c>
      <c r="O368" s="2954" t="s">
        <v>3441</v>
      </c>
      <c r="P368" s="2954" t="s">
        <v>3289</v>
      </c>
      <c r="Q368" s="2954" t="s">
        <v>4131</v>
      </c>
      <c r="R368" s="2954" t="s">
        <v>3291</v>
      </c>
      <c r="S368" s="2954">
        <v>1252884</v>
      </c>
      <c r="T368" s="2954" t="s">
        <v>3233</v>
      </c>
      <c r="U368" s="2954" t="s">
        <v>3299</v>
      </c>
      <c r="V368" s="2956">
        <v>44499</v>
      </c>
      <c r="W368" s="2954" t="s">
        <v>3051</v>
      </c>
      <c r="X368" s="2954" t="s">
        <v>3046</v>
      </c>
      <c r="Y368" s="2954" t="s">
        <v>3283</v>
      </c>
      <c r="Z368" s="2957">
        <v>43596.392268518503</v>
      </c>
      <c r="AA368" s="2954" t="s">
        <v>3543</v>
      </c>
      <c r="AB368" s="2954" t="s">
        <v>3300</v>
      </c>
      <c r="AC368" s="2954" t="s">
        <v>3544</v>
      </c>
      <c r="AD368" s="2954" t="s">
        <v>3283</v>
      </c>
      <c r="AE368" s="2954" t="s">
        <v>3051</v>
      </c>
      <c r="AF368" s="2954" t="s">
        <v>3283</v>
      </c>
    </row>
    <row r="369" spans="1:32" ht="67.5">
      <c r="A369" s="2954">
        <v>6985</v>
      </c>
      <c r="B369" s="2954" t="s">
        <v>3281</v>
      </c>
      <c r="C369" s="2954" t="s">
        <v>4128</v>
      </c>
      <c r="D369" s="2954" t="s">
        <v>3283</v>
      </c>
      <c r="E369" s="2954" t="s">
        <v>4032</v>
      </c>
      <c r="F369" s="2954" t="s">
        <v>4176</v>
      </c>
      <c r="G369" s="2954" t="s">
        <v>4177</v>
      </c>
      <c r="H369" s="2955">
        <v>1264228</v>
      </c>
      <c r="I369" s="2955">
        <v>11080</v>
      </c>
      <c r="J369" s="2955">
        <v>14027</v>
      </c>
      <c r="K369" s="2959">
        <v>114.1</v>
      </c>
      <c r="L369" s="2955">
        <v>90.13</v>
      </c>
      <c r="M369" s="2954" t="s">
        <v>3233</v>
      </c>
      <c r="N369" s="2954" t="s">
        <v>3541</v>
      </c>
      <c r="O369" s="2954" t="s">
        <v>3441</v>
      </c>
      <c r="P369" s="2954" t="s">
        <v>3289</v>
      </c>
      <c r="Q369" s="2954" t="s">
        <v>4131</v>
      </c>
      <c r="R369" s="2954" t="s">
        <v>3291</v>
      </c>
      <c r="S369" s="2954">
        <v>1264228</v>
      </c>
      <c r="T369" s="2954" t="s">
        <v>3233</v>
      </c>
      <c r="U369" s="2954" t="s">
        <v>3299</v>
      </c>
      <c r="V369" s="2956">
        <v>44499</v>
      </c>
      <c r="W369" s="2954" t="s">
        <v>3051</v>
      </c>
      <c r="X369" s="2954" t="s">
        <v>3046</v>
      </c>
      <c r="Y369" s="2954" t="s">
        <v>3283</v>
      </c>
      <c r="Z369" s="2957">
        <v>43596.392268518503</v>
      </c>
      <c r="AA369" s="2954" t="s">
        <v>3543</v>
      </c>
      <c r="AB369" s="2954" t="s">
        <v>3300</v>
      </c>
      <c r="AC369" s="2954" t="s">
        <v>3544</v>
      </c>
      <c r="AD369" s="2954" t="s">
        <v>3283</v>
      </c>
      <c r="AE369" s="2954" t="s">
        <v>3051</v>
      </c>
      <c r="AF369" s="2954" t="s">
        <v>3283</v>
      </c>
    </row>
    <row r="370" spans="1:32" ht="67.5">
      <c r="A370" s="2954">
        <v>6986</v>
      </c>
      <c r="B370" s="2954" t="s">
        <v>3281</v>
      </c>
      <c r="C370" s="2954" t="s">
        <v>4128</v>
      </c>
      <c r="D370" s="2954" t="s">
        <v>3283</v>
      </c>
      <c r="E370" s="2954" t="s">
        <v>3329</v>
      </c>
      <c r="F370" s="2954" t="s">
        <v>4178</v>
      </c>
      <c r="G370" s="2954" t="s">
        <v>4179</v>
      </c>
      <c r="H370" s="2955">
        <v>1266510</v>
      </c>
      <c r="I370" s="2955">
        <v>11100</v>
      </c>
      <c r="J370" s="2955">
        <v>14052</v>
      </c>
      <c r="K370" s="2959">
        <v>114.1</v>
      </c>
      <c r="L370" s="2955">
        <v>90.13</v>
      </c>
      <c r="M370" s="2954" t="s">
        <v>3233</v>
      </c>
      <c r="N370" s="2954" t="s">
        <v>3672</v>
      </c>
      <c r="O370" s="2954" t="s">
        <v>3441</v>
      </c>
      <c r="P370" s="2954" t="s">
        <v>3289</v>
      </c>
      <c r="Q370" s="2954" t="s">
        <v>4131</v>
      </c>
      <c r="R370" s="2954" t="s">
        <v>3291</v>
      </c>
      <c r="S370" s="2954">
        <v>1266510</v>
      </c>
      <c r="T370" s="2954" t="s">
        <v>3233</v>
      </c>
      <c r="U370" s="2954" t="s">
        <v>3299</v>
      </c>
      <c r="V370" s="2956">
        <v>44499</v>
      </c>
      <c r="W370" s="2954" t="s">
        <v>3051</v>
      </c>
      <c r="X370" s="2954" t="s">
        <v>3046</v>
      </c>
      <c r="Y370" s="2954" t="s">
        <v>3283</v>
      </c>
      <c r="Z370" s="2957">
        <v>43596.392268518503</v>
      </c>
      <c r="AA370" s="2954" t="s">
        <v>3543</v>
      </c>
      <c r="AB370" s="2954" t="s">
        <v>3300</v>
      </c>
      <c r="AC370" s="2954" t="s">
        <v>3544</v>
      </c>
      <c r="AD370" s="2954" t="s">
        <v>3283</v>
      </c>
      <c r="AE370" s="2954" t="s">
        <v>3051</v>
      </c>
      <c r="AF370" s="2954" t="s">
        <v>3283</v>
      </c>
    </row>
    <row r="371" spans="1:32" ht="67.5">
      <c r="A371" s="2954">
        <v>6987</v>
      </c>
      <c r="B371" s="2954" t="s">
        <v>3281</v>
      </c>
      <c r="C371" s="2954" t="s">
        <v>4128</v>
      </c>
      <c r="D371" s="2954" t="s">
        <v>3283</v>
      </c>
      <c r="E371" s="2954" t="s">
        <v>3332</v>
      </c>
      <c r="F371" s="2954" t="s">
        <v>4180</v>
      </c>
      <c r="G371" s="2954" t="s">
        <v>4181</v>
      </c>
      <c r="H371" s="2955">
        <v>1255252</v>
      </c>
      <c r="I371" s="2955">
        <v>10600</v>
      </c>
      <c r="J371" s="2955">
        <v>13419</v>
      </c>
      <c r="K371" s="2959">
        <v>118.42</v>
      </c>
      <c r="L371" s="2955">
        <v>93.54</v>
      </c>
      <c r="M371" s="2954" t="s">
        <v>3233</v>
      </c>
      <c r="N371" s="2954" t="s">
        <v>3547</v>
      </c>
      <c r="O371" s="2954" t="s">
        <v>3441</v>
      </c>
      <c r="P371" s="2954" t="s">
        <v>3289</v>
      </c>
      <c r="Q371" s="2954" t="s">
        <v>4131</v>
      </c>
      <c r="R371" s="2954" t="s">
        <v>3291</v>
      </c>
      <c r="S371" s="2954">
        <v>1255252</v>
      </c>
      <c r="T371" s="2954" t="s">
        <v>3233</v>
      </c>
      <c r="U371" s="2954" t="s">
        <v>3299</v>
      </c>
      <c r="V371" s="2956">
        <v>44499</v>
      </c>
      <c r="W371" s="2954" t="s">
        <v>3051</v>
      </c>
      <c r="X371" s="2954" t="s">
        <v>3046</v>
      </c>
      <c r="Y371" s="2954" t="s">
        <v>3283</v>
      </c>
      <c r="Z371" s="2957">
        <v>43596.392268518503</v>
      </c>
      <c r="AA371" s="2954" t="s">
        <v>3543</v>
      </c>
      <c r="AB371" s="2954" t="s">
        <v>3300</v>
      </c>
      <c r="AC371" s="2954" t="s">
        <v>3544</v>
      </c>
      <c r="AD371" s="2954" t="s">
        <v>3283</v>
      </c>
      <c r="AE371" s="2954" t="s">
        <v>3051</v>
      </c>
      <c r="AF371" s="2954" t="s">
        <v>3283</v>
      </c>
    </row>
    <row r="372" spans="1:32" ht="67.5">
      <c r="A372" s="2954">
        <v>6988</v>
      </c>
      <c r="B372" s="2954" t="s">
        <v>3281</v>
      </c>
      <c r="C372" s="2954" t="s">
        <v>4128</v>
      </c>
      <c r="D372" s="2954" t="s">
        <v>3283</v>
      </c>
      <c r="E372" s="2954" t="s">
        <v>3705</v>
      </c>
      <c r="F372" s="2954" t="s">
        <v>4182</v>
      </c>
      <c r="G372" s="2954" t="s">
        <v>4183</v>
      </c>
      <c r="H372" s="2955">
        <v>1255252</v>
      </c>
      <c r="I372" s="2955">
        <v>10600</v>
      </c>
      <c r="J372" s="2955">
        <v>13419</v>
      </c>
      <c r="K372" s="2959">
        <v>118.42</v>
      </c>
      <c r="L372" s="2955">
        <v>93.54</v>
      </c>
      <c r="M372" s="2954" t="s">
        <v>3233</v>
      </c>
      <c r="N372" s="2954" t="s">
        <v>3551</v>
      </c>
      <c r="O372" s="2954" t="s">
        <v>3441</v>
      </c>
      <c r="P372" s="2954" t="s">
        <v>3289</v>
      </c>
      <c r="Q372" s="2954" t="s">
        <v>4131</v>
      </c>
      <c r="R372" s="2954" t="s">
        <v>3291</v>
      </c>
      <c r="S372" s="2954">
        <v>1255252</v>
      </c>
      <c r="T372" s="2954" t="s">
        <v>3233</v>
      </c>
      <c r="U372" s="2954" t="s">
        <v>3299</v>
      </c>
      <c r="V372" s="2956">
        <v>44499</v>
      </c>
      <c r="W372" s="2954" t="s">
        <v>3051</v>
      </c>
      <c r="X372" s="2954" t="s">
        <v>3046</v>
      </c>
      <c r="Y372" s="2954" t="s">
        <v>3283</v>
      </c>
      <c r="Z372" s="2957">
        <v>43596.392268518503</v>
      </c>
      <c r="AA372" s="2954" t="s">
        <v>3543</v>
      </c>
      <c r="AB372" s="2954" t="s">
        <v>3300</v>
      </c>
      <c r="AC372" s="2954" t="s">
        <v>3544</v>
      </c>
      <c r="AD372" s="2954" t="s">
        <v>3283</v>
      </c>
      <c r="AE372" s="2954" t="s">
        <v>3051</v>
      </c>
      <c r="AF372" s="2954" t="s">
        <v>3283</v>
      </c>
    </row>
    <row r="373" spans="1:32" ht="67.5">
      <c r="A373" s="2954">
        <v>6989</v>
      </c>
      <c r="B373" s="2954" t="s">
        <v>3281</v>
      </c>
      <c r="C373" s="2954" t="s">
        <v>4128</v>
      </c>
      <c r="D373" s="2954" t="s">
        <v>3283</v>
      </c>
      <c r="E373" s="2954" t="s">
        <v>4037</v>
      </c>
      <c r="F373" s="2954" t="s">
        <v>4184</v>
      </c>
      <c r="G373" s="2954" t="s">
        <v>4185</v>
      </c>
      <c r="H373" s="2955">
        <v>1266510</v>
      </c>
      <c r="I373" s="2955">
        <v>11100</v>
      </c>
      <c r="J373" s="2955">
        <v>14052</v>
      </c>
      <c r="K373" s="2959">
        <v>114.1</v>
      </c>
      <c r="L373" s="2955">
        <v>90.13</v>
      </c>
      <c r="M373" s="2954" t="s">
        <v>3233</v>
      </c>
      <c r="N373" s="2954" t="s">
        <v>3541</v>
      </c>
      <c r="O373" s="2954" t="s">
        <v>3441</v>
      </c>
      <c r="P373" s="2954" t="s">
        <v>3289</v>
      </c>
      <c r="Q373" s="2954" t="s">
        <v>4131</v>
      </c>
      <c r="R373" s="2954" t="s">
        <v>3291</v>
      </c>
      <c r="S373" s="2954">
        <v>1266510</v>
      </c>
      <c r="T373" s="2954" t="s">
        <v>3233</v>
      </c>
      <c r="U373" s="2954" t="s">
        <v>3299</v>
      </c>
      <c r="V373" s="2956">
        <v>44499</v>
      </c>
      <c r="W373" s="2954" t="s">
        <v>3051</v>
      </c>
      <c r="X373" s="2954" t="s">
        <v>3046</v>
      </c>
      <c r="Y373" s="2954" t="s">
        <v>3283</v>
      </c>
      <c r="Z373" s="2957">
        <v>43596.392268518503</v>
      </c>
      <c r="AA373" s="2954" t="s">
        <v>3543</v>
      </c>
      <c r="AB373" s="2954" t="s">
        <v>3300</v>
      </c>
      <c r="AC373" s="2954" t="s">
        <v>3544</v>
      </c>
      <c r="AD373" s="2954" t="s">
        <v>3283</v>
      </c>
      <c r="AE373" s="2954" t="s">
        <v>3051</v>
      </c>
      <c r="AF373" s="2954" t="s">
        <v>3283</v>
      </c>
    </row>
    <row r="374" spans="1:32" ht="67.5">
      <c r="A374" s="2954">
        <v>6991</v>
      </c>
      <c r="B374" s="2954" t="s">
        <v>3281</v>
      </c>
      <c r="C374" s="2954" t="s">
        <v>4128</v>
      </c>
      <c r="D374" s="2954" t="s">
        <v>3283</v>
      </c>
      <c r="E374" s="2954" t="s">
        <v>3335</v>
      </c>
      <c r="F374" s="2954" t="s">
        <v>4186</v>
      </c>
      <c r="G374" s="2954" t="s">
        <v>4187</v>
      </c>
      <c r="H374" s="2955">
        <v>1257620</v>
      </c>
      <c r="I374" s="2955">
        <v>10620</v>
      </c>
      <c r="J374" s="2955">
        <v>13445</v>
      </c>
      <c r="K374" s="2959">
        <v>118.42</v>
      </c>
      <c r="L374" s="2955">
        <v>93.54</v>
      </c>
      <c r="M374" s="2954" t="s">
        <v>3233</v>
      </c>
      <c r="N374" s="2954" t="s">
        <v>3547</v>
      </c>
      <c r="O374" s="2954" t="s">
        <v>3441</v>
      </c>
      <c r="P374" s="2954" t="s">
        <v>3289</v>
      </c>
      <c r="Q374" s="2954" t="s">
        <v>4131</v>
      </c>
      <c r="R374" s="2954" t="s">
        <v>3291</v>
      </c>
      <c r="S374" s="2954">
        <v>1257620</v>
      </c>
      <c r="T374" s="2954" t="s">
        <v>3233</v>
      </c>
      <c r="U374" s="2954" t="s">
        <v>3299</v>
      </c>
      <c r="V374" s="2956">
        <v>44499</v>
      </c>
      <c r="W374" s="2954" t="s">
        <v>3051</v>
      </c>
      <c r="X374" s="2954" t="s">
        <v>3046</v>
      </c>
      <c r="Y374" s="2954" t="s">
        <v>3283</v>
      </c>
      <c r="Z374" s="2957">
        <v>43596.392268518503</v>
      </c>
      <c r="AA374" s="2954" t="s">
        <v>3543</v>
      </c>
      <c r="AB374" s="2954" t="s">
        <v>3300</v>
      </c>
      <c r="AC374" s="2954" t="s">
        <v>3544</v>
      </c>
      <c r="AD374" s="2954" t="s">
        <v>3283</v>
      </c>
      <c r="AE374" s="2954" t="s">
        <v>3051</v>
      </c>
      <c r="AF374" s="2954" t="s">
        <v>3283</v>
      </c>
    </row>
    <row r="375" spans="1:32" ht="67.5">
      <c r="A375" s="2954">
        <v>6992</v>
      </c>
      <c r="B375" s="2954" t="s">
        <v>3281</v>
      </c>
      <c r="C375" s="2954" t="s">
        <v>4128</v>
      </c>
      <c r="D375" s="2954" t="s">
        <v>3283</v>
      </c>
      <c r="E375" s="2954" t="s">
        <v>3577</v>
      </c>
      <c r="F375" s="2954" t="s">
        <v>4188</v>
      </c>
      <c r="G375" s="2954" t="s">
        <v>4189</v>
      </c>
      <c r="H375" s="2955">
        <v>1257620</v>
      </c>
      <c r="I375" s="2955">
        <v>10620</v>
      </c>
      <c r="J375" s="2955">
        <v>13445</v>
      </c>
      <c r="K375" s="2959">
        <v>118.42</v>
      </c>
      <c r="L375" s="2955">
        <v>93.54</v>
      </c>
      <c r="M375" s="2954" t="s">
        <v>3233</v>
      </c>
      <c r="N375" s="2954" t="s">
        <v>3551</v>
      </c>
      <c r="O375" s="2954" t="s">
        <v>3441</v>
      </c>
      <c r="P375" s="2954" t="s">
        <v>3289</v>
      </c>
      <c r="Q375" s="2954" t="s">
        <v>4131</v>
      </c>
      <c r="R375" s="2954" t="s">
        <v>3291</v>
      </c>
      <c r="S375" s="2954">
        <v>1257620</v>
      </c>
      <c r="T375" s="2954" t="s">
        <v>3233</v>
      </c>
      <c r="U375" s="2954" t="s">
        <v>3299</v>
      </c>
      <c r="V375" s="2956">
        <v>44499</v>
      </c>
      <c r="W375" s="2954" t="s">
        <v>3051</v>
      </c>
      <c r="X375" s="2954" t="s">
        <v>3046</v>
      </c>
      <c r="Y375" s="2954" t="s">
        <v>3283</v>
      </c>
      <c r="Z375" s="2957">
        <v>43596.392268518503</v>
      </c>
      <c r="AA375" s="2954" t="s">
        <v>3543</v>
      </c>
      <c r="AB375" s="2954" t="s">
        <v>3300</v>
      </c>
      <c r="AC375" s="2954" t="s">
        <v>3544</v>
      </c>
      <c r="AD375" s="2954" t="s">
        <v>3283</v>
      </c>
      <c r="AE375" s="2954" t="s">
        <v>3051</v>
      </c>
      <c r="AF375" s="2954" t="s">
        <v>3283</v>
      </c>
    </row>
    <row r="376" spans="1:32" ht="67.5">
      <c r="A376" s="2954">
        <v>6993</v>
      </c>
      <c r="B376" s="2954" t="s">
        <v>3281</v>
      </c>
      <c r="C376" s="2954" t="s">
        <v>4128</v>
      </c>
      <c r="D376" s="2954" t="s">
        <v>3283</v>
      </c>
      <c r="E376" s="2954" t="s">
        <v>4190</v>
      </c>
      <c r="F376" s="2954" t="s">
        <v>4191</v>
      </c>
      <c r="G376" s="2954" t="s">
        <v>4192</v>
      </c>
      <c r="H376" s="2955">
        <v>1268792</v>
      </c>
      <c r="I376" s="2955">
        <v>11120</v>
      </c>
      <c r="J376" s="2955">
        <v>14077</v>
      </c>
      <c r="K376" s="2959">
        <v>114.1</v>
      </c>
      <c r="L376" s="2955">
        <v>90.13</v>
      </c>
      <c r="M376" s="2954" t="s">
        <v>3233</v>
      </c>
      <c r="N376" s="2954" t="s">
        <v>3541</v>
      </c>
      <c r="O376" s="2954" t="s">
        <v>3441</v>
      </c>
      <c r="P376" s="2954" t="s">
        <v>3289</v>
      </c>
      <c r="Q376" s="2954" t="s">
        <v>4131</v>
      </c>
      <c r="R376" s="2954" t="s">
        <v>3291</v>
      </c>
      <c r="S376" s="2954">
        <v>1268792</v>
      </c>
      <c r="T376" s="2954" t="s">
        <v>3233</v>
      </c>
      <c r="U376" s="2954" t="s">
        <v>3299</v>
      </c>
      <c r="V376" s="2956">
        <v>44499</v>
      </c>
      <c r="W376" s="2954" t="s">
        <v>3051</v>
      </c>
      <c r="X376" s="2954" t="s">
        <v>3046</v>
      </c>
      <c r="Y376" s="2954" t="s">
        <v>3283</v>
      </c>
      <c r="Z376" s="2957">
        <v>43596.392268518503</v>
      </c>
      <c r="AA376" s="2954" t="s">
        <v>3543</v>
      </c>
      <c r="AB376" s="2954" t="s">
        <v>3300</v>
      </c>
      <c r="AC376" s="2954" t="s">
        <v>3544</v>
      </c>
      <c r="AD376" s="2954" t="s">
        <v>3283</v>
      </c>
      <c r="AE376" s="2954" t="s">
        <v>3051</v>
      </c>
      <c r="AF376" s="2954" t="s">
        <v>3283</v>
      </c>
    </row>
    <row r="377" spans="1:32" ht="67.5">
      <c r="A377" s="2954">
        <v>6995</v>
      </c>
      <c r="B377" s="2954" t="s">
        <v>3281</v>
      </c>
      <c r="C377" s="2954" t="s">
        <v>4128</v>
      </c>
      <c r="D377" s="2954" t="s">
        <v>3283</v>
      </c>
      <c r="E377" s="2954" t="s">
        <v>3341</v>
      </c>
      <c r="F377" s="2954" t="s">
        <v>4193</v>
      </c>
      <c r="G377" s="2954" t="s">
        <v>4194</v>
      </c>
      <c r="H377" s="2955">
        <v>1259989</v>
      </c>
      <c r="I377" s="2955">
        <v>10640</v>
      </c>
      <c r="J377" s="2955">
        <v>13470</v>
      </c>
      <c r="K377" s="2959">
        <v>118.42</v>
      </c>
      <c r="L377" s="2955">
        <v>93.54</v>
      </c>
      <c r="M377" s="2954" t="s">
        <v>3233</v>
      </c>
      <c r="N377" s="2954" t="s">
        <v>3547</v>
      </c>
      <c r="O377" s="2954" t="s">
        <v>3441</v>
      </c>
      <c r="P377" s="2954" t="s">
        <v>3289</v>
      </c>
      <c r="Q377" s="2954" t="s">
        <v>4131</v>
      </c>
      <c r="R377" s="2954" t="s">
        <v>3291</v>
      </c>
      <c r="S377" s="2954">
        <v>1259989</v>
      </c>
      <c r="T377" s="2954" t="s">
        <v>3233</v>
      </c>
      <c r="U377" s="2954" t="s">
        <v>3299</v>
      </c>
      <c r="V377" s="2956">
        <v>44499</v>
      </c>
      <c r="W377" s="2954" t="s">
        <v>3051</v>
      </c>
      <c r="X377" s="2954" t="s">
        <v>3046</v>
      </c>
      <c r="Y377" s="2954" t="s">
        <v>3283</v>
      </c>
      <c r="Z377" s="2957">
        <v>43596.392268518503</v>
      </c>
      <c r="AA377" s="2954" t="s">
        <v>3543</v>
      </c>
      <c r="AB377" s="2954" t="s">
        <v>3300</v>
      </c>
      <c r="AC377" s="2954" t="s">
        <v>3544</v>
      </c>
      <c r="AD377" s="2954" t="s">
        <v>3283</v>
      </c>
      <c r="AE377" s="2954" t="s">
        <v>3051</v>
      </c>
      <c r="AF377" s="2954" t="s">
        <v>3283</v>
      </c>
    </row>
    <row r="378" spans="1:32" ht="67.5">
      <c r="A378" s="2954">
        <v>6996</v>
      </c>
      <c r="B378" s="2954" t="s">
        <v>3281</v>
      </c>
      <c r="C378" s="2954" t="s">
        <v>4128</v>
      </c>
      <c r="D378" s="2954" t="s">
        <v>3283</v>
      </c>
      <c r="E378" s="2954" t="s">
        <v>3582</v>
      </c>
      <c r="F378" s="2954" t="s">
        <v>4195</v>
      </c>
      <c r="G378" s="2954" t="s">
        <v>4196</v>
      </c>
      <c r="H378" s="2955">
        <v>1259989</v>
      </c>
      <c r="I378" s="2955">
        <v>10640</v>
      </c>
      <c r="J378" s="2955">
        <v>13470</v>
      </c>
      <c r="K378" s="2959">
        <v>118.42</v>
      </c>
      <c r="L378" s="2955">
        <v>93.54</v>
      </c>
      <c r="M378" s="2954" t="s">
        <v>3233</v>
      </c>
      <c r="N378" s="2954" t="s">
        <v>3551</v>
      </c>
      <c r="O378" s="2954" t="s">
        <v>3441</v>
      </c>
      <c r="P378" s="2954" t="s">
        <v>3289</v>
      </c>
      <c r="Q378" s="2954" t="s">
        <v>4131</v>
      </c>
      <c r="R378" s="2954" t="s">
        <v>3291</v>
      </c>
      <c r="S378" s="2954">
        <v>1259989</v>
      </c>
      <c r="T378" s="2954" t="s">
        <v>3233</v>
      </c>
      <c r="U378" s="2954" t="s">
        <v>3299</v>
      </c>
      <c r="V378" s="2956">
        <v>44499</v>
      </c>
      <c r="W378" s="2954" t="s">
        <v>3051</v>
      </c>
      <c r="X378" s="2954" t="s">
        <v>3046</v>
      </c>
      <c r="Y378" s="2954" t="s">
        <v>3283</v>
      </c>
      <c r="Z378" s="2957">
        <v>43596.392268518503</v>
      </c>
      <c r="AA378" s="2954" t="s">
        <v>3543</v>
      </c>
      <c r="AB378" s="2954" t="s">
        <v>3300</v>
      </c>
      <c r="AC378" s="2954" t="s">
        <v>3544</v>
      </c>
      <c r="AD378" s="2954" t="s">
        <v>3283</v>
      </c>
      <c r="AE378" s="2954" t="s">
        <v>3051</v>
      </c>
      <c r="AF378" s="2954" t="s">
        <v>3283</v>
      </c>
    </row>
    <row r="379" spans="1:32" ht="67.5">
      <c r="A379" s="2954">
        <v>6997</v>
      </c>
      <c r="B379" s="2954" t="s">
        <v>3281</v>
      </c>
      <c r="C379" s="2954" t="s">
        <v>4128</v>
      </c>
      <c r="D379" s="2954" t="s">
        <v>3283</v>
      </c>
      <c r="E379" s="2954" t="s">
        <v>3912</v>
      </c>
      <c r="F379" s="2954" t="s">
        <v>4197</v>
      </c>
      <c r="G379" s="2954" t="s">
        <v>4198</v>
      </c>
      <c r="H379" s="2955">
        <v>1271074</v>
      </c>
      <c r="I379" s="2955">
        <v>11140</v>
      </c>
      <c r="J379" s="2955">
        <v>14103</v>
      </c>
      <c r="K379" s="2959">
        <v>114.1</v>
      </c>
      <c r="L379" s="2955">
        <v>90.13</v>
      </c>
      <c r="M379" s="2954" t="s">
        <v>3233</v>
      </c>
      <c r="N379" s="2954" t="s">
        <v>3541</v>
      </c>
      <c r="O379" s="2954" t="s">
        <v>3441</v>
      </c>
      <c r="P379" s="2954" t="s">
        <v>3289</v>
      </c>
      <c r="Q379" s="2954" t="s">
        <v>4131</v>
      </c>
      <c r="R379" s="2954" t="s">
        <v>3291</v>
      </c>
      <c r="S379" s="2954">
        <v>1271074</v>
      </c>
      <c r="T379" s="2954" t="s">
        <v>3233</v>
      </c>
      <c r="U379" s="2954" t="s">
        <v>3299</v>
      </c>
      <c r="V379" s="2956">
        <v>44499</v>
      </c>
      <c r="W379" s="2954" t="s">
        <v>3051</v>
      </c>
      <c r="X379" s="2954" t="s">
        <v>3046</v>
      </c>
      <c r="Y379" s="2954" t="s">
        <v>3283</v>
      </c>
      <c r="Z379" s="2957">
        <v>43596.392268518503</v>
      </c>
      <c r="AA379" s="2954" t="s">
        <v>3543</v>
      </c>
      <c r="AB379" s="2954" t="s">
        <v>3300</v>
      </c>
      <c r="AC379" s="2954" t="s">
        <v>3544</v>
      </c>
      <c r="AD379" s="2954" t="s">
        <v>3283</v>
      </c>
      <c r="AE379" s="2954" t="s">
        <v>3051</v>
      </c>
      <c r="AF379" s="2954" t="s">
        <v>3283</v>
      </c>
    </row>
    <row r="380" spans="1:32" ht="67.5">
      <c r="A380" s="2954">
        <v>6998</v>
      </c>
      <c r="B380" s="2954" t="s">
        <v>3281</v>
      </c>
      <c r="C380" s="2954" t="s">
        <v>4128</v>
      </c>
      <c r="D380" s="2954" t="s">
        <v>3283</v>
      </c>
      <c r="E380" s="2954" t="s">
        <v>3344</v>
      </c>
      <c r="F380" s="2954" t="s">
        <v>4199</v>
      </c>
      <c r="G380" s="2954" t="s">
        <v>4200</v>
      </c>
      <c r="H380" s="2955">
        <v>1273356</v>
      </c>
      <c r="I380" s="2955">
        <v>11160</v>
      </c>
      <c r="J380" s="2955">
        <v>14128</v>
      </c>
      <c r="K380" s="2959">
        <v>114.1</v>
      </c>
      <c r="L380" s="2955">
        <v>90.13</v>
      </c>
      <c r="M380" s="2954" t="s">
        <v>3233</v>
      </c>
      <c r="N380" s="2954" t="s">
        <v>3672</v>
      </c>
      <c r="O380" s="2954" t="s">
        <v>3441</v>
      </c>
      <c r="P380" s="2954" t="s">
        <v>3289</v>
      </c>
      <c r="Q380" s="2954" t="s">
        <v>4131</v>
      </c>
      <c r="R380" s="2954" t="s">
        <v>3291</v>
      </c>
      <c r="S380" s="2954">
        <v>1273356</v>
      </c>
      <c r="T380" s="2954" t="s">
        <v>3233</v>
      </c>
      <c r="U380" s="2954" t="s">
        <v>3299</v>
      </c>
      <c r="V380" s="2956">
        <v>44499</v>
      </c>
      <c r="W380" s="2954" t="s">
        <v>3051</v>
      </c>
      <c r="X380" s="2954" t="s">
        <v>3046</v>
      </c>
      <c r="Y380" s="2954" t="s">
        <v>3283</v>
      </c>
      <c r="Z380" s="2957">
        <v>43596.392268518503</v>
      </c>
      <c r="AA380" s="2954" t="s">
        <v>3543</v>
      </c>
      <c r="AB380" s="2954" t="s">
        <v>3300</v>
      </c>
      <c r="AC380" s="2954" t="s">
        <v>3544</v>
      </c>
      <c r="AD380" s="2954" t="s">
        <v>3283</v>
      </c>
      <c r="AE380" s="2954" t="s">
        <v>3051</v>
      </c>
      <c r="AF380" s="2954" t="s">
        <v>3283</v>
      </c>
    </row>
    <row r="381" spans="1:32" ht="67.5">
      <c r="A381" s="2954">
        <v>6999</v>
      </c>
      <c r="B381" s="2954" t="s">
        <v>3281</v>
      </c>
      <c r="C381" s="2954" t="s">
        <v>4128</v>
      </c>
      <c r="D381" s="2954" t="s">
        <v>3283</v>
      </c>
      <c r="E381" s="2954" t="s">
        <v>3347</v>
      </c>
      <c r="F381" s="2954" t="s">
        <v>4201</v>
      </c>
      <c r="G381" s="2954" t="s">
        <v>4202</v>
      </c>
      <c r="H381" s="2955">
        <v>1262357</v>
      </c>
      <c r="I381" s="2955">
        <v>10660</v>
      </c>
      <c r="J381" s="2955">
        <v>13495</v>
      </c>
      <c r="K381" s="2959">
        <v>118.42</v>
      </c>
      <c r="L381" s="2955">
        <v>93.54</v>
      </c>
      <c r="M381" s="2954" t="s">
        <v>3233</v>
      </c>
      <c r="N381" s="2954" t="s">
        <v>3547</v>
      </c>
      <c r="O381" s="2954" t="s">
        <v>3441</v>
      </c>
      <c r="P381" s="2954" t="s">
        <v>3289</v>
      </c>
      <c r="Q381" s="2954" t="s">
        <v>4131</v>
      </c>
      <c r="R381" s="2954" t="s">
        <v>3291</v>
      </c>
      <c r="S381" s="2954">
        <v>1262357</v>
      </c>
      <c r="T381" s="2954" t="s">
        <v>3233</v>
      </c>
      <c r="U381" s="2954" t="s">
        <v>3299</v>
      </c>
      <c r="V381" s="2956">
        <v>44499</v>
      </c>
      <c r="W381" s="2954" t="s">
        <v>3051</v>
      </c>
      <c r="X381" s="2954" t="s">
        <v>3046</v>
      </c>
      <c r="Y381" s="2954" t="s">
        <v>3283</v>
      </c>
      <c r="Z381" s="2957">
        <v>43596.392268518503</v>
      </c>
      <c r="AA381" s="2954" t="s">
        <v>3543</v>
      </c>
      <c r="AB381" s="2954" t="s">
        <v>3300</v>
      </c>
      <c r="AC381" s="2954" t="s">
        <v>3544</v>
      </c>
      <c r="AD381" s="2954" t="s">
        <v>3283</v>
      </c>
      <c r="AE381" s="2954" t="s">
        <v>3051</v>
      </c>
      <c r="AF381" s="2954" t="s">
        <v>3283</v>
      </c>
    </row>
    <row r="382" spans="1:32" ht="67.5">
      <c r="A382" s="2954">
        <v>7000</v>
      </c>
      <c r="B382" s="2954" t="s">
        <v>3281</v>
      </c>
      <c r="C382" s="2954" t="s">
        <v>4128</v>
      </c>
      <c r="D382" s="2954" t="s">
        <v>3283</v>
      </c>
      <c r="E382" s="2954" t="s">
        <v>3585</v>
      </c>
      <c r="F382" s="2954" t="s">
        <v>4203</v>
      </c>
      <c r="G382" s="2954" t="s">
        <v>4204</v>
      </c>
      <c r="H382" s="2955">
        <v>1262357</v>
      </c>
      <c r="I382" s="2955">
        <v>10660</v>
      </c>
      <c r="J382" s="2955">
        <v>13495</v>
      </c>
      <c r="K382" s="2959">
        <v>118.42</v>
      </c>
      <c r="L382" s="2955">
        <v>93.54</v>
      </c>
      <c r="M382" s="2954" t="s">
        <v>3233</v>
      </c>
      <c r="N382" s="2954" t="s">
        <v>3551</v>
      </c>
      <c r="O382" s="2954" t="s">
        <v>3441</v>
      </c>
      <c r="P382" s="2954" t="s">
        <v>3289</v>
      </c>
      <c r="Q382" s="2954" t="s">
        <v>4131</v>
      </c>
      <c r="R382" s="2954" t="s">
        <v>3291</v>
      </c>
      <c r="S382" s="2954">
        <v>1262357</v>
      </c>
      <c r="T382" s="2954" t="s">
        <v>3233</v>
      </c>
      <c r="U382" s="2954" t="s">
        <v>3299</v>
      </c>
      <c r="V382" s="2956">
        <v>44499</v>
      </c>
      <c r="W382" s="2954" t="s">
        <v>3051</v>
      </c>
      <c r="X382" s="2954" t="s">
        <v>3046</v>
      </c>
      <c r="Y382" s="2954" t="s">
        <v>3283</v>
      </c>
      <c r="Z382" s="2957">
        <v>43596.392268518503</v>
      </c>
      <c r="AA382" s="2954" t="s">
        <v>3543</v>
      </c>
      <c r="AB382" s="2954" t="s">
        <v>3300</v>
      </c>
      <c r="AC382" s="2954" t="s">
        <v>3544</v>
      </c>
      <c r="AD382" s="2954" t="s">
        <v>3283</v>
      </c>
      <c r="AE382" s="2954" t="s">
        <v>3051</v>
      </c>
      <c r="AF382" s="2954" t="s">
        <v>3283</v>
      </c>
    </row>
    <row r="383" spans="1:32" ht="67.5">
      <c r="A383" s="2954">
        <v>7001</v>
      </c>
      <c r="B383" s="2954" t="s">
        <v>3281</v>
      </c>
      <c r="C383" s="2954" t="s">
        <v>4128</v>
      </c>
      <c r="D383" s="2954" t="s">
        <v>3283</v>
      </c>
      <c r="E383" s="2954" t="s">
        <v>3919</v>
      </c>
      <c r="F383" s="2954" t="s">
        <v>4205</v>
      </c>
      <c r="G383" s="2954" t="s">
        <v>4206</v>
      </c>
      <c r="H383" s="2955">
        <v>1273356</v>
      </c>
      <c r="I383" s="2955">
        <v>11160</v>
      </c>
      <c r="J383" s="2955">
        <v>14128</v>
      </c>
      <c r="K383" s="2959">
        <v>114.1</v>
      </c>
      <c r="L383" s="2955">
        <v>90.13</v>
      </c>
      <c r="M383" s="2954" t="s">
        <v>3233</v>
      </c>
      <c r="N383" s="2954" t="s">
        <v>3541</v>
      </c>
      <c r="O383" s="2954" t="s">
        <v>3441</v>
      </c>
      <c r="P383" s="2954" t="s">
        <v>3289</v>
      </c>
      <c r="Q383" s="2954" t="s">
        <v>4131</v>
      </c>
      <c r="R383" s="2954" t="s">
        <v>3291</v>
      </c>
      <c r="S383" s="2954">
        <v>1273356</v>
      </c>
      <c r="T383" s="2954" t="s">
        <v>3233</v>
      </c>
      <c r="U383" s="2954" t="s">
        <v>3299</v>
      </c>
      <c r="V383" s="2956">
        <v>44499</v>
      </c>
      <c r="W383" s="2954" t="s">
        <v>3051</v>
      </c>
      <c r="X383" s="2954" t="s">
        <v>3046</v>
      </c>
      <c r="Y383" s="2954" t="s">
        <v>3283</v>
      </c>
      <c r="Z383" s="2957">
        <v>43596.392268518503</v>
      </c>
      <c r="AA383" s="2954" t="s">
        <v>3543</v>
      </c>
      <c r="AB383" s="2954" t="s">
        <v>3300</v>
      </c>
      <c r="AC383" s="2954" t="s">
        <v>3544</v>
      </c>
      <c r="AD383" s="2954" t="s">
        <v>3283</v>
      </c>
      <c r="AE383" s="2954" t="s">
        <v>3051</v>
      </c>
      <c r="AF383" s="2954" t="s">
        <v>3283</v>
      </c>
    </row>
    <row r="384" spans="1:32" ht="67.5">
      <c r="A384" s="2954">
        <v>7002</v>
      </c>
      <c r="B384" s="2954" t="s">
        <v>3281</v>
      </c>
      <c r="C384" s="2954" t="s">
        <v>4128</v>
      </c>
      <c r="D384" s="2954" t="s">
        <v>3283</v>
      </c>
      <c r="E384" s="2954" t="s">
        <v>3350</v>
      </c>
      <c r="F384" s="2954" t="s">
        <v>4207</v>
      </c>
      <c r="G384" s="2954" t="s">
        <v>4208</v>
      </c>
      <c r="H384" s="2955">
        <v>1275638</v>
      </c>
      <c r="I384" s="2955">
        <v>11180</v>
      </c>
      <c r="J384" s="2955">
        <v>14153</v>
      </c>
      <c r="K384" s="2959">
        <v>114.1</v>
      </c>
      <c r="L384" s="2955">
        <v>90.13</v>
      </c>
      <c r="M384" s="2954" t="s">
        <v>3233</v>
      </c>
      <c r="N384" s="2954" t="s">
        <v>3672</v>
      </c>
      <c r="O384" s="2954" t="s">
        <v>3441</v>
      </c>
      <c r="P384" s="2954" t="s">
        <v>3289</v>
      </c>
      <c r="Q384" s="2954" t="s">
        <v>4131</v>
      </c>
      <c r="R384" s="2954" t="s">
        <v>3291</v>
      </c>
      <c r="S384" s="2954">
        <v>1275638</v>
      </c>
      <c r="T384" s="2954" t="s">
        <v>3233</v>
      </c>
      <c r="U384" s="2954" t="s">
        <v>3299</v>
      </c>
      <c r="V384" s="2956">
        <v>44499</v>
      </c>
      <c r="W384" s="2954" t="s">
        <v>3051</v>
      </c>
      <c r="X384" s="2954" t="s">
        <v>3046</v>
      </c>
      <c r="Y384" s="2954" t="s">
        <v>3283</v>
      </c>
      <c r="Z384" s="2957">
        <v>43596.392268518503</v>
      </c>
      <c r="AA384" s="2954" t="s">
        <v>3543</v>
      </c>
      <c r="AB384" s="2954" t="s">
        <v>3300</v>
      </c>
      <c r="AC384" s="2954" t="s">
        <v>3544</v>
      </c>
      <c r="AD384" s="2954" t="s">
        <v>3283</v>
      </c>
      <c r="AE384" s="2954" t="s">
        <v>3051</v>
      </c>
      <c r="AF384" s="2954" t="s">
        <v>3283</v>
      </c>
    </row>
    <row r="385" spans="1:32" ht="67.5">
      <c r="A385" s="2954">
        <v>7003</v>
      </c>
      <c r="B385" s="2954" t="s">
        <v>3281</v>
      </c>
      <c r="C385" s="2954" t="s">
        <v>4128</v>
      </c>
      <c r="D385" s="2954" t="s">
        <v>3283</v>
      </c>
      <c r="E385" s="2954" t="s">
        <v>3353</v>
      </c>
      <c r="F385" s="2954" t="s">
        <v>4209</v>
      </c>
      <c r="G385" s="2954" t="s">
        <v>4210</v>
      </c>
      <c r="H385" s="2955">
        <v>1264726</v>
      </c>
      <c r="I385" s="2955">
        <v>10680</v>
      </c>
      <c r="J385" s="2955">
        <v>13521</v>
      </c>
      <c r="K385" s="2959">
        <v>118.42</v>
      </c>
      <c r="L385" s="2955">
        <v>93.54</v>
      </c>
      <c r="M385" s="2954" t="s">
        <v>3233</v>
      </c>
      <c r="N385" s="2954" t="s">
        <v>3547</v>
      </c>
      <c r="O385" s="2954" t="s">
        <v>3441</v>
      </c>
      <c r="P385" s="2954" t="s">
        <v>3289</v>
      </c>
      <c r="Q385" s="2954" t="s">
        <v>4131</v>
      </c>
      <c r="R385" s="2954" t="s">
        <v>3291</v>
      </c>
      <c r="S385" s="2954">
        <v>1264726</v>
      </c>
      <c r="T385" s="2954" t="s">
        <v>3233</v>
      </c>
      <c r="U385" s="2954" t="s">
        <v>3299</v>
      </c>
      <c r="V385" s="2956">
        <v>44499</v>
      </c>
      <c r="W385" s="2954" t="s">
        <v>3051</v>
      </c>
      <c r="X385" s="2954" t="s">
        <v>3046</v>
      </c>
      <c r="Y385" s="2954" t="s">
        <v>3283</v>
      </c>
      <c r="Z385" s="2957">
        <v>43596.392268518503</v>
      </c>
      <c r="AA385" s="2954" t="s">
        <v>3543</v>
      </c>
      <c r="AB385" s="2954" t="s">
        <v>3300</v>
      </c>
      <c r="AC385" s="2954" t="s">
        <v>3544</v>
      </c>
      <c r="AD385" s="2954" t="s">
        <v>3283</v>
      </c>
      <c r="AE385" s="2954" t="s">
        <v>3051</v>
      </c>
      <c r="AF385" s="2954" t="s">
        <v>3283</v>
      </c>
    </row>
    <row r="386" spans="1:32" ht="67.5">
      <c r="A386" s="2954">
        <v>7004</v>
      </c>
      <c r="B386" s="2954" t="s">
        <v>3281</v>
      </c>
      <c r="C386" s="2954" t="s">
        <v>4128</v>
      </c>
      <c r="D386" s="2954" t="s">
        <v>3283</v>
      </c>
      <c r="E386" s="2954" t="s">
        <v>3716</v>
      </c>
      <c r="F386" s="2954" t="s">
        <v>4211</v>
      </c>
      <c r="G386" s="2954" t="s">
        <v>4212</v>
      </c>
      <c r="H386" s="2955">
        <v>1264726</v>
      </c>
      <c r="I386" s="2955">
        <v>10680</v>
      </c>
      <c r="J386" s="2955">
        <v>13521</v>
      </c>
      <c r="K386" s="2959">
        <v>118.42</v>
      </c>
      <c r="L386" s="2955">
        <v>93.54</v>
      </c>
      <c r="M386" s="2954" t="s">
        <v>3233</v>
      </c>
      <c r="N386" s="2954" t="s">
        <v>3551</v>
      </c>
      <c r="O386" s="2954" t="s">
        <v>3441</v>
      </c>
      <c r="P386" s="2954" t="s">
        <v>3289</v>
      </c>
      <c r="Q386" s="2954" t="s">
        <v>4131</v>
      </c>
      <c r="R386" s="2954" t="s">
        <v>3291</v>
      </c>
      <c r="S386" s="2954">
        <v>1264726</v>
      </c>
      <c r="T386" s="2954" t="s">
        <v>3233</v>
      </c>
      <c r="U386" s="2954" t="s">
        <v>3299</v>
      </c>
      <c r="V386" s="2956">
        <v>44499</v>
      </c>
      <c r="W386" s="2954" t="s">
        <v>3051</v>
      </c>
      <c r="X386" s="2954" t="s">
        <v>3046</v>
      </c>
      <c r="Y386" s="2954" t="s">
        <v>3283</v>
      </c>
      <c r="Z386" s="2957">
        <v>43596.392268518503</v>
      </c>
      <c r="AA386" s="2954" t="s">
        <v>3543</v>
      </c>
      <c r="AB386" s="2954" t="s">
        <v>3300</v>
      </c>
      <c r="AC386" s="2954" t="s">
        <v>3544</v>
      </c>
      <c r="AD386" s="2954" t="s">
        <v>3283</v>
      </c>
      <c r="AE386" s="2954" t="s">
        <v>3051</v>
      </c>
      <c r="AF386" s="2954" t="s">
        <v>3283</v>
      </c>
    </row>
    <row r="387" spans="1:32" ht="67.5">
      <c r="A387" s="2954">
        <v>7005</v>
      </c>
      <c r="B387" s="2954" t="s">
        <v>3281</v>
      </c>
      <c r="C387" s="2954" t="s">
        <v>4128</v>
      </c>
      <c r="D387" s="2954" t="s">
        <v>3283</v>
      </c>
      <c r="E387" s="2954" t="s">
        <v>4052</v>
      </c>
      <c r="F387" s="2954" t="s">
        <v>4213</v>
      </c>
      <c r="G387" s="2954" t="s">
        <v>4214</v>
      </c>
      <c r="H387" s="2955">
        <v>1275638</v>
      </c>
      <c r="I387" s="2955">
        <v>11180</v>
      </c>
      <c r="J387" s="2955">
        <v>14153</v>
      </c>
      <c r="K387" s="2959">
        <v>114.1</v>
      </c>
      <c r="L387" s="2955">
        <v>90.13</v>
      </c>
      <c r="M387" s="2954" t="s">
        <v>3233</v>
      </c>
      <c r="N387" s="2954" t="s">
        <v>3541</v>
      </c>
      <c r="O387" s="2954" t="s">
        <v>3441</v>
      </c>
      <c r="P387" s="2954" t="s">
        <v>3289</v>
      </c>
      <c r="Q387" s="2954" t="s">
        <v>4131</v>
      </c>
      <c r="R387" s="2954" t="s">
        <v>3291</v>
      </c>
      <c r="S387" s="2954">
        <v>1275638</v>
      </c>
      <c r="T387" s="2954" t="s">
        <v>3233</v>
      </c>
      <c r="U387" s="2954" t="s">
        <v>3299</v>
      </c>
      <c r="V387" s="2956">
        <v>44499</v>
      </c>
      <c r="W387" s="2954" t="s">
        <v>3051</v>
      </c>
      <c r="X387" s="2954" t="s">
        <v>3046</v>
      </c>
      <c r="Y387" s="2954" t="s">
        <v>3283</v>
      </c>
      <c r="Z387" s="2957">
        <v>43596.392268518503</v>
      </c>
      <c r="AA387" s="2954" t="s">
        <v>3543</v>
      </c>
      <c r="AB387" s="2954" t="s">
        <v>3300</v>
      </c>
      <c r="AC387" s="2954" t="s">
        <v>3544</v>
      </c>
      <c r="AD387" s="2954" t="s">
        <v>3283</v>
      </c>
      <c r="AE387" s="2954" t="s">
        <v>3051</v>
      </c>
      <c r="AF387" s="2954" t="s">
        <v>3283</v>
      </c>
    </row>
    <row r="388" spans="1:32" ht="67.5">
      <c r="A388" s="2954">
        <v>7007</v>
      </c>
      <c r="B388" s="2954" t="s">
        <v>3281</v>
      </c>
      <c r="C388" s="2954" t="s">
        <v>4128</v>
      </c>
      <c r="D388" s="2954" t="s">
        <v>3283</v>
      </c>
      <c r="E388" s="2954" t="s">
        <v>3359</v>
      </c>
      <c r="F388" s="2954" t="s">
        <v>4215</v>
      </c>
      <c r="G388" s="2954" t="s">
        <v>4216</v>
      </c>
      <c r="H388" s="2955">
        <v>1267094</v>
      </c>
      <c r="I388" s="2955">
        <v>10700</v>
      </c>
      <c r="J388" s="2955">
        <v>13546</v>
      </c>
      <c r="K388" s="2959">
        <v>118.42</v>
      </c>
      <c r="L388" s="2955">
        <v>93.54</v>
      </c>
      <c r="M388" s="2954" t="s">
        <v>3233</v>
      </c>
      <c r="N388" s="2954" t="s">
        <v>3547</v>
      </c>
      <c r="O388" s="2954" t="s">
        <v>3441</v>
      </c>
      <c r="P388" s="2954" t="s">
        <v>3289</v>
      </c>
      <c r="Q388" s="2954" t="s">
        <v>4131</v>
      </c>
      <c r="R388" s="2954" t="s">
        <v>3291</v>
      </c>
      <c r="S388" s="2954">
        <v>1267094</v>
      </c>
      <c r="T388" s="2954" t="s">
        <v>3233</v>
      </c>
      <c r="U388" s="2954" t="s">
        <v>3299</v>
      </c>
      <c r="V388" s="2956">
        <v>44499</v>
      </c>
      <c r="W388" s="2954" t="s">
        <v>3051</v>
      </c>
      <c r="X388" s="2954" t="s">
        <v>3046</v>
      </c>
      <c r="Y388" s="2954" t="s">
        <v>3283</v>
      </c>
      <c r="Z388" s="2957">
        <v>43596.392268518503</v>
      </c>
      <c r="AA388" s="2954" t="s">
        <v>3543</v>
      </c>
      <c r="AB388" s="2954" t="s">
        <v>3300</v>
      </c>
      <c r="AC388" s="2954" t="s">
        <v>3544</v>
      </c>
      <c r="AD388" s="2954" t="s">
        <v>3283</v>
      </c>
      <c r="AE388" s="2954" t="s">
        <v>3051</v>
      </c>
      <c r="AF388" s="2954" t="s">
        <v>3283</v>
      </c>
    </row>
    <row r="389" spans="1:32" ht="67.5">
      <c r="A389" s="2954">
        <v>7008</v>
      </c>
      <c r="B389" s="2954" t="s">
        <v>3281</v>
      </c>
      <c r="C389" s="2954" t="s">
        <v>4128</v>
      </c>
      <c r="D389" s="2954" t="s">
        <v>3283</v>
      </c>
      <c r="E389" s="2954" t="s">
        <v>3590</v>
      </c>
      <c r="F389" s="2954" t="s">
        <v>4217</v>
      </c>
      <c r="G389" s="2954" t="s">
        <v>4218</v>
      </c>
      <c r="H389" s="2955">
        <v>1267094</v>
      </c>
      <c r="I389" s="2955">
        <v>10700</v>
      </c>
      <c r="J389" s="2955">
        <v>13546</v>
      </c>
      <c r="K389" s="2959">
        <v>118.42</v>
      </c>
      <c r="L389" s="2955">
        <v>93.54</v>
      </c>
      <c r="M389" s="2954" t="s">
        <v>3233</v>
      </c>
      <c r="N389" s="2954" t="s">
        <v>3551</v>
      </c>
      <c r="O389" s="2954" t="s">
        <v>3441</v>
      </c>
      <c r="P389" s="2954" t="s">
        <v>3289</v>
      </c>
      <c r="Q389" s="2954" t="s">
        <v>4131</v>
      </c>
      <c r="R389" s="2954" t="s">
        <v>3291</v>
      </c>
      <c r="S389" s="2954">
        <v>1267094</v>
      </c>
      <c r="T389" s="2954" t="s">
        <v>3233</v>
      </c>
      <c r="U389" s="2954" t="s">
        <v>3299</v>
      </c>
      <c r="V389" s="2956">
        <v>44499</v>
      </c>
      <c r="W389" s="2954" t="s">
        <v>3051</v>
      </c>
      <c r="X389" s="2954" t="s">
        <v>3046</v>
      </c>
      <c r="Y389" s="2954" t="s">
        <v>3283</v>
      </c>
      <c r="Z389" s="2957">
        <v>43596.392268518503</v>
      </c>
      <c r="AA389" s="2954" t="s">
        <v>3543</v>
      </c>
      <c r="AB389" s="2954" t="s">
        <v>3300</v>
      </c>
      <c r="AC389" s="2954" t="s">
        <v>3544</v>
      </c>
      <c r="AD389" s="2954" t="s">
        <v>3283</v>
      </c>
      <c r="AE389" s="2954" t="s">
        <v>3051</v>
      </c>
      <c r="AF389" s="2954" t="s">
        <v>3283</v>
      </c>
    </row>
    <row r="390" spans="1:32" ht="67.5">
      <c r="A390" s="2954">
        <v>7009</v>
      </c>
      <c r="B390" s="2954" t="s">
        <v>3281</v>
      </c>
      <c r="C390" s="2954" t="s">
        <v>4128</v>
      </c>
      <c r="D390" s="2954" t="s">
        <v>3283</v>
      </c>
      <c r="E390" s="2954" t="s">
        <v>3812</v>
      </c>
      <c r="F390" s="2954" t="s">
        <v>4219</v>
      </c>
      <c r="G390" s="2954" t="s">
        <v>4220</v>
      </c>
      <c r="H390" s="2955">
        <v>1277920</v>
      </c>
      <c r="I390" s="2955">
        <v>11200</v>
      </c>
      <c r="J390" s="2955">
        <v>14179</v>
      </c>
      <c r="K390" s="2959">
        <v>114.1</v>
      </c>
      <c r="L390" s="2955">
        <v>90.13</v>
      </c>
      <c r="M390" s="2954" t="s">
        <v>3233</v>
      </c>
      <c r="N390" s="2954" t="s">
        <v>3541</v>
      </c>
      <c r="O390" s="2954" t="s">
        <v>3441</v>
      </c>
      <c r="P390" s="2954" t="s">
        <v>3289</v>
      </c>
      <c r="Q390" s="2954" t="s">
        <v>4131</v>
      </c>
      <c r="R390" s="2954" t="s">
        <v>3291</v>
      </c>
      <c r="S390" s="2954">
        <v>1277920</v>
      </c>
      <c r="T390" s="2954" t="s">
        <v>3233</v>
      </c>
      <c r="U390" s="2954" t="s">
        <v>3299</v>
      </c>
      <c r="V390" s="2956">
        <v>44499</v>
      </c>
      <c r="W390" s="2954" t="s">
        <v>3051</v>
      </c>
      <c r="X390" s="2954" t="s">
        <v>3046</v>
      </c>
      <c r="Y390" s="2954" t="s">
        <v>3283</v>
      </c>
      <c r="Z390" s="2957">
        <v>43596.392268518503</v>
      </c>
      <c r="AA390" s="2954" t="s">
        <v>3543</v>
      </c>
      <c r="AB390" s="2954" t="s">
        <v>3300</v>
      </c>
      <c r="AC390" s="2954" t="s">
        <v>3544</v>
      </c>
      <c r="AD390" s="2954" t="s">
        <v>3283</v>
      </c>
      <c r="AE390" s="2954" t="s">
        <v>3051</v>
      </c>
      <c r="AF390" s="2954" t="s">
        <v>3283</v>
      </c>
    </row>
    <row r="391" spans="1:32" ht="67.5">
      <c r="A391" s="2954">
        <v>7010</v>
      </c>
      <c r="B391" s="2954" t="s">
        <v>3281</v>
      </c>
      <c r="C391" s="2954" t="s">
        <v>4128</v>
      </c>
      <c r="D391" s="2954" t="s">
        <v>3283</v>
      </c>
      <c r="E391" s="2954" t="s">
        <v>3362</v>
      </c>
      <c r="F391" s="2954" t="s">
        <v>4221</v>
      </c>
      <c r="G391" s="2954" t="s">
        <v>4222</v>
      </c>
      <c r="H391" s="2955">
        <v>1280202</v>
      </c>
      <c r="I391" s="2955">
        <v>11220</v>
      </c>
      <c r="J391" s="2955">
        <v>14204</v>
      </c>
      <c r="K391" s="2959">
        <v>114.1</v>
      </c>
      <c r="L391" s="2955">
        <v>90.13</v>
      </c>
      <c r="M391" s="2954" t="s">
        <v>3233</v>
      </c>
      <c r="N391" s="2954" t="s">
        <v>3672</v>
      </c>
      <c r="O391" s="2954" t="s">
        <v>3441</v>
      </c>
      <c r="P391" s="2954" t="s">
        <v>3289</v>
      </c>
      <c r="Q391" s="2954" t="s">
        <v>4131</v>
      </c>
      <c r="R391" s="2954" t="s">
        <v>3291</v>
      </c>
      <c r="S391" s="2954">
        <v>1280202</v>
      </c>
      <c r="T391" s="2954" t="s">
        <v>3233</v>
      </c>
      <c r="U391" s="2954" t="s">
        <v>3299</v>
      </c>
      <c r="V391" s="2956">
        <v>44499</v>
      </c>
      <c r="W391" s="2954" t="s">
        <v>3051</v>
      </c>
      <c r="X391" s="2954" t="s">
        <v>3046</v>
      </c>
      <c r="Y391" s="2954" t="s">
        <v>3283</v>
      </c>
      <c r="Z391" s="2957">
        <v>43596.392268518503</v>
      </c>
      <c r="AA391" s="2954" t="s">
        <v>3543</v>
      </c>
      <c r="AB391" s="2954" t="s">
        <v>3300</v>
      </c>
      <c r="AC391" s="2954" t="s">
        <v>3544</v>
      </c>
      <c r="AD391" s="2954" t="s">
        <v>3283</v>
      </c>
      <c r="AE391" s="2954" t="s">
        <v>3051</v>
      </c>
      <c r="AF391" s="2954" t="s">
        <v>3283</v>
      </c>
    </row>
    <row r="392" spans="1:32" ht="67.5">
      <c r="A392" s="2954">
        <v>7011</v>
      </c>
      <c r="B392" s="2954" t="s">
        <v>3281</v>
      </c>
      <c r="C392" s="2954" t="s">
        <v>4128</v>
      </c>
      <c r="D392" s="2954" t="s">
        <v>3283</v>
      </c>
      <c r="E392" s="2954" t="s">
        <v>3365</v>
      </c>
      <c r="F392" s="2954" t="s">
        <v>4223</v>
      </c>
      <c r="G392" s="2954" t="s">
        <v>4224</v>
      </c>
      <c r="H392" s="2955">
        <v>1269462</v>
      </c>
      <c r="I392" s="2955">
        <v>10720</v>
      </c>
      <c r="J392" s="2955">
        <v>13571</v>
      </c>
      <c r="K392" s="2959">
        <v>118.42</v>
      </c>
      <c r="L392" s="2955">
        <v>93.54</v>
      </c>
      <c r="M392" s="2954" t="s">
        <v>3233</v>
      </c>
      <c r="N392" s="2954" t="s">
        <v>3547</v>
      </c>
      <c r="O392" s="2954" t="s">
        <v>3441</v>
      </c>
      <c r="P392" s="2954" t="s">
        <v>3289</v>
      </c>
      <c r="Q392" s="2954" t="s">
        <v>4131</v>
      </c>
      <c r="R392" s="2954" t="s">
        <v>3291</v>
      </c>
      <c r="S392" s="2954">
        <v>1269462</v>
      </c>
      <c r="T392" s="2954" t="s">
        <v>3233</v>
      </c>
      <c r="U392" s="2954" t="s">
        <v>3299</v>
      </c>
      <c r="V392" s="2956">
        <v>44499</v>
      </c>
      <c r="W392" s="2954" t="s">
        <v>3051</v>
      </c>
      <c r="X392" s="2954" t="s">
        <v>3046</v>
      </c>
      <c r="Y392" s="2954" t="s">
        <v>3283</v>
      </c>
      <c r="Z392" s="2957">
        <v>43596.392268518503</v>
      </c>
      <c r="AA392" s="2954" t="s">
        <v>3543</v>
      </c>
      <c r="AB392" s="2954" t="s">
        <v>3300</v>
      </c>
      <c r="AC392" s="2954" t="s">
        <v>3544</v>
      </c>
      <c r="AD392" s="2954" t="s">
        <v>3283</v>
      </c>
      <c r="AE392" s="2954" t="s">
        <v>3051</v>
      </c>
      <c r="AF392" s="2954" t="s">
        <v>3283</v>
      </c>
    </row>
    <row r="393" spans="1:32" ht="67.5">
      <c r="A393" s="2954">
        <v>7012</v>
      </c>
      <c r="B393" s="2954" t="s">
        <v>3281</v>
      </c>
      <c r="C393" s="2954" t="s">
        <v>4128</v>
      </c>
      <c r="D393" s="2954" t="s">
        <v>3283</v>
      </c>
      <c r="E393" s="2954" t="s">
        <v>3595</v>
      </c>
      <c r="F393" s="2954" t="s">
        <v>4225</v>
      </c>
      <c r="G393" s="2954" t="s">
        <v>4226</v>
      </c>
      <c r="H393" s="2955">
        <v>1269462</v>
      </c>
      <c r="I393" s="2955">
        <v>10720</v>
      </c>
      <c r="J393" s="2955">
        <v>13571</v>
      </c>
      <c r="K393" s="2959">
        <v>118.42</v>
      </c>
      <c r="L393" s="2955">
        <v>93.54</v>
      </c>
      <c r="M393" s="2954" t="s">
        <v>3233</v>
      </c>
      <c r="N393" s="2954" t="s">
        <v>3551</v>
      </c>
      <c r="O393" s="2954" t="s">
        <v>3441</v>
      </c>
      <c r="P393" s="2954" t="s">
        <v>3289</v>
      </c>
      <c r="Q393" s="2954" t="s">
        <v>4131</v>
      </c>
      <c r="R393" s="2954" t="s">
        <v>3291</v>
      </c>
      <c r="S393" s="2954">
        <v>1269462</v>
      </c>
      <c r="T393" s="2954" t="s">
        <v>3233</v>
      </c>
      <c r="U393" s="2954" t="s">
        <v>3299</v>
      </c>
      <c r="V393" s="2956">
        <v>44499</v>
      </c>
      <c r="W393" s="2954" t="s">
        <v>3051</v>
      </c>
      <c r="X393" s="2954" t="s">
        <v>3046</v>
      </c>
      <c r="Y393" s="2954" t="s">
        <v>3283</v>
      </c>
      <c r="Z393" s="2957">
        <v>43596.392268518503</v>
      </c>
      <c r="AA393" s="2954" t="s">
        <v>3543</v>
      </c>
      <c r="AB393" s="2954" t="s">
        <v>3300</v>
      </c>
      <c r="AC393" s="2954" t="s">
        <v>3544</v>
      </c>
      <c r="AD393" s="2954" t="s">
        <v>3283</v>
      </c>
      <c r="AE393" s="2954" t="s">
        <v>3051</v>
      </c>
      <c r="AF393" s="2954" t="s">
        <v>3283</v>
      </c>
    </row>
    <row r="394" spans="1:32" ht="67.5">
      <c r="A394" s="2954">
        <v>7013</v>
      </c>
      <c r="B394" s="2954" t="s">
        <v>3281</v>
      </c>
      <c r="C394" s="2954" t="s">
        <v>4128</v>
      </c>
      <c r="D394" s="2954" t="s">
        <v>3283</v>
      </c>
      <c r="E394" s="2954" t="s">
        <v>3821</v>
      </c>
      <c r="F394" s="2954" t="s">
        <v>4227</v>
      </c>
      <c r="G394" s="2954" t="s">
        <v>4228</v>
      </c>
      <c r="H394" s="2955">
        <v>1280202</v>
      </c>
      <c r="I394" s="2955">
        <v>11220</v>
      </c>
      <c r="J394" s="2955">
        <v>14204</v>
      </c>
      <c r="K394" s="2959">
        <v>114.1</v>
      </c>
      <c r="L394" s="2955">
        <v>90.13</v>
      </c>
      <c r="M394" s="2954" t="s">
        <v>3233</v>
      </c>
      <c r="N394" s="2954" t="s">
        <v>3541</v>
      </c>
      <c r="O394" s="2954" t="s">
        <v>3441</v>
      </c>
      <c r="P394" s="2954" t="s">
        <v>3289</v>
      </c>
      <c r="Q394" s="2954" t="s">
        <v>4131</v>
      </c>
      <c r="R394" s="2954" t="s">
        <v>3291</v>
      </c>
      <c r="S394" s="2954">
        <v>1280202</v>
      </c>
      <c r="T394" s="2954" t="s">
        <v>3233</v>
      </c>
      <c r="U394" s="2954" t="s">
        <v>3299</v>
      </c>
      <c r="V394" s="2956">
        <v>44499</v>
      </c>
      <c r="W394" s="2954" t="s">
        <v>3051</v>
      </c>
      <c r="X394" s="2954" t="s">
        <v>3046</v>
      </c>
      <c r="Y394" s="2954" t="s">
        <v>3283</v>
      </c>
      <c r="Z394" s="2957">
        <v>43596.392268518503</v>
      </c>
      <c r="AA394" s="2954" t="s">
        <v>3543</v>
      </c>
      <c r="AB394" s="2954" t="s">
        <v>3300</v>
      </c>
      <c r="AC394" s="2954" t="s">
        <v>3544</v>
      </c>
      <c r="AD394" s="2954" t="s">
        <v>3283</v>
      </c>
      <c r="AE394" s="2954" t="s">
        <v>3051</v>
      </c>
      <c r="AF394" s="2954" t="s">
        <v>3283</v>
      </c>
    </row>
    <row r="395" spans="1:32" ht="67.5">
      <c r="A395" s="2954">
        <v>7015</v>
      </c>
      <c r="B395" s="2954" t="s">
        <v>3281</v>
      </c>
      <c r="C395" s="2954" t="s">
        <v>4128</v>
      </c>
      <c r="D395" s="2954" t="s">
        <v>3283</v>
      </c>
      <c r="E395" s="2954" t="s">
        <v>3368</v>
      </c>
      <c r="F395" s="2954" t="s">
        <v>4229</v>
      </c>
      <c r="G395" s="2954" t="s">
        <v>4230</v>
      </c>
      <c r="H395" s="2955">
        <v>1271831</v>
      </c>
      <c r="I395" s="2955">
        <v>10740</v>
      </c>
      <c r="J395" s="2955">
        <v>13597</v>
      </c>
      <c r="K395" s="2959">
        <v>118.42</v>
      </c>
      <c r="L395" s="2955">
        <v>93.54</v>
      </c>
      <c r="M395" s="2954" t="s">
        <v>3233</v>
      </c>
      <c r="N395" s="2954" t="s">
        <v>3547</v>
      </c>
      <c r="O395" s="2954" t="s">
        <v>3441</v>
      </c>
      <c r="P395" s="2954" t="s">
        <v>3289</v>
      </c>
      <c r="Q395" s="2954" t="s">
        <v>4131</v>
      </c>
      <c r="R395" s="2954" t="s">
        <v>3291</v>
      </c>
      <c r="S395" s="2954">
        <v>1271831</v>
      </c>
      <c r="T395" s="2954" t="s">
        <v>3233</v>
      </c>
      <c r="U395" s="2954" t="s">
        <v>3299</v>
      </c>
      <c r="V395" s="2956">
        <v>44499</v>
      </c>
      <c r="W395" s="2954" t="s">
        <v>3051</v>
      </c>
      <c r="X395" s="2954" t="s">
        <v>3046</v>
      </c>
      <c r="Y395" s="2954" t="s">
        <v>3283</v>
      </c>
      <c r="Z395" s="2957">
        <v>43596.392268518503</v>
      </c>
      <c r="AA395" s="2954" t="s">
        <v>3543</v>
      </c>
      <c r="AB395" s="2954" t="s">
        <v>3300</v>
      </c>
      <c r="AC395" s="2954" t="s">
        <v>3544</v>
      </c>
      <c r="AD395" s="2954" t="s">
        <v>3283</v>
      </c>
      <c r="AE395" s="2954" t="s">
        <v>3051</v>
      </c>
      <c r="AF395" s="2954" t="s">
        <v>3283</v>
      </c>
    </row>
    <row r="396" spans="1:32" ht="67.5">
      <c r="A396" s="2954">
        <v>7016</v>
      </c>
      <c r="B396" s="2954" t="s">
        <v>3281</v>
      </c>
      <c r="C396" s="2954" t="s">
        <v>4128</v>
      </c>
      <c r="D396" s="2954" t="s">
        <v>3283</v>
      </c>
      <c r="E396" s="2954" t="s">
        <v>3600</v>
      </c>
      <c r="F396" s="2954" t="s">
        <v>4231</v>
      </c>
      <c r="G396" s="2954" t="s">
        <v>4232</v>
      </c>
      <c r="H396" s="2955">
        <v>1271831</v>
      </c>
      <c r="I396" s="2955">
        <v>10740</v>
      </c>
      <c r="J396" s="2955">
        <v>13597</v>
      </c>
      <c r="K396" s="2959">
        <v>118.42</v>
      </c>
      <c r="L396" s="2955">
        <v>93.54</v>
      </c>
      <c r="M396" s="2954" t="s">
        <v>3233</v>
      </c>
      <c r="N396" s="2954" t="s">
        <v>3551</v>
      </c>
      <c r="O396" s="2954" t="s">
        <v>3441</v>
      </c>
      <c r="P396" s="2954" t="s">
        <v>3289</v>
      </c>
      <c r="Q396" s="2954" t="s">
        <v>4131</v>
      </c>
      <c r="R396" s="2954" t="s">
        <v>3291</v>
      </c>
      <c r="S396" s="2954">
        <v>1271831</v>
      </c>
      <c r="T396" s="2954" t="s">
        <v>3233</v>
      </c>
      <c r="U396" s="2954" t="s">
        <v>3299</v>
      </c>
      <c r="V396" s="2956">
        <v>44499</v>
      </c>
      <c r="W396" s="2954" t="s">
        <v>3051</v>
      </c>
      <c r="X396" s="2954" t="s">
        <v>3046</v>
      </c>
      <c r="Y396" s="2954" t="s">
        <v>3283</v>
      </c>
      <c r="Z396" s="2957">
        <v>43596.392268518503</v>
      </c>
      <c r="AA396" s="2954" t="s">
        <v>3543</v>
      </c>
      <c r="AB396" s="2954" t="s">
        <v>3300</v>
      </c>
      <c r="AC396" s="2954" t="s">
        <v>3544</v>
      </c>
      <c r="AD396" s="2954" t="s">
        <v>3283</v>
      </c>
      <c r="AE396" s="2954" t="s">
        <v>3051</v>
      </c>
      <c r="AF396" s="2954" t="s">
        <v>3283</v>
      </c>
    </row>
    <row r="397" spans="1:32" ht="67.5">
      <c r="A397" s="2954">
        <v>7017</v>
      </c>
      <c r="B397" s="2954" t="s">
        <v>3281</v>
      </c>
      <c r="C397" s="2954" t="s">
        <v>4128</v>
      </c>
      <c r="D397" s="2954" t="s">
        <v>3283</v>
      </c>
      <c r="E397" s="2954" t="s">
        <v>3944</v>
      </c>
      <c r="F397" s="2954" t="s">
        <v>4233</v>
      </c>
      <c r="G397" s="2954" t="s">
        <v>4234</v>
      </c>
      <c r="H397" s="2955">
        <v>1282484</v>
      </c>
      <c r="I397" s="2955">
        <v>11240</v>
      </c>
      <c r="J397" s="2955">
        <v>14229</v>
      </c>
      <c r="K397" s="2959">
        <v>114.1</v>
      </c>
      <c r="L397" s="2955">
        <v>90.13</v>
      </c>
      <c r="M397" s="2954" t="s">
        <v>3233</v>
      </c>
      <c r="N397" s="2954" t="s">
        <v>3541</v>
      </c>
      <c r="O397" s="2954" t="s">
        <v>3441</v>
      </c>
      <c r="P397" s="2954" t="s">
        <v>3289</v>
      </c>
      <c r="Q397" s="2954" t="s">
        <v>4131</v>
      </c>
      <c r="R397" s="2954" t="s">
        <v>3291</v>
      </c>
      <c r="S397" s="2954">
        <v>1282484</v>
      </c>
      <c r="T397" s="2954" t="s">
        <v>3233</v>
      </c>
      <c r="U397" s="2954" t="s">
        <v>3299</v>
      </c>
      <c r="V397" s="2956">
        <v>44499</v>
      </c>
      <c r="W397" s="2954" t="s">
        <v>3051</v>
      </c>
      <c r="X397" s="2954" t="s">
        <v>3046</v>
      </c>
      <c r="Y397" s="2954" t="s">
        <v>3283</v>
      </c>
      <c r="Z397" s="2957">
        <v>43596.392268518503</v>
      </c>
      <c r="AA397" s="2954" t="s">
        <v>3543</v>
      </c>
      <c r="AB397" s="2954" t="s">
        <v>3300</v>
      </c>
      <c r="AC397" s="2954" t="s">
        <v>3544</v>
      </c>
      <c r="AD397" s="2954" t="s">
        <v>3283</v>
      </c>
      <c r="AE397" s="2954" t="s">
        <v>3051</v>
      </c>
      <c r="AF397" s="2954" t="s">
        <v>3283</v>
      </c>
    </row>
    <row r="398" spans="1:32" ht="67.5">
      <c r="A398" s="2954">
        <v>7019</v>
      </c>
      <c r="B398" s="2954" t="s">
        <v>3281</v>
      </c>
      <c r="C398" s="2954" t="s">
        <v>4128</v>
      </c>
      <c r="D398" s="2954" t="s">
        <v>3283</v>
      </c>
      <c r="E398" s="2954" t="s">
        <v>3371</v>
      </c>
      <c r="F398" s="2954" t="s">
        <v>4235</v>
      </c>
      <c r="G398" s="2954" t="s">
        <v>4236</v>
      </c>
      <c r="H398" s="2955">
        <v>1274199</v>
      </c>
      <c r="I398" s="2955">
        <v>10760</v>
      </c>
      <c r="J398" s="2955">
        <v>13622</v>
      </c>
      <c r="K398" s="2959">
        <v>118.42</v>
      </c>
      <c r="L398" s="2955">
        <v>93.54</v>
      </c>
      <c r="M398" s="2954" t="s">
        <v>3233</v>
      </c>
      <c r="N398" s="2954" t="s">
        <v>3547</v>
      </c>
      <c r="O398" s="2954" t="s">
        <v>3441</v>
      </c>
      <c r="P398" s="2954" t="s">
        <v>3289</v>
      </c>
      <c r="Q398" s="2954" t="s">
        <v>4131</v>
      </c>
      <c r="R398" s="2954" t="s">
        <v>3291</v>
      </c>
      <c r="S398" s="2954">
        <v>1274199</v>
      </c>
      <c r="T398" s="2954" t="s">
        <v>3233</v>
      </c>
      <c r="U398" s="2954" t="s">
        <v>3299</v>
      </c>
      <c r="V398" s="2956">
        <v>44499</v>
      </c>
      <c r="W398" s="2954" t="s">
        <v>3051</v>
      </c>
      <c r="X398" s="2954" t="s">
        <v>3046</v>
      </c>
      <c r="Y398" s="2954" t="s">
        <v>3283</v>
      </c>
      <c r="Z398" s="2957">
        <v>43596.392268518503</v>
      </c>
      <c r="AA398" s="2954" t="s">
        <v>3543</v>
      </c>
      <c r="AB398" s="2954" t="s">
        <v>3300</v>
      </c>
      <c r="AC398" s="2954" t="s">
        <v>3544</v>
      </c>
      <c r="AD398" s="2954" t="s">
        <v>3283</v>
      </c>
      <c r="AE398" s="2954" t="s">
        <v>3051</v>
      </c>
      <c r="AF398" s="2954" t="s">
        <v>3283</v>
      </c>
    </row>
    <row r="399" spans="1:32" ht="67.5">
      <c r="A399" s="2954">
        <v>7020</v>
      </c>
      <c r="B399" s="2954" t="s">
        <v>3281</v>
      </c>
      <c r="C399" s="2954" t="s">
        <v>4128</v>
      </c>
      <c r="D399" s="2954" t="s">
        <v>3283</v>
      </c>
      <c r="E399" s="2954" t="s">
        <v>3727</v>
      </c>
      <c r="F399" s="2954" t="s">
        <v>4237</v>
      </c>
      <c r="G399" s="2954" t="s">
        <v>4238</v>
      </c>
      <c r="H399" s="2955">
        <v>1274199</v>
      </c>
      <c r="I399" s="2955">
        <v>10760</v>
      </c>
      <c r="J399" s="2955">
        <v>13622</v>
      </c>
      <c r="K399" s="2959">
        <v>118.42</v>
      </c>
      <c r="L399" s="2955">
        <v>93.54</v>
      </c>
      <c r="M399" s="2954" t="s">
        <v>3233</v>
      </c>
      <c r="N399" s="2954" t="s">
        <v>3551</v>
      </c>
      <c r="O399" s="2954" t="s">
        <v>3441</v>
      </c>
      <c r="P399" s="2954" t="s">
        <v>3289</v>
      </c>
      <c r="Q399" s="2954" t="s">
        <v>4131</v>
      </c>
      <c r="R399" s="2954" t="s">
        <v>3291</v>
      </c>
      <c r="S399" s="2954">
        <v>1274199</v>
      </c>
      <c r="T399" s="2954" t="s">
        <v>3233</v>
      </c>
      <c r="U399" s="2954" t="s">
        <v>3299</v>
      </c>
      <c r="V399" s="2956">
        <v>44499</v>
      </c>
      <c r="W399" s="2954" t="s">
        <v>3051</v>
      </c>
      <c r="X399" s="2954" t="s">
        <v>3046</v>
      </c>
      <c r="Y399" s="2954" t="s">
        <v>3283</v>
      </c>
      <c r="Z399" s="2957">
        <v>43596.392268518503</v>
      </c>
      <c r="AA399" s="2954" t="s">
        <v>3543</v>
      </c>
      <c r="AB399" s="2954" t="s">
        <v>3300</v>
      </c>
      <c r="AC399" s="2954" t="s">
        <v>3544</v>
      </c>
      <c r="AD399" s="2954" t="s">
        <v>3283</v>
      </c>
      <c r="AE399" s="2954" t="s">
        <v>3051</v>
      </c>
      <c r="AF399" s="2954" t="s">
        <v>3283</v>
      </c>
    </row>
    <row r="400" spans="1:32" ht="67.5">
      <c r="A400" s="2954">
        <v>7021</v>
      </c>
      <c r="B400" s="2954" t="s">
        <v>3281</v>
      </c>
      <c r="C400" s="2954" t="s">
        <v>4128</v>
      </c>
      <c r="D400" s="2954" t="s">
        <v>3283</v>
      </c>
      <c r="E400" s="2954" t="s">
        <v>4068</v>
      </c>
      <c r="F400" s="2954" t="s">
        <v>4239</v>
      </c>
      <c r="G400" s="2954" t="s">
        <v>4240</v>
      </c>
      <c r="H400" s="2955">
        <v>1284766</v>
      </c>
      <c r="I400" s="2955">
        <v>11260</v>
      </c>
      <c r="J400" s="2955">
        <v>14255</v>
      </c>
      <c r="K400" s="2959">
        <v>114.1</v>
      </c>
      <c r="L400" s="2955">
        <v>90.13</v>
      </c>
      <c r="M400" s="2954" t="s">
        <v>3233</v>
      </c>
      <c r="N400" s="2954" t="s">
        <v>3541</v>
      </c>
      <c r="O400" s="2954" t="s">
        <v>3441</v>
      </c>
      <c r="P400" s="2954" t="s">
        <v>3289</v>
      </c>
      <c r="Q400" s="2954" t="s">
        <v>4131</v>
      </c>
      <c r="R400" s="2954" t="s">
        <v>3291</v>
      </c>
      <c r="S400" s="2954">
        <v>1284766</v>
      </c>
      <c r="T400" s="2954" t="s">
        <v>3233</v>
      </c>
      <c r="U400" s="2954" t="s">
        <v>3299</v>
      </c>
      <c r="V400" s="2956">
        <v>44499</v>
      </c>
      <c r="W400" s="2954" t="s">
        <v>3051</v>
      </c>
      <c r="X400" s="2954" t="s">
        <v>3046</v>
      </c>
      <c r="Y400" s="2954" t="s">
        <v>3283</v>
      </c>
      <c r="Z400" s="2957">
        <v>43596.392268518503</v>
      </c>
      <c r="AA400" s="2954" t="s">
        <v>3543</v>
      </c>
      <c r="AB400" s="2954" t="s">
        <v>3300</v>
      </c>
      <c r="AC400" s="2954" t="s">
        <v>3544</v>
      </c>
      <c r="AD400" s="2954" t="s">
        <v>3283</v>
      </c>
      <c r="AE400" s="2954" t="s">
        <v>3051</v>
      </c>
      <c r="AF400" s="2954" t="s">
        <v>3283</v>
      </c>
    </row>
    <row r="401" spans="1:32" ht="67.5">
      <c r="A401" s="2954">
        <v>7022</v>
      </c>
      <c r="B401" s="2954" t="s">
        <v>3281</v>
      </c>
      <c r="C401" s="2954" t="s">
        <v>4128</v>
      </c>
      <c r="D401" s="2954" t="s">
        <v>3283</v>
      </c>
      <c r="E401" s="2954" t="s">
        <v>3430</v>
      </c>
      <c r="F401" s="2954" t="s">
        <v>4241</v>
      </c>
      <c r="G401" s="2954" t="s">
        <v>4242</v>
      </c>
      <c r="H401" s="2955">
        <v>1287048</v>
      </c>
      <c r="I401" s="2955">
        <v>11280</v>
      </c>
      <c r="J401" s="2955">
        <v>14280</v>
      </c>
      <c r="K401" s="2959">
        <v>114.1</v>
      </c>
      <c r="L401" s="2955">
        <v>90.13</v>
      </c>
      <c r="M401" s="2954" t="s">
        <v>3233</v>
      </c>
      <c r="N401" s="2954" t="s">
        <v>3672</v>
      </c>
      <c r="O401" s="2954" t="s">
        <v>3441</v>
      </c>
      <c r="P401" s="2954" t="s">
        <v>3289</v>
      </c>
      <c r="Q401" s="2954" t="s">
        <v>4131</v>
      </c>
      <c r="R401" s="2954" t="s">
        <v>3291</v>
      </c>
      <c r="S401" s="2954">
        <v>1287048</v>
      </c>
      <c r="T401" s="2954" t="s">
        <v>3233</v>
      </c>
      <c r="U401" s="2954" t="s">
        <v>3299</v>
      </c>
      <c r="V401" s="2956">
        <v>44499</v>
      </c>
      <c r="W401" s="2954" t="s">
        <v>3051</v>
      </c>
      <c r="X401" s="2954" t="s">
        <v>3046</v>
      </c>
      <c r="Y401" s="2954" t="s">
        <v>3283</v>
      </c>
      <c r="Z401" s="2957">
        <v>43596.392268518503</v>
      </c>
      <c r="AA401" s="2954" t="s">
        <v>3543</v>
      </c>
      <c r="AB401" s="2954" t="s">
        <v>3300</v>
      </c>
      <c r="AC401" s="2954" t="s">
        <v>3544</v>
      </c>
      <c r="AD401" s="2954" t="s">
        <v>3283</v>
      </c>
      <c r="AE401" s="2954" t="s">
        <v>3051</v>
      </c>
      <c r="AF401" s="2954" t="s">
        <v>3283</v>
      </c>
    </row>
    <row r="402" spans="1:32" ht="67.5">
      <c r="A402" s="2954">
        <v>7023</v>
      </c>
      <c r="B402" s="2954" t="s">
        <v>3281</v>
      </c>
      <c r="C402" s="2954" t="s">
        <v>4128</v>
      </c>
      <c r="D402" s="2954" t="s">
        <v>3283</v>
      </c>
      <c r="E402" s="2954" t="s">
        <v>3603</v>
      </c>
      <c r="F402" s="2954" t="s">
        <v>4243</v>
      </c>
      <c r="G402" s="2954" t="s">
        <v>4244</v>
      </c>
      <c r="H402" s="2955">
        <v>1276568</v>
      </c>
      <c r="I402" s="2955">
        <v>10780</v>
      </c>
      <c r="J402" s="2955">
        <v>13647</v>
      </c>
      <c r="K402" s="2959">
        <v>118.42</v>
      </c>
      <c r="L402" s="2955">
        <v>93.54</v>
      </c>
      <c r="M402" s="2954" t="s">
        <v>3233</v>
      </c>
      <c r="N402" s="2954" t="s">
        <v>3547</v>
      </c>
      <c r="O402" s="2954" t="s">
        <v>3441</v>
      </c>
      <c r="P402" s="2954" t="s">
        <v>3289</v>
      </c>
      <c r="Q402" s="2954" t="s">
        <v>4131</v>
      </c>
      <c r="R402" s="2954" t="s">
        <v>3291</v>
      </c>
      <c r="S402" s="2954">
        <v>1276568</v>
      </c>
      <c r="T402" s="2954" t="s">
        <v>3233</v>
      </c>
      <c r="U402" s="2954" t="s">
        <v>3299</v>
      </c>
      <c r="V402" s="2956">
        <v>44499</v>
      </c>
      <c r="W402" s="2954" t="s">
        <v>3051</v>
      </c>
      <c r="X402" s="2954" t="s">
        <v>3046</v>
      </c>
      <c r="Y402" s="2954" t="s">
        <v>3283</v>
      </c>
      <c r="Z402" s="2957">
        <v>43596.392268518503</v>
      </c>
      <c r="AA402" s="2954" t="s">
        <v>3543</v>
      </c>
      <c r="AB402" s="2954" t="s">
        <v>3300</v>
      </c>
      <c r="AC402" s="2954" t="s">
        <v>3544</v>
      </c>
      <c r="AD402" s="2954" t="s">
        <v>3283</v>
      </c>
      <c r="AE402" s="2954" t="s">
        <v>3051</v>
      </c>
      <c r="AF402" s="2954" t="s">
        <v>3283</v>
      </c>
    </row>
    <row r="403" spans="1:32" ht="67.5">
      <c r="A403" s="2954">
        <v>7024</v>
      </c>
      <c r="B403" s="2954" t="s">
        <v>3281</v>
      </c>
      <c r="C403" s="2954" t="s">
        <v>4128</v>
      </c>
      <c r="D403" s="2954" t="s">
        <v>3283</v>
      </c>
      <c r="E403" s="2954" t="s">
        <v>3606</v>
      </c>
      <c r="F403" s="2954" t="s">
        <v>4245</v>
      </c>
      <c r="G403" s="2954" t="s">
        <v>4246</v>
      </c>
      <c r="H403" s="2955">
        <v>1276568</v>
      </c>
      <c r="I403" s="2955">
        <v>10780</v>
      </c>
      <c r="J403" s="2955">
        <v>13647</v>
      </c>
      <c r="K403" s="2959">
        <v>118.42</v>
      </c>
      <c r="L403" s="2955">
        <v>93.54</v>
      </c>
      <c r="M403" s="2954" t="s">
        <v>3233</v>
      </c>
      <c r="N403" s="2954" t="s">
        <v>3551</v>
      </c>
      <c r="O403" s="2954" t="s">
        <v>3441</v>
      </c>
      <c r="P403" s="2954" t="s">
        <v>3289</v>
      </c>
      <c r="Q403" s="2954" t="s">
        <v>4131</v>
      </c>
      <c r="R403" s="2954" t="s">
        <v>3291</v>
      </c>
      <c r="S403" s="2954">
        <v>1276568</v>
      </c>
      <c r="T403" s="2954" t="s">
        <v>3233</v>
      </c>
      <c r="U403" s="2954" t="s">
        <v>3299</v>
      </c>
      <c r="V403" s="2956">
        <v>44499</v>
      </c>
      <c r="W403" s="2954" t="s">
        <v>3051</v>
      </c>
      <c r="X403" s="2954" t="s">
        <v>3046</v>
      </c>
      <c r="Y403" s="2954" t="s">
        <v>3283</v>
      </c>
      <c r="Z403" s="2957">
        <v>43596.392268518503</v>
      </c>
      <c r="AA403" s="2954" t="s">
        <v>3543</v>
      </c>
      <c r="AB403" s="2954" t="s">
        <v>3300</v>
      </c>
      <c r="AC403" s="2954" t="s">
        <v>3544</v>
      </c>
      <c r="AD403" s="2954" t="s">
        <v>3283</v>
      </c>
      <c r="AE403" s="2954" t="s">
        <v>3051</v>
      </c>
      <c r="AF403" s="2954" t="s">
        <v>3283</v>
      </c>
    </row>
    <row r="404" spans="1:32" ht="67.5">
      <c r="A404" s="2954">
        <v>7025</v>
      </c>
      <c r="B404" s="2954" t="s">
        <v>3281</v>
      </c>
      <c r="C404" s="2954" t="s">
        <v>4128</v>
      </c>
      <c r="D404" s="2954" t="s">
        <v>3283</v>
      </c>
      <c r="E404" s="2954" t="s">
        <v>4073</v>
      </c>
      <c r="F404" s="2954" t="s">
        <v>4247</v>
      </c>
      <c r="G404" s="2954" t="s">
        <v>4248</v>
      </c>
      <c r="H404" s="2955">
        <v>1287048</v>
      </c>
      <c r="I404" s="2955">
        <v>11280</v>
      </c>
      <c r="J404" s="2955">
        <v>14280</v>
      </c>
      <c r="K404" s="2959">
        <v>114.1</v>
      </c>
      <c r="L404" s="2955">
        <v>90.13</v>
      </c>
      <c r="M404" s="2954" t="s">
        <v>3233</v>
      </c>
      <c r="N404" s="2954" t="s">
        <v>3541</v>
      </c>
      <c r="O404" s="2954" t="s">
        <v>3441</v>
      </c>
      <c r="P404" s="2954" t="s">
        <v>3289</v>
      </c>
      <c r="Q404" s="2954" t="s">
        <v>4131</v>
      </c>
      <c r="R404" s="2954" t="s">
        <v>3291</v>
      </c>
      <c r="S404" s="2954">
        <v>1287048</v>
      </c>
      <c r="T404" s="2954" t="s">
        <v>3233</v>
      </c>
      <c r="U404" s="2954" t="s">
        <v>3299</v>
      </c>
      <c r="V404" s="2956">
        <v>44499</v>
      </c>
      <c r="W404" s="2954" t="s">
        <v>3051</v>
      </c>
      <c r="X404" s="2954" t="s">
        <v>3046</v>
      </c>
      <c r="Y404" s="2954" t="s">
        <v>3283</v>
      </c>
      <c r="Z404" s="2957">
        <v>43596.392268518503</v>
      </c>
      <c r="AA404" s="2954" t="s">
        <v>3543</v>
      </c>
      <c r="AB404" s="2954" t="s">
        <v>3300</v>
      </c>
      <c r="AC404" s="2954" t="s">
        <v>3544</v>
      </c>
      <c r="AD404" s="2954" t="s">
        <v>3283</v>
      </c>
      <c r="AE404" s="2954" t="s">
        <v>3051</v>
      </c>
      <c r="AF404" s="2954" t="s">
        <v>3283</v>
      </c>
    </row>
    <row r="405" spans="1:32" ht="67.5">
      <c r="A405" s="2954">
        <v>7026</v>
      </c>
      <c r="B405" s="2954" t="s">
        <v>3281</v>
      </c>
      <c r="C405" s="2954" t="s">
        <v>4128</v>
      </c>
      <c r="D405" s="2954" t="s">
        <v>3283</v>
      </c>
      <c r="E405" s="2954" t="s">
        <v>3433</v>
      </c>
      <c r="F405" s="2954" t="s">
        <v>4249</v>
      </c>
      <c r="G405" s="2954" t="s">
        <v>4250</v>
      </c>
      <c r="H405" s="2955">
        <v>1287048</v>
      </c>
      <c r="I405" s="2955">
        <v>11280</v>
      </c>
      <c r="J405" s="2955">
        <v>14280</v>
      </c>
      <c r="K405" s="2959">
        <v>114.1</v>
      </c>
      <c r="L405" s="2955">
        <v>90.13</v>
      </c>
      <c r="M405" s="2954" t="s">
        <v>3233</v>
      </c>
      <c r="N405" s="2954" t="s">
        <v>3672</v>
      </c>
      <c r="O405" s="2954" t="s">
        <v>3441</v>
      </c>
      <c r="P405" s="2954" t="s">
        <v>3289</v>
      </c>
      <c r="Q405" s="2954" t="s">
        <v>4131</v>
      </c>
      <c r="R405" s="2954" t="s">
        <v>3291</v>
      </c>
      <c r="S405" s="2954">
        <v>1287048</v>
      </c>
      <c r="T405" s="2954" t="s">
        <v>3233</v>
      </c>
      <c r="U405" s="2954" t="s">
        <v>3299</v>
      </c>
      <c r="V405" s="2956">
        <v>44499</v>
      </c>
      <c r="W405" s="2954" t="s">
        <v>3051</v>
      </c>
      <c r="X405" s="2954" t="s">
        <v>3046</v>
      </c>
      <c r="Y405" s="2954" t="s">
        <v>3283</v>
      </c>
      <c r="Z405" s="2957">
        <v>43596.392268518503</v>
      </c>
      <c r="AA405" s="2954" t="s">
        <v>3543</v>
      </c>
      <c r="AB405" s="2954" t="s">
        <v>3300</v>
      </c>
      <c r="AC405" s="2954" t="s">
        <v>3544</v>
      </c>
      <c r="AD405" s="2954" t="s">
        <v>3283</v>
      </c>
      <c r="AE405" s="2954" t="s">
        <v>3051</v>
      </c>
      <c r="AF405" s="2954" t="s">
        <v>3283</v>
      </c>
    </row>
    <row r="406" spans="1:32" ht="67.5">
      <c r="A406" s="2954">
        <v>7027</v>
      </c>
      <c r="B406" s="2954" t="s">
        <v>3281</v>
      </c>
      <c r="C406" s="2954" t="s">
        <v>4128</v>
      </c>
      <c r="D406" s="2954" t="s">
        <v>3283</v>
      </c>
      <c r="E406" s="2954" t="s">
        <v>3609</v>
      </c>
      <c r="F406" s="2954" t="s">
        <v>4251</v>
      </c>
      <c r="G406" s="2954" t="s">
        <v>4252</v>
      </c>
      <c r="H406" s="2955">
        <v>1276568</v>
      </c>
      <c r="I406" s="2955">
        <v>10780</v>
      </c>
      <c r="J406" s="2955">
        <v>13647</v>
      </c>
      <c r="K406" s="2959">
        <v>118.42</v>
      </c>
      <c r="L406" s="2955">
        <v>93.54</v>
      </c>
      <c r="M406" s="2954" t="s">
        <v>3233</v>
      </c>
      <c r="N406" s="2954" t="s">
        <v>3547</v>
      </c>
      <c r="O406" s="2954" t="s">
        <v>3441</v>
      </c>
      <c r="P406" s="2954" t="s">
        <v>3289</v>
      </c>
      <c r="Q406" s="2954" t="s">
        <v>4131</v>
      </c>
      <c r="R406" s="2954" t="s">
        <v>3291</v>
      </c>
      <c r="S406" s="2954">
        <v>1276568</v>
      </c>
      <c r="T406" s="2954" t="s">
        <v>3233</v>
      </c>
      <c r="U406" s="2954" t="s">
        <v>3299</v>
      </c>
      <c r="V406" s="2956">
        <v>44499</v>
      </c>
      <c r="W406" s="2954" t="s">
        <v>3051</v>
      </c>
      <c r="X406" s="2954" t="s">
        <v>3046</v>
      </c>
      <c r="Y406" s="2954" t="s">
        <v>3283</v>
      </c>
      <c r="Z406" s="2957">
        <v>43596.392268518503</v>
      </c>
      <c r="AA406" s="2954" t="s">
        <v>3543</v>
      </c>
      <c r="AB406" s="2954" t="s">
        <v>3300</v>
      </c>
      <c r="AC406" s="2954" t="s">
        <v>3544</v>
      </c>
      <c r="AD406" s="2954" t="s">
        <v>3283</v>
      </c>
      <c r="AE406" s="2954" t="s">
        <v>3051</v>
      </c>
      <c r="AF406" s="2954" t="s">
        <v>3283</v>
      </c>
    </row>
    <row r="407" spans="1:32" ht="67.5">
      <c r="A407" s="2954">
        <v>7028</v>
      </c>
      <c r="B407" s="2954" t="s">
        <v>3281</v>
      </c>
      <c r="C407" s="2954" t="s">
        <v>4128</v>
      </c>
      <c r="D407" s="2954" t="s">
        <v>3283</v>
      </c>
      <c r="E407" s="2954" t="s">
        <v>3612</v>
      </c>
      <c r="F407" s="2954" t="s">
        <v>4253</v>
      </c>
      <c r="G407" s="2954" t="s">
        <v>4254</v>
      </c>
      <c r="H407" s="2955">
        <v>1276568</v>
      </c>
      <c r="I407" s="2955">
        <v>10780</v>
      </c>
      <c r="J407" s="2955">
        <v>13647</v>
      </c>
      <c r="K407" s="2959">
        <v>118.42</v>
      </c>
      <c r="L407" s="2955">
        <v>93.54</v>
      </c>
      <c r="M407" s="2954" t="s">
        <v>3233</v>
      </c>
      <c r="N407" s="2954" t="s">
        <v>3551</v>
      </c>
      <c r="O407" s="2954" t="s">
        <v>3441</v>
      </c>
      <c r="P407" s="2954" t="s">
        <v>3289</v>
      </c>
      <c r="Q407" s="2954" t="s">
        <v>4131</v>
      </c>
      <c r="R407" s="2954" t="s">
        <v>3291</v>
      </c>
      <c r="S407" s="2954">
        <v>1276568</v>
      </c>
      <c r="T407" s="2954" t="s">
        <v>3233</v>
      </c>
      <c r="U407" s="2954" t="s">
        <v>3299</v>
      </c>
      <c r="V407" s="2956">
        <v>44499</v>
      </c>
      <c r="W407" s="2954" t="s">
        <v>3051</v>
      </c>
      <c r="X407" s="2954" t="s">
        <v>3046</v>
      </c>
      <c r="Y407" s="2954" t="s">
        <v>3283</v>
      </c>
      <c r="Z407" s="2957">
        <v>43596.392268518503</v>
      </c>
      <c r="AA407" s="2954" t="s">
        <v>3543</v>
      </c>
      <c r="AB407" s="2954" t="s">
        <v>3300</v>
      </c>
      <c r="AC407" s="2954" t="s">
        <v>3544</v>
      </c>
      <c r="AD407" s="2954" t="s">
        <v>3283</v>
      </c>
      <c r="AE407" s="2954" t="s">
        <v>3051</v>
      </c>
      <c r="AF407" s="2954" t="s">
        <v>3283</v>
      </c>
    </row>
    <row r="408" spans="1:32" ht="67.5">
      <c r="A408" s="2954">
        <v>7029</v>
      </c>
      <c r="B408" s="2954" t="s">
        <v>3281</v>
      </c>
      <c r="C408" s="2954" t="s">
        <v>4128</v>
      </c>
      <c r="D408" s="2954" t="s">
        <v>3283</v>
      </c>
      <c r="E408" s="2954" t="s">
        <v>3953</v>
      </c>
      <c r="F408" s="2954" t="s">
        <v>4255</v>
      </c>
      <c r="G408" s="2954" t="s">
        <v>4256</v>
      </c>
      <c r="H408" s="2955">
        <v>1287048</v>
      </c>
      <c r="I408" s="2955">
        <v>11280</v>
      </c>
      <c r="J408" s="2955">
        <v>14280</v>
      </c>
      <c r="K408" s="2959">
        <v>114.1</v>
      </c>
      <c r="L408" s="2955">
        <v>90.13</v>
      </c>
      <c r="M408" s="2954" t="s">
        <v>3233</v>
      </c>
      <c r="N408" s="2954" t="s">
        <v>3541</v>
      </c>
      <c r="O408" s="2954" t="s">
        <v>3441</v>
      </c>
      <c r="P408" s="2954" t="s">
        <v>3289</v>
      </c>
      <c r="Q408" s="2954" t="s">
        <v>4131</v>
      </c>
      <c r="R408" s="2954" t="s">
        <v>3291</v>
      </c>
      <c r="S408" s="2954">
        <v>1287048</v>
      </c>
      <c r="T408" s="2954" t="s">
        <v>3233</v>
      </c>
      <c r="U408" s="2954" t="s">
        <v>3299</v>
      </c>
      <c r="V408" s="2956">
        <v>44499</v>
      </c>
      <c r="W408" s="2954" t="s">
        <v>3051</v>
      </c>
      <c r="X408" s="2954" t="s">
        <v>3046</v>
      </c>
      <c r="Y408" s="2954" t="s">
        <v>3283</v>
      </c>
      <c r="Z408" s="2957">
        <v>43596.392268518503</v>
      </c>
      <c r="AA408" s="2954" t="s">
        <v>3543</v>
      </c>
      <c r="AB408" s="2954" t="s">
        <v>3300</v>
      </c>
      <c r="AC408" s="2954" t="s">
        <v>3544</v>
      </c>
      <c r="AD408" s="2954" t="s">
        <v>3283</v>
      </c>
      <c r="AE408" s="2954" t="s">
        <v>3051</v>
      </c>
      <c r="AF408" s="2954" t="s">
        <v>3283</v>
      </c>
    </row>
    <row r="409" spans="1:32" ht="67.5">
      <c r="A409" s="2954">
        <v>7031</v>
      </c>
      <c r="B409" s="2954" t="s">
        <v>3281</v>
      </c>
      <c r="C409" s="2954" t="s">
        <v>4128</v>
      </c>
      <c r="D409" s="2954" t="s">
        <v>3283</v>
      </c>
      <c r="E409" s="2954" t="s">
        <v>3830</v>
      </c>
      <c r="F409" s="2954" t="s">
        <v>4257</v>
      </c>
      <c r="G409" s="2954" t="s">
        <v>4258</v>
      </c>
      <c r="H409" s="2955">
        <v>1276568</v>
      </c>
      <c r="I409" s="2955">
        <v>10780</v>
      </c>
      <c r="J409" s="2955">
        <v>13647</v>
      </c>
      <c r="K409" s="2959">
        <v>118.42</v>
      </c>
      <c r="L409" s="2955">
        <v>93.54</v>
      </c>
      <c r="M409" s="2954" t="s">
        <v>3233</v>
      </c>
      <c r="N409" s="2954" t="s">
        <v>3547</v>
      </c>
      <c r="O409" s="2954" t="s">
        <v>3441</v>
      </c>
      <c r="P409" s="2954" t="s">
        <v>3289</v>
      </c>
      <c r="Q409" s="2954" t="s">
        <v>4131</v>
      </c>
      <c r="R409" s="2954" t="s">
        <v>3291</v>
      </c>
      <c r="S409" s="2954">
        <v>1276568</v>
      </c>
      <c r="T409" s="2954" t="s">
        <v>3233</v>
      </c>
      <c r="U409" s="2954" t="s">
        <v>3299</v>
      </c>
      <c r="V409" s="2956">
        <v>44499</v>
      </c>
      <c r="W409" s="2954" t="s">
        <v>3051</v>
      </c>
      <c r="X409" s="2954" t="s">
        <v>3046</v>
      </c>
      <c r="Y409" s="2954" t="s">
        <v>3283</v>
      </c>
      <c r="Z409" s="2957">
        <v>43596.392268518503</v>
      </c>
      <c r="AA409" s="2954" t="s">
        <v>3543</v>
      </c>
      <c r="AB409" s="2954" t="s">
        <v>3300</v>
      </c>
      <c r="AC409" s="2954" t="s">
        <v>3544</v>
      </c>
      <c r="AD409" s="2954" t="s">
        <v>3283</v>
      </c>
      <c r="AE409" s="2954" t="s">
        <v>3051</v>
      </c>
      <c r="AF409" s="2954" t="s">
        <v>3283</v>
      </c>
    </row>
    <row r="410" spans="1:32" ht="67.5">
      <c r="A410" s="2954">
        <v>7032</v>
      </c>
      <c r="B410" s="2954" t="s">
        <v>3281</v>
      </c>
      <c r="C410" s="2954" t="s">
        <v>4128</v>
      </c>
      <c r="D410" s="2954" t="s">
        <v>3283</v>
      </c>
      <c r="E410" s="2954" t="s">
        <v>3736</v>
      </c>
      <c r="F410" s="2954" t="s">
        <v>4259</v>
      </c>
      <c r="G410" s="2954" t="s">
        <v>4260</v>
      </c>
      <c r="H410" s="2955">
        <v>1276568</v>
      </c>
      <c r="I410" s="2955">
        <v>10780</v>
      </c>
      <c r="J410" s="2955">
        <v>13647</v>
      </c>
      <c r="K410" s="2959">
        <v>118.42</v>
      </c>
      <c r="L410" s="2955">
        <v>93.54</v>
      </c>
      <c r="M410" s="2954" t="s">
        <v>3233</v>
      </c>
      <c r="N410" s="2954" t="s">
        <v>3551</v>
      </c>
      <c r="O410" s="2954" t="s">
        <v>3441</v>
      </c>
      <c r="P410" s="2954" t="s">
        <v>3289</v>
      </c>
      <c r="Q410" s="2954" t="s">
        <v>4131</v>
      </c>
      <c r="R410" s="2954" t="s">
        <v>3291</v>
      </c>
      <c r="S410" s="2954">
        <v>1276568</v>
      </c>
      <c r="T410" s="2954" t="s">
        <v>3233</v>
      </c>
      <c r="U410" s="2954" t="s">
        <v>3299</v>
      </c>
      <c r="V410" s="2956">
        <v>44499</v>
      </c>
      <c r="W410" s="2954" t="s">
        <v>3051</v>
      </c>
      <c r="X410" s="2954" t="s">
        <v>3046</v>
      </c>
      <c r="Y410" s="2954" t="s">
        <v>3283</v>
      </c>
      <c r="Z410" s="2957">
        <v>43596.392268518503</v>
      </c>
      <c r="AA410" s="2954" t="s">
        <v>3543</v>
      </c>
      <c r="AB410" s="2954" t="s">
        <v>3300</v>
      </c>
      <c r="AC410" s="2954" t="s">
        <v>3544</v>
      </c>
      <c r="AD410" s="2954" t="s">
        <v>3283</v>
      </c>
      <c r="AE410" s="2954" t="s">
        <v>3051</v>
      </c>
      <c r="AF410" s="2954" t="s">
        <v>3283</v>
      </c>
    </row>
    <row r="411" spans="1:32" ht="67.5">
      <c r="A411" s="2954">
        <v>7033</v>
      </c>
      <c r="B411" s="2954" t="s">
        <v>3281</v>
      </c>
      <c r="C411" s="2954" t="s">
        <v>4128</v>
      </c>
      <c r="D411" s="2954" t="s">
        <v>3283</v>
      </c>
      <c r="E411" s="2954" t="s">
        <v>3956</v>
      </c>
      <c r="F411" s="2954" t="s">
        <v>4261</v>
      </c>
      <c r="G411" s="2954" t="s">
        <v>4262</v>
      </c>
      <c r="H411" s="2955">
        <v>1287048</v>
      </c>
      <c r="I411" s="2955">
        <v>11280</v>
      </c>
      <c r="J411" s="2955">
        <v>14280</v>
      </c>
      <c r="K411" s="2959">
        <v>114.1</v>
      </c>
      <c r="L411" s="2955">
        <v>90.13</v>
      </c>
      <c r="M411" s="2954" t="s">
        <v>3233</v>
      </c>
      <c r="N411" s="2954" t="s">
        <v>3541</v>
      </c>
      <c r="O411" s="2954" t="s">
        <v>3441</v>
      </c>
      <c r="P411" s="2954" t="s">
        <v>3289</v>
      </c>
      <c r="Q411" s="2954" t="s">
        <v>4131</v>
      </c>
      <c r="R411" s="2954" t="s">
        <v>3291</v>
      </c>
      <c r="S411" s="2954">
        <v>1287048</v>
      </c>
      <c r="T411" s="2954" t="s">
        <v>3233</v>
      </c>
      <c r="U411" s="2954" t="s">
        <v>3299</v>
      </c>
      <c r="V411" s="2956">
        <v>44499</v>
      </c>
      <c r="W411" s="2954" t="s">
        <v>3051</v>
      </c>
      <c r="X411" s="2954" t="s">
        <v>3046</v>
      </c>
      <c r="Y411" s="2954" t="s">
        <v>3283</v>
      </c>
      <c r="Z411" s="2957">
        <v>43596.392268518503</v>
      </c>
      <c r="AA411" s="2954" t="s">
        <v>3543</v>
      </c>
      <c r="AB411" s="2954" t="s">
        <v>3300</v>
      </c>
      <c r="AC411" s="2954" t="s">
        <v>3544</v>
      </c>
      <c r="AD411" s="2954" t="s">
        <v>3283</v>
      </c>
      <c r="AE411" s="2954" t="s">
        <v>3051</v>
      </c>
      <c r="AF411" s="2954" t="s">
        <v>3283</v>
      </c>
    </row>
    <row r="412" spans="1:32" ht="67.5">
      <c r="A412" s="2954">
        <v>7034</v>
      </c>
      <c r="B412" s="2954" t="s">
        <v>3281</v>
      </c>
      <c r="C412" s="2954" t="s">
        <v>4128</v>
      </c>
      <c r="D412" s="2954" t="s">
        <v>3283</v>
      </c>
      <c r="E412" s="2954" t="s">
        <v>4085</v>
      </c>
      <c r="F412" s="2954" t="s">
        <v>4263</v>
      </c>
      <c r="G412" s="2954" t="s">
        <v>4264</v>
      </c>
      <c r="H412" s="2955">
        <v>1284766</v>
      </c>
      <c r="I412" s="2955">
        <v>11260</v>
      </c>
      <c r="J412" s="2955">
        <v>14255</v>
      </c>
      <c r="K412" s="2959">
        <v>114.1</v>
      </c>
      <c r="L412" s="2955">
        <v>90.13</v>
      </c>
      <c r="M412" s="2954" t="s">
        <v>3233</v>
      </c>
      <c r="N412" s="2954" t="s">
        <v>3672</v>
      </c>
      <c r="O412" s="2954" t="s">
        <v>3441</v>
      </c>
      <c r="P412" s="2954" t="s">
        <v>3289</v>
      </c>
      <c r="Q412" s="2954" t="s">
        <v>4131</v>
      </c>
      <c r="R412" s="2954" t="s">
        <v>3291</v>
      </c>
      <c r="S412" s="2954">
        <v>1284766</v>
      </c>
      <c r="T412" s="2954" t="s">
        <v>3233</v>
      </c>
      <c r="U412" s="2954" t="s">
        <v>3299</v>
      </c>
      <c r="V412" s="2956">
        <v>44499</v>
      </c>
      <c r="W412" s="2954" t="s">
        <v>3051</v>
      </c>
      <c r="X412" s="2954" t="s">
        <v>3046</v>
      </c>
      <c r="Y412" s="2954" t="s">
        <v>3283</v>
      </c>
      <c r="Z412" s="2957">
        <v>43596.392268518503</v>
      </c>
      <c r="AA412" s="2954" t="s">
        <v>3543</v>
      </c>
      <c r="AB412" s="2954" t="s">
        <v>3300</v>
      </c>
      <c r="AC412" s="2954" t="s">
        <v>3544</v>
      </c>
      <c r="AD412" s="2954" t="s">
        <v>3283</v>
      </c>
      <c r="AE412" s="2954" t="s">
        <v>3051</v>
      </c>
      <c r="AF412" s="2954" t="s">
        <v>3283</v>
      </c>
    </row>
    <row r="413" spans="1:32" ht="67.5">
      <c r="A413" s="2954">
        <v>7035</v>
      </c>
      <c r="B413" s="2954" t="s">
        <v>3281</v>
      </c>
      <c r="C413" s="2954" t="s">
        <v>4128</v>
      </c>
      <c r="D413" s="2954" t="s">
        <v>3283</v>
      </c>
      <c r="E413" s="2954" t="s">
        <v>3833</v>
      </c>
      <c r="F413" s="2954" t="s">
        <v>4265</v>
      </c>
      <c r="G413" s="2954" t="s">
        <v>4266</v>
      </c>
      <c r="H413" s="2955">
        <v>1274199</v>
      </c>
      <c r="I413" s="2955">
        <v>10760</v>
      </c>
      <c r="J413" s="2955">
        <v>13622</v>
      </c>
      <c r="K413" s="2959">
        <v>118.42</v>
      </c>
      <c r="L413" s="2955">
        <v>93.54</v>
      </c>
      <c r="M413" s="2954" t="s">
        <v>3233</v>
      </c>
      <c r="N413" s="2954" t="s">
        <v>3547</v>
      </c>
      <c r="O413" s="2954" t="s">
        <v>3441</v>
      </c>
      <c r="P413" s="2954" t="s">
        <v>3289</v>
      </c>
      <c r="Q413" s="2954" t="s">
        <v>4131</v>
      </c>
      <c r="R413" s="2954" t="s">
        <v>3291</v>
      </c>
      <c r="S413" s="2954">
        <v>1274199</v>
      </c>
      <c r="T413" s="2954" t="s">
        <v>3233</v>
      </c>
      <c r="U413" s="2954" t="s">
        <v>3299</v>
      </c>
      <c r="V413" s="2956">
        <v>44499</v>
      </c>
      <c r="W413" s="2954" t="s">
        <v>3051</v>
      </c>
      <c r="X413" s="2954" t="s">
        <v>3046</v>
      </c>
      <c r="Y413" s="2954" t="s">
        <v>3283</v>
      </c>
      <c r="Z413" s="2957">
        <v>43596.392268518503</v>
      </c>
      <c r="AA413" s="2954" t="s">
        <v>3543</v>
      </c>
      <c r="AB413" s="2954" t="s">
        <v>3300</v>
      </c>
      <c r="AC413" s="2954" t="s">
        <v>3544</v>
      </c>
      <c r="AD413" s="2954" t="s">
        <v>3283</v>
      </c>
      <c r="AE413" s="2954" t="s">
        <v>3051</v>
      </c>
      <c r="AF413" s="2954" t="s">
        <v>3283</v>
      </c>
    </row>
    <row r="414" spans="1:32" ht="67.5">
      <c r="A414" s="2954">
        <v>7036</v>
      </c>
      <c r="B414" s="2954" t="s">
        <v>3281</v>
      </c>
      <c r="C414" s="2954" t="s">
        <v>4128</v>
      </c>
      <c r="D414" s="2954" t="s">
        <v>3283</v>
      </c>
      <c r="E414" s="2954" t="s">
        <v>3615</v>
      </c>
      <c r="F414" s="2954" t="s">
        <v>4267</v>
      </c>
      <c r="G414" s="2954" t="s">
        <v>4268</v>
      </c>
      <c r="H414" s="2955">
        <v>1274199</v>
      </c>
      <c r="I414" s="2955">
        <v>10760</v>
      </c>
      <c r="J414" s="2955">
        <v>13622</v>
      </c>
      <c r="K414" s="2959">
        <v>118.42</v>
      </c>
      <c r="L414" s="2955">
        <v>93.54</v>
      </c>
      <c r="M414" s="2954" t="s">
        <v>3233</v>
      </c>
      <c r="N414" s="2954" t="s">
        <v>3551</v>
      </c>
      <c r="O414" s="2954" t="s">
        <v>3441</v>
      </c>
      <c r="P414" s="2954" t="s">
        <v>3289</v>
      </c>
      <c r="Q414" s="2954" t="s">
        <v>4131</v>
      </c>
      <c r="R414" s="2954" t="s">
        <v>3291</v>
      </c>
      <c r="S414" s="2954">
        <v>1274199</v>
      </c>
      <c r="T414" s="2954" t="s">
        <v>3233</v>
      </c>
      <c r="U414" s="2954" t="s">
        <v>3299</v>
      </c>
      <c r="V414" s="2956">
        <v>44499</v>
      </c>
      <c r="W414" s="2954" t="s">
        <v>3051</v>
      </c>
      <c r="X414" s="2954" t="s">
        <v>3046</v>
      </c>
      <c r="Y414" s="2954" t="s">
        <v>3283</v>
      </c>
      <c r="Z414" s="2957">
        <v>43596.392268518503</v>
      </c>
      <c r="AA414" s="2954" t="s">
        <v>3543</v>
      </c>
      <c r="AB414" s="2954" t="s">
        <v>3300</v>
      </c>
      <c r="AC414" s="2954" t="s">
        <v>3544</v>
      </c>
      <c r="AD414" s="2954" t="s">
        <v>3283</v>
      </c>
      <c r="AE414" s="2954" t="s">
        <v>3051</v>
      </c>
      <c r="AF414" s="2954" t="s">
        <v>3283</v>
      </c>
    </row>
    <row r="415" spans="1:32" ht="67.5">
      <c r="A415" s="2954">
        <v>7037</v>
      </c>
      <c r="B415" s="2954" t="s">
        <v>3281</v>
      </c>
      <c r="C415" s="2954" t="s">
        <v>4128</v>
      </c>
      <c r="D415" s="2954" t="s">
        <v>3283</v>
      </c>
      <c r="E415" s="2954" t="s">
        <v>3961</v>
      </c>
      <c r="F415" s="2954" t="s">
        <v>4269</v>
      </c>
      <c r="G415" s="2954" t="s">
        <v>4270</v>
      </c>
      <c r="H415" s="2955">
        <v>1284766</v>
      </c>
      <c r="I415" s="2955">
        <v>11260</v>
      </c>
      <c r="J415" s="2955">
        <v>14255</v>
      </c>
      <c r="K415" s="2959">
        <v>114.1</v>
      </c>
      <c r="L415" s="2955">
        <v>90.13</v>
      </c>
      <c r="M415" s="2954" t="s">
        <v>3233</v>
      </c>
      <c r="N415" s="2954" t="s">
        <v>3541</v>
      </c>
      <c r="O415" s="2954" t="s">
        <v>3441</v>
      </c>
      <c r="P415" s="2954" t="s">
        <v>3289</v>
      </c>
      <c r="Q415" s="2954" t="s">
        <v>4131</v>
      </c>
      <c r="R415" s="2954" t="s">
        <v>3291</v>
      </c>
      <c r="S415" s="2954">
        <v>1284766</v>
      </c>
      <c r="T415" s="2954" t="s">
        <v>3233</v>
      </c>
      <c r="U415" s="2954" t="s">
        <v>3299</v>
      </c>
      <c r="V415" s="2956">
        <v>44499</v>
      </c>
      <c r="W415" s="2954" t="s">
        <v>3051</v>
      </c>
      <c r="X415" s="2954" t="s">
        <v>3046</v>
      </c>
      <c r="Y415" s="2954" t="s">
        <v>3283</v>
      </c>
      <c r="Z415" s="2957">
        <v>43596.392268518503</v>
      </c>
      <c r="AA415" s="2954" t="s">
        <v>3543</v>
      </c>
      <c r="AB415" s="2954" t="s">
        <v>3300</v>
      </c>
      <c r="AC415" s="2954" t="s">
        <v>3544</v>
      </c>
      <c r="AD415" s="2954" t="s">
        <v>3283</v>
      </c>
      <c r="AE415" s="2954" t="s">
        <v>3051</v>
      </c>
      <c r="AF415" s="2954" t="s">
        <v>3283</v>
      </c>
    </row>
    <row r="416" spans="1:32" ht="67.5">
      <c r="A416" s="2954">
        <v>7038</v>
      </c>
      <c r="B416" s="2954" t="s">
        <v>3281</v>
      </c>
      <c r="C416" s="2954" t="s">
        <v>4128</v>
      </c>
      <c r="D416" s="2954" t="s">
        <v>3283</v>
      </c>
      <c r="E416" s="2954" t="s">
        <v>3964</v>
      </c>
      <c r="F416" s="2954" t="s">
        <v>4271</v>
      </c>
      <c r="G416" s="2954" t="s">
        <v>4272</v>
      </c>
      <c r="H416" s="2955">
        <v>1284766</v>
      </c>
      <c r="I416" s="2955">
        <v>11260</v>
      </c>
      <c r="J416" s="2955">
        <v>14255</v>
      </c>
      <c r="K416" s="2959">
        <v>114.1</v>
      </c>
      <c r="L416" s="2955">
        <v>90.13</v>
      </c>
      <c r="M416" s="2954" t="s">
        <v>3233</v>
      </c>
      <c r="N416" s="2954" t="s">
        <v>3672</v>
      </c>
      <c r="O416" s="2954" t="s">
        <v>3441</v>
      </c>
      <c r="P416" s="2954" t="s">
        <v>3289</v>
      </c>
      <c r="Q416" s="2954" t="s">
        <v>4131</v>
      </c>
      <c r="R416" s="2954" t="s">
        <v>3291</v>
      </c>
      <c r="S416" s="2954">
        <v>1284766</v>
      </c>
      <c r="T416" s="2954" t="s">
        <v>3233</v>
      </c>
      <c r="U416" s="2954" t="s">
        <v>3299</v>
      </c>
      <c r="V416" s="2956">
        <v>44499</v>
      </c>
      <c r="W416" s="2954" t="s">
        <v>3051</v>
      </c>
      <c r="X416" s="2954" t="s">
        <v>3046</v>
      </c>
      <c r="Y416" s="2954" t="s">
        <v>3283</v>
      </c>
      <c r="Z416" s="2957">
        <v>43596.392268518503</v>
      </c>
      <c r="AA416" s="2954" t="s">
        <v>3543</v>
      </c>
      <c r="AB416" s="2954" t="s">
        <v>3300</v>
      </c>
      <c r="AC416" s="2954" t="s">
        <v>3544</v>
      </c>
      <c r="AD416" s="2954" t="s">
        <v>3283</v>
      </c>
      <c r="AE416" s="2954" t="s">
        <v>3051</v>
      </c>
      <c r="AF416" s="2954" t="s">
        <v>3283</v>
      </c>
    </row>
    <row r="417" spans="1:32" ht="67.5">
      <c r="A417" s="2954">
        <v>7039</v>
      </c>
      <c r="B417" s="2954" t="s">
        <v>3281</v>
      </c>
      <c r="C417" s="2954" t="s">
        <v>4128</v>
      </c>
      <c r="D417" s="2954" t="s">
        <v>3283</v>
      </c>
      <c r="E417" s="2954" t="s">
        <v>3618</v>
      </c>
      <c r="F417" s="2954" t="s">
        <v>4273</v>
      </c>
      <c r="G417" s="2954" t="s">
        <v>4274</v>
      </c>
      <c r="H417" s="2955">
        <v>1274199</v>
      </c>
      <c r="I417" s="2955">
        <v>10760</v>
      </c>
      <c r="J417" s="2955">
        <v>13622</v>
      </c>
      <c r="K417" s="2959">
        <v>118.42</v>
      </c>
      <c r="L417" s="2955">
        <v>93.54</v>
      </c>
      <c r="M417" s="2954" t="s">
        <v>3233</v>
      </c>
      <c r="N417" s="2954" t="s">
        <v>3547</v>
      </c>
      <c r="O417" s="2954" t="s">
        <v>3441</v>
      </c>
      <c r="P417" s="2954" t="s">
        <v>3289</v>
      </c>
      <c r="Q417" s="2954" t="s">
        <v>4131</v>
      </c>
      <c r="R417" s="2954" t="s">
        <v>3291</v>
      </c>
      <c r="S417" s="2954">
        <v>1274199</v>
      </c>
      <c r="T417" s="2954" t="s">
        <v>3233</v>
      </c>
      <c r="U417" s="2954" t="s">
        <v>3299</v>
      </c>
      <c r="V417" s="2956">
        <v>44499</v>
      </c>
      <c r="W417" s="2954" t="s">
        <v>3051</v>
      </c>
      <c r="X417" s="2954" t="s">
        <v>3046</v>
      </c>
      <c r="Y417" s="2954" t="s">
        <v>3283</v>
      </c>
      <c r="Z417" s="2957">
        <v>43596.392268518503</v>
      </c>
      <c r="AA417" s="2954" t="s">
        <v>3543</v>
      </c>
      <c r="AB417" s="2954" t="s">
        <v>3300</v>
      </c>
      <c r="AC417" s="2954" t="s">
        <v>3544</v>
      </c>
      <c r="AD417" s="2954" t="s">
        <v>3283</v>
      </c>
      <c r="AE417" s="2954" t="s">
        <v>3051</v>
      </c>
      <c r="AF417" s="2954" t="s">
        <v>3283</v>
      </c>
    </row>
    <row r="418" spans="1:32" ht="67.5">
      <c r="A418" s="2954">
        <v>7040</v>
      </c>
      <c r="B418" s="2954" t="s">
        <v>3281</v>
      </c>
      <c r="C418" s="2954" t="s">
        <v>4128</v>
      </c>
      <c r="D418" s="2954" t="s">
        <v>3283</v>
      </c>
      <c r="E418" s="2954" t="s">
        <v>3621</v>
      </c>
      <c r="F418" s="2954" t="s">
        <v>4275</v>
      </c>
      <c r="G418" s="2954" t="s">
        <v>4276</v>
      </c>
      <c r="H418" s="2955">
        <v>1274199</v>
      </c>
      <c r="I418" s="2955">
        <v>10760</v>
      </c>
      <c r="J418" s="2955">
        <v>13622</v>
      </c>
      <c r="K418" s="2959">
        <v>118.42</v>
      </c>
      <c r="L418" s="2955">
        <v>93.54</v>
      </c>
      <c r="M418" s="2954" t="s">
        <v>3233</v>
      </c>
      <c r="N418" s="2954" t="s">
        <v>3551</v>
      </c>
      <c r="O418" s="2954" t="s">
        <v>3441</v>
      </c>
      <c r="P418" s="2954" t="s">
        <v>3289</v>
      </c>
      <c r="Q418" s="2954" t="s">
        <v>4131</v>
      </c>
      <c r="R418" s="2954" t="s">
        <v>3291</v>
      </c>
      <c r="S418" s="2954">
        <v>1274199</v>
      </c>
      <c r="T418" s="2954" t="s">
        <v>3233</v>
      </c>
      <c r="U418" s="2954" t="s">
        <v>3299</v>
      </c>
      <c r="V418" s="2956">
        <v>44499</v>
      </c>
      <c r="W418" s="2954" t="s">
        <v>3051</v>
      </c>
      <c r="X418" s="2954" t="s">
        <v>3046</v>
      </c>
      <c r="Y418" s="2954" t="s">
        <v>3283</v>
      </c>
      <c r="Z418" s="2957">
        <v>43596.392268518503</v>
      </c>
      <c r="AA418" s="2954" t="s">
        <v>3543</v>
      </c>
      <c r="AB418" s="2954" t="s">
        <v>3300</v>
      </c>
      <c r="AC418" s="2954" t="s">
        <v>3544</v>
      </c>
      <c r="AD418" s="2954" t="s">
        <v>3283</v>
      </c>
      <c r="AE418" s="2954" t="s">
        <v>3051</v>
      </c>
      <c r="AF418" s="2954" t="s">
        <v>3283</v>
      </c>
    </row>
    <row r="419" spans="1:32" ht="67.5">
      <c r="A419" s="2954">
        <v>7041</v>
      </c>
      <c r="B419" s="2954" t="s">
        <v>3281</v>
      </c>
      <c r="C419" s="2954" t="s">
        <v>4128</v>
      </c>
      <c r="D419" s="2954" t="s">
        <v>3283</v>
      </c>
      <c r="E419" s="2954" t="s">
        <v>3969</v>
      </c>
      <c r="F419" s="2954" t="s">
        <v>4277</v>
      </c>
      <c r="G419" s="2954" t="s">
        <v>4278</v>
      </c>
      <c r="H419" s="2955">
        <v>1284766</v>
      </c>
      <c r="I419" s="2955">
        <v>11260</v>
      </c>
      <c r="J419" s="2955">
        <v>14255</v>
      </c>
      <c r="K419" s="2959">
        <v>114.1</v>
      </c>
      <c r="L419" s="2955">
        <v>90.13</v>
      </c>
      <c r="M419" s="2954" t="s">
        <v>3233</v>
      </c>
      <c r="N419" s="2954" t="s">
        <v>3541</v>
      </c>
      <c r="O419" s="2954" t="s">
        <v>3441</v>
      </c>
      <c r="P419" s="2954" t="s">
        <v>3289</v>
      </c>
      <c r="Q419" s="2954" t="s">
        <v>4131</v>
      </c>
      <c r="R419" s="2954" t="s">
        <v>3291</v>
      </c>
      <c r="S419" s="2954">
        <v>1284766</v>
      </c>
      <c r="T419" s="2954" t="s">
        <v>3233</v>
      </c>
      <c r="U419" s="2954" t="s">
        <v>3299</v>
      </c>
      <c r="V419" s="2956">
        <v>44499</v>
      </c>
      <c r="W419" s="2954" t="s">
        <v>3051</v>
      </c>
      <c r="X419" s="2954" t="s">
        <v>3046</v>
      </c>
      <c r="Y419" s="2954" t="s">
        <v>3283</v>
      </c>
      <c r="Z419" s="2957">
        <v>43596.392268518503</v>
      </c>
      <c r="AA419" s="2954" t="s">
        <v>3543</v>
      </c>
      <c r="AB419" s="2954" t="s">
        <v>3300</v>
      </c>
      <c r="AC419" s="2954" t="s">
        <v>3544</v>
      </c>
      <c r="AD419" s="2954" t="s">
        <v>3283</v>
      </c>
      <c r="AE419" s="2954" t="s">
        <v>3051</v>
      </c>
      <c r="AF419" s="2954" t="s">
        <v>3283</v>
      </c>
    </row>
    <row r="420" spans="1:32" ht="67.5">
      <c r="A420" s="2954">
        <v>7042</v>
      </c>
      <c r="B420" s="2954" t="s">
        <v>3281</v>
      </c>
      <c r="C420" s="2954" t="s">
        <v>4128</v>
      </c>
      <c r="D420" s="2954" t="s">
        <v>3283</v>
      </c>
      <c r="E420" s="2954" t="s">
        <v>4094</v>
      </c>
      <c r="F420" s="2954" t="s">
        <v>4279</v>
      </c>
      <c r="G420" s="2954" t="s">
        <v>4280</v>
      </c>
      <c r="H420" s="2955">
        <v>1284766</v>
      </c>
      <c r="I420" s="2955">
        <v>11260</v>
      </c>
      <c r="J420" s="2955">
        <v>14255</v>
      </c>
      <c r="K420" s="2959">
        <v>114.1</v>
      </c>
      <c r="L420" s="2955">
        <v>90.13</v>
      </c>
      <c r="M420" s="2954" t="s">
        <v>3233</v>
      </c>
      <c r="N420" s="2954" t="s">
        <v>3672</v>
      </c>
      <c r="O420" s="2954" t="s">
        <v>3441</v>
      </c>
      <c r="P420" s="2954" t="s">
        <v>3289</v>
      </c>
      <c r="Q420" s="2954" t="s">
        <v>4131</v>
      </c>
      <c r="R420" s="2954" t="s">
        <v>3291</v>
      </c>
      <c r="S420" s="2954">
        <v>1284766</v>
      </c>
      <c r="T420" s="2954" t="s">
        <v>3233</v>
      </c>
      <c r="U420" s="2954" t="s">
        <v>3299</v>
      </c>
      <c r="V420" s="2956">
        <v>44499</v>
      </c>
      <c r="W420" s="2954" t="s">
        <v>3051</v>
      </c>
      <c r="X420" s="2954" t="s">
        <v>3046</v>
      </c>
      <c r="Y420" s="2954" t="s">
        <v>3283</v>
      </c>
      <c r="Z420" s="2957">
        <v>43596.392268518503</v>
      </c>
      <c r="AA420" s="2954" t="s">
        <v>3543</v>
      </c>
      <c r="AB420" s="2954" t="s">
        <v>3300</v>
      </c>
      <c r="AC420" s="2954" t="s">
        <v>3544</v>
      </c>
      <c r="AD420" s="2954" t="s">
        <v>3283</v>
      </c>
      <c r="AE420" s="2954" t="s">
        <v>3051</v>
      </c>
      <c r="AF420" s="2954" t="s">
        <v>3283</v>
      </c>
    </row>
    <row r="421" spans="1:32" ht="67.5">
      <c r="A421" s="2954">
        <v>7043</v>
      </c>
      <c r="B421" s="2954" t="s">
        <v>3281</v>
      </c>
      <c r="C421" s="2954" t="s">
        <v>4128</v>
      </c>
      <c r="D421" s="2954" t="s">
        <v>3283</v>
      </c>
      <c r="E421" s="2954" t="s">
        <v>3624</v>
      </c>
      <c r="F421" s="2954" t="s">
        <v>4281</v>
      </c>
      <c r="G421" s="2954" t="s">
        <v>4282</v>
      </c>
      <c r="H421" s="2955">
        <v>1274199</v>
      </c>
      <c r="I421" s="2955">
        <v>10760</v>
      </c>
      <c r="J421" s="2955">
        <v>13622</v>
      </c>
      <c r="K421" s="2959">
        <v>118.42</v>
      </c>
      <c r="L421" s="2955">
        <v>93.54</v>
      </c>
      <c r="M421" s="2954" t="s">
        <v>3233</v>
      </c>
      <c r="N421" s="2954" t="s">
        <v>3547</v>
      </c>
      <c r="O421" s="2954" t="s">
        <v>3441</v>
      </c>
      <c r="P421" s="2954" t="s">
        <v>3289</v>
      </c>
      <c r="Q421" s="2954" t="s">
        <v>4131</v>
      </c>
      <c r="R421" s="2954" t="s">
        <v>3291</v>
      </c>
      <c r="S421" s="2954">
        <v>1274199</v>
      </c>
      <c r="T421" s="2954" t="s">
        <v>3233</v>
      </c>
      <c r="U421" s="2954" t="s">
        <v>3299</v>
      </c>
      <c r="V421" s="2956">
        <v>44499</v>
      </c>
      <c r="W421" s="2954" t="s">
        <v>3051</v>
      </c>
      <c r="X421" s="2954" t="s">
        <v>3046</v>
      </c>
      <c r="Y421" s="2954" t="s">
        <v>3283</v>
      </c>
      <c r="Z421" s="2957">
        <v>43596.392268518503</v>
      </c>
      <c r="AA421" s="2954" t="s">
        <v>3543</v>
      </c>
      <c r="AB421" s="2954" t="s">
        <v>3300</v>
      </c>
      <c r="AC421" s="2954" t="s">
        <v>3544</v>
      </c>
      <c r="AD421" s="2954" t="s">
        <v>3283</v>
      </c>
      <c r="AE421" s="2954" t="s">
        <v>3051</v>
      </c>
      <c r="AF421" s="2954" t="s">
        <v>3283</v>
      </c>
    </row>
    <row r="422" spans="1:32" ht="67.5">
      <c r="A422" s="2954">
        <v>7044</v>
      </c>
      <c r="B422" s="2954" t="s">
        <v>3281</v>
      </c>
      <c r="C422" s="2954" t="s">
        <v>4128</v>
      </c>
      <c r="D422" s="2954" t="s">
        <v>3283</v>
      </c>
      <c r="E422" s="2954" t="s">
        <v>3627</v>
      </c>
      <c r="F422" s="2954" t="s">
        <v>4283</v>
      </c>
      <c r="G422" s="2954" t="s">
        <v>4284</v>
      </c>
      <c r="H422" s="2955">
        <v>1274199</v>
      </c>
      <c r="I422" s="2955">
        <v>10760</v>
      </c>
      <c r="J422" s="2955">
        <v>13622</v>
      </c>
      <c r="K422" s="2959">
        <v>118.42</v>
      </c>
      <c r="L422" s="2955">
        <v>93.54</v>
      </c>
      <c r="M422" s="2954" t="s">
        <v>3233</v>
      </c>
      <c r="N422" s="2954" t="s">
        <v>3551</v>
      </c>
      <c r="O422" s="2954" t="s">
        <v>3441</v>
      </c>
      <c r="P422" s="2954" t="s">
        <v>3289</v>
      </c>
      <c r="Q422" s="2954" t="s">
        <v>4131</v>
      </c>
      <c r="R422" s="2954" t="s">
        <v>3291</v>
      </c>
      <c r="S422" s="2954">
        <v>1274199</v>
      </c>
      <c r="T422" s="2954" t="s">
        <v>3233</v>
      </c>
      <c r="U422" s="2954" t="s">
        <v>3299</v>
      </c>
      <c r="V422" s="2956">
        <v>44499</v>
      </c>
      <c r="W422" s="2954" t="s">
        <v>3051</v>
      </c>
      <c r="X422" s="2954" t="s">
        <v>3046</v>
      </c>
      <c r="Y422" s="2954" t="s">
        <v>3283</v>
      </c>
      <c r="Z422" s="2957">
        <v>43596.392268518503</v>
      </c>
      <c r="AA422" s="2954" t="s">
        <v>3543</v>
      </c>
      <c r="AB422" s="2954" t="s">
        <v>3300</v>
      </c>
      <c r="AC422" s="2954" t="s">
        <v>3544</v>
      </c>
      <c r="AD422" s="2954" t="s">
        <v>3283</v>
      </c>
      <c r="AE422" s="2954" t="s">
        <v>3051</v>
      </c>
      <c r="AF422" s="2954" t="s">
        <v>3283</v>
      </c>
    </row>
    <row r="423" spans="1:32" ht="67.5">
      <c r="A423" s="2954">
        <v>7045</v>
      </c>
      <c r="B423" s="2954" t="s">
        <v>3281</v>
      </c>
      <c r="C423" s="2954" t="s">
        <v>4128</v>
      </c>
      <c r="D423" s="2954" t="s">
        <v>3283</v>
      </c>
      <c r="E423" s="2954" t="s">
        <v>3974</v>
      </c>
      <c r="F423" s="2954" t="s">
        <v>4285</v>
      </c>
      <c r="G423" s="2954" t="s">
        <v>4286</v>
      </c>
      <c r="H423" s="2955">
        <v>1284766</v>
      </c>
      <c r="I423" s="2955">
        <v>11260</v>
      </c>
      <c r="J423" s="2955">
        <v>14255</v>
      </c>
      <c r="K423" s="2959">
        <v>114.1</v>
      </c>
      <c r="L423" s="2955">
        <v>90.13</v>
      </c>
      <c r="M423" s="2954" t="s">
        <v>3233</v>
      </c>
      <c r="N423" s="2954" t="s">
        <v>3541</v>
      </c>
      <c r="O423" s="2954" t="s">
        <v>3441</v>
      </c>
      <c r="P423" s="2954" t="s">
        <v>3289</v>
      </c>
      <c r="Q423" s="2954" t="s">
        <v>4131</v>
      </c>
      <c r="R423" s="2954" t="s">
        <v>3291</v>
      </c>
      <c r="S423" s="2954">
        <v>1284766</v>
      </c>
      <c r="T423" s="2954" t="s">
        <v>3233</v>
      </c>
      <c r="U423" s="2954" t="s">
        <v>3299</v>
      </c>
      <c r="V423" s="2956">
        <v>44499</v>
      </c>
      <c r="W423" s="2954" t="s">
        <v>3051</v>
      </c>
      <c r="X423" s="2954" t="s">
        <v>3046</v>
      </c>
      <c r="Y423" s="2954" t="s">
        <v>3283</v>
      </c>
      <c r="Z423" s="2957">
        <v>43596.392268518503</v>
      </c>
      <c r="AA423" s="2954" t="s">
        <v>3543</v>
      </c>
      <c r="AB423" s="2954" t="s">
        <v>3300</v>
      </c>
      <c r="AC423" s="2954" t="s">
        <v>3544</v>
      </c>
      <c r="AD423" s="2954" t="s">
        <v>3283</v>
      </c>
      <c r="AE423" s="2954" t="s">
        <v>3051</v>
      </c>
      <c r="AF423" s="2954" t="s">
        <v>3283</v>
      </c>
    </row>
    <row r="424" spans="1:32" ht="67.5">
      <c r="A424" s="2954">
        <v>7046</v>
      </c>
      <c r="B424" s="2954" t="s">
        <v>3281</v>
      </c>
      <c r="C424" s="2954" t="s">
        <v>4128</v>
      </c>
      <c r="D424" s="2954" t="s">
        <v>3283</v>
      </c>
      <c r="E424" s="2954" t="s">
        <v>3977</v>
      </c>
      <c r="F424" s="2954" t="s">
        <v>4287</v>
      </c>
      <c r="G424" s="2954" t="s">
        <v>4288</v>
      </c>
      <c r="H424" s="2955">
        <v>1282484</v>
      </c>
      <c r="I424" s="2955">
        <v>11240</v>
      </c>
      <c r="J424" s="2955">
        <v>14229</v>
      </c>
      <c r="K424" s="2959">
        <v>114.1</v>
      </c>
      <c r="L424" s="2955">
        <v>90.13</v>
      </c>
      <c r="M424" s="2954" t="s">
        <v>3233</v>
      </c>
      <c r="N424" s="2954" t="s">
        <v>3672</v>
      </c>
      <c r="O424" s="2954" t="s">
        <v>3441</v>
      </c>
      <c r="P424" s="2954" t="s">
        <v>3289</v>
      </c>
      <c r="Q424" s="2954" t="s">
        <v>4131</v>
      </c>
      <c r="R424" s="2954" t="s">
        <v>3291</v>
      </c>
      <c r="S424" s="2954">
        <v>1282484</v>
      </c>
      <c r="T424" s="2954" t="s">
        <v>3233</v>
      </c>
      <c r="U424" s="2954" t="s">
        <v>3299</v>
      </c>
      <c r="V424" s="2956">
        <v>44499</v>
      </c>
      <c r="W424" s="2954" t="s">
        <v>3051</v>
      </c>
      <c r="X424" s="2954" t="s">
        <v>3046</v>
      </c>
      <c r="Y424" s="2954" t="s">
        <v>3283</v>
      </c>
      <c r="Z424" s="2957">
        <v>43596.392268518503</v>
      </c>
      <c r="AA424" s="2954" t="s">
        <v>3543</v>
      </c>
      <c r="AB424" s="2954" t="s">
        <v>3300</v>
      </c>
      <c r="AC424" s="2954" t="s">
        <v>3544</v>
      </c>
      <c r="AD424" s="2954" t="s">
        <v>3283</v>
      </c>
      <c r="AE424" s="2954" t="s">
        <v>3051</v>
      </c>
      <c r="AF424" s="2954" t="s">
        <v>3283</v>
      </c>
    </row>
    <row r="425" spans="1:32" ht="67.5">
      <c r="A425" s="2954">
        <v>7047</v>
      </c>
      <c r="B425" s="2954" t="s">
        <v>3281</v>
      </c>
      <c r="C425" s="2954" t="s">
        <v>4128</v>
      </c>
      <c r="D425" s="2954" t="s">
        <v>3283</v>
      </c>
      <c r="E425" s="2954" t="s">
        <v>3630</v>
      </c>
      <c r="F425" s="2954" t="s">
        <v>4289</v>
      </c>
      <c r="G425" s="2954" t="s">
        <v>4290</v>
      </c>
      <c r="H425" s="2955">
        <v>1271831</v>
      </c>
      <c r="I425" s="2955">
        <v>10740</v>
      </c>
      <c r="J425" s="2955">
        <v>13597</v>
      </c>
      <c r="K425" s="2959">
        <v>118.42</v>
      </c>
      <c r="L425" s="2955">
        <v>93.54</v>
      </c>
      <c r="M425" s="2954" t="s">
        <v>3233</v>
      </c>
      <c r="N425" s="2954" t="s">
        <v>3547</v>
      </c>
      <c r="O425" s="2954" t="s">
        <v>3441</v>
      </c>
      <c r="P425" s="2954" t="s">
        <v>3289</v>
      </c>
      <c r="Q425" s="2954" t="s">
        <v>4131</v>
      </c>
      <c r="R425" s="2954" t="s">
        <v>3291</v>
      </c>
      <c r="S425" s="2954">
        <v>1271831</v>
      </c>
      <c r="T425" s="2954" t="s">
        <v>3233</v>
      </c>
      <c r="U425" s="2954" t="s">
        <v>3299</v>
      </c>
      <c r="V425" s="2956">
        <v>44499</v>
      </c>
      <c r="W425" s="2954" t="s">
        <v>3051</v>
      </c>
      <c r="X425" s="2954" t="s">
        <v>3046</v>
      </c>
      <c r="Y425" s="2954" t="s">
        <v>3283</v>
      </c>
      <c r="Z425" s="2957">
        <v>43596.392268518503</v>
      </c>
      <c r="AA425" s="2954" t="s">
        <v>3543</v>
      </c>
      <c r="AB425" s="2954" t="s">
        <v>3300</v>
      </c>
      <c r="AC425" s="2954" t="s">
        <v>3544</v>
      </c>
      <c r="AD425" s="2954" t="s">
        <v>3283</v>
      </c>
      <c r="AE425" s="2954" t="s">
        <v>3051</v>
      </c>
      <c r="AF425" s="2954" t="s">
        <v>3283</v>
      </c>
    </row>
    <row r="426" spans="1:32" ht="67.5">
      <c r="A426" s="2954">
        <v>7048</v>
      </c>
      <c r="B426" s="2954" t="s">
        <v>3281</v>
      </c>
      <c r="C426" s="2954" t="s">
        <v>4128</v>
      </c>
      <c r="D426" s="2954" t="s">
        <v>3283</v>
      </c>
      <c r="E426" s="2954" t="s">
        <v>3633</v>
      </c>
      <c r="F426" s="2954" t="s">
        <v>4291</v>
      </c>
      <c r="G426" s="2954" t="s">
        <v>4292</v>
      </c>
      <c r="H426" s="2955">
        <v>1271831</v>
      </c>
      <c r="I426" s="2955">
        <v>10740</v>
      </c>
      <c r="J426" s="2955">
        <v>13597</v>
      </c>
      <c r="K426" s="2959">
        <v>118.42</v>
      </c>
      <c r="L426" s="2955">
        <v>93.54</v>
      </c>
      <c r="M426" s="2954" t="s">
        <v>3233</v>
      </c>
      <c r="N426" s="2954" t="s">
        <v>3551</v>
      </c>
      <c r="O426" s="2954" t="s">
        <v>3441</v>
      </c>
      <c r="P426" s="2954" t="s">
        <v>3289</v>
      </c>
      <c r="Q426" s="2954" t="s">
        <v>4131</v>
      </c>
      <c r="R426" s="2954" t="s">
        <v>3291</v>
      </c>
      <c r="S426" s="2954">
        <v>1271831</v>
      </c>
      <c r="T426" s="2954" t="s">
        <v>3233</v>
      </c>
      <c r="U426" s="2954" t="s">
        <v>3299</v>
      </c>
      <c r="V426" s="2956">
        <v>44499</v>
      </c>
      <c r="W426" s="2954" t="s">
        <v>3051</v>
      </c>
      <c r="X426" s="2954" t="s">
        <v>3046</v>
      </c>
      <c r="Y426" s="2954" t="s">
        <v>3283</v>
      </c>
      <c r="Z426" s="2957">
        <v>43596.392268518503</v>
      </c>
      <c r="AA426" s="2954" t="s">
        <v>3543</v>
      </c>
      <c r="AB426" s="2954" t="s">
        <v>3300</v>
      </c>
      <c r="AC426" s="2954" t="s">
        <v>3544</v>
      </c>
      <c r="AD426" s="2954" t="s">
        <v>3283</v>
      </c>
      <c r="AE426" s="2954" t="s">
        <v>3051</v>
      </c>
      <c r="AF426" s="2954" t="s">
        <v>3283</v>
      </c>
    </row>
    <row r="427" spans="1:32" ht="67.5">
      <c r="A427" s="2954">
        <v>7049</v>
      </c>
      <c r="B427" s="2954" t="s">
        <v>3281</v>
      </c>
      <c r="C427" s="2954" t="s">
        <v>4128</v>
      </c>
      <c r="D427" s="2954" t="s">
        <v>3283</v>
      </c>
      <c r="E427" s="2954" t="s">
        <v>3982</v>
      </c>
      <c r="F427" s="2954" t="s">
        <v>4293</v>
      </c>
      <c r="G427" s="2954" t="s">
        <v>4294</v>
      </c>
      <c r="H427" s="2955">
        <v>1282484</v>
      </c>
      <c r="I427" s="2955">
        <v>11240</v>
      </c>
      <c r="J427" s="2955">
        <v>14229</v>
      </c>
      <c r="K427" s="2959">
        <v>114.1</v>
      </c>
      <c r="L427" s="2955">
        <v>90.13</v>
      </c>
      <c r="M427" s="2954" t="s">
        <v>3233</v>
      </c>
      <c r="N427" s="2954" t="s">
        <v>3541</v>
      </c>
      <c r="O427" s="2954" t="s">
        <v>3441</v>
      </c>
      <c r="P427" s="2954" t="s">
        <v>3289</v>
      </c>
      <c r="Q427" s="2954" t="s">
        <v>4131</v>
      </c>
      <c r="R427" s="2954" t="s">
        <v>3291</v>
      </c>
      <c r="S427" s="2954">
        <v>1282484</v>
      </c>
      <c r="T427" s="2954" t="s">
        <v>3233</v>
      </c>
      <c r="U427" s="2954" t="s">
        <v>3299</v>
      </c>
      <c r="V427" s="2956">
        <v>44499</v>
      </c>
      <c r="W427" s="2954" t="s">
        <v>3051</v>
      </c>
      <c r="X427" s="2954" t="s">
        <v>3046</v>
      </c>
      <c r="Y427" s="2954" t="s">
        <v>3283</v>
      </c>
      <c r="Z427" s="2957">
        <v>43596.392268518503</v>
      </c>
      <c r="AA427" s="2954" t="s">
        <v>3543</v>
      </c>
      <c r="AB427" s="2954" t="s">
        <v>3300</v>
      </c>
      <c r="AC427" s="2954" t="s">
        <v>3544</v>
      </c>
      <c r="AD427" s="2954" t="s">
        <v>3283</v>
      </c>
      <c r="AE427" s="2954" t="s">
        <v>3051</v>
      </c>
      <c r="AF427" s="2954" t="s">
        <v>3283</v>
      </c>
    </row>
    <row r="428" spans="1:32" ht="67.5">
      <c r="A428" s="2954">
        <v>7050</v>
      </c>
      <c r="B428" s="2954" t="s">
        <v>3281</v>
      </c>
      <c r="C428" s="2954" t="s">
        <v>4128</v>
      </c>
      <c r="D428" s="2954" t="s">
        <v>3283</v>
      </c>
      <c r="E428" s="2954" t="s">
        <v>4103</v>
      </c>
      <c r="F428" s="2954" t="s">
        <v>4295</v>
      </c>
      <c r="G428" s="2954" t="s">
        <v>4296</v>
      </c>
      <c r="H428" s="2955">
        <v>1282484</v>
      </c>
      <c r="I428" s="2955">
        <v>11240</v>
      </c>
      <c r="J428" s="2955">
        <v>14229</v>
      </c>
      <c r="K428" s="2959">
        <v>114.1</v>
      </c>
      <c r="L428" s="2955">
        <v>90.13</v>
      </c>
      <c r="M428" s="2954" t="s">
        <v>3233</v>
      </c>
      <c r="N428" s="2954" t="s">
        <v>3672</v>
      </c>
      <c r="O428" s="2954" t="s">
        <v>3441</v>
      </c>
      <c r="P428" s="2954" t="s">
        <v>3289</v>
      </c>
      <c r="Q428" s="2954" t="s">
        <v>4131</v>
      </c>
      <c r="R428" s="2954" t="s">
        <v>3291</v>
      </c>
      <c r="S428" s="2954">
        <v>1282484</v>
      </c>
      <c r="T428" s="2954" t="s">
        <v>3233</v>
      </c>
      <c r="U428" s="2954" t="s">
        <v>3299</v>
      </c>
      <c r="V428" s="2956">
        <v>44499</v>
      </c>
      <c r="W428" s="2954" t="s">
        <v>3051</v>
      </c>
      <c r="X428" s="2954" t="s">
        <v>3046</v>
      </c>
      <c r="Y428" s="2954" t="s">
        <v>3283</v>
      </c>
      <c r="Z428" s="2957">
        <v>43596.392268518503</v>
      </c>
      <c r="AA428" s="2954" t="s">
        <v>3543</v>
      </c>
      <c r="AB428" s="2954" t="s">
        <v>3300</v>
      </c>
      <c r="AC428" s="2954" t="s">
        <v>3544</v>
      </c>
      <c r="AD428" s="2954" t="s">
        <v>3283</v>
      </c>
      <c r="AE428" s="2954" t="s">
        <v>3051</v>
      </c>
      <c r="AF428" s="2954" t="s">
        <v>3283</v>
      </c>
    </row>
    <row r="429" spans="1:32" ht="67.5">
      <c r="A429" s="2954">
        <v>7051</v>
      </c>
      <c r="B429" s="2954" t="s">
        <v>3281</v>
      </c>
      <c r="C429" s="2954" t="s">
        <v>4128</v>
      </c>
      <c r="D429" s="2954" t="s">
        <v>3283</v>
      </c>
      <c r="E429" s="2954" t="s">
        <v>3636</v>
      </c>
      <c r="F429" s="2954" t="s">
        <v>4297</v>
      </c>
      <c r="G429" s="2954" t="s">
        <v>4298</v>
      </c>
      <c r="H429" s="2955">
        <v>1271831</v>
      </c>
      <c r="I429" s="2955">
        <v>10740</v>
      </c>
      <c r="J429" s="2955">
        <v>13597</v>
      </c>
      <c r="K429" s="2959">
        <v>118.42</v>
      </c>
      <c r="L429" s="2955">
        <v>93.54</v>
      </c>
      <c r="M429" s="2954" t="s">
        <v>3233</v>
      </c>
      <c r="N429" s="2954" t="s">
        <v>3547</v>
      </c>
      <c r="O429" s="2954" t="s">
        <v>3441</v>
      </c>
      <c r="P429" s="2954" t="s">
        <v>3289</v>
      </c>
      <c r="Q429" s="2954" t="s">
        <v>4131</v>
      </c>
      <c r="R429" s="2954" t="s">
        <v>3291</v>
      </c>
      <c r="S429" s="2954">
        <v>1271831</v>
      </c>
      <c r="T429" s="2954" t="s">
        <v>3233</v>
      </c>
      <c r="U429" s="2954" t="s">
        <v>3299</v>
      </c>
      <c r="V429" s="2956">
        <v>44499</v>
      </c>
      <c r="W429" s="2954" t="s">
        <v>3051</v>
      </c>
      <c r="X429" s="2954" t="s">
        <v>3046</v>
      </c>
      <c r="Y429" s="2954" t="s">
        <v>3283</v>
      </c>
      <c r="Z429" s="2957">
        <v>43596.392268518503</v>
      </c>
      <c r="AA429" s="2954" t="s">
        <v>3543</v>
      </c>
      <c r="AB429" s="2954" t="s">
        <v>3300</v>
      </c>
      <c r="AC429" s="2954" t="s">
        <v>3544</v>
      </c>
      <c r="AD429" s="2954" t="s">
        <v>3283</v>
      </c>
      <c r="AE429" s="2954" t="s">
        <v>3051</v>
      </c>
      <c r="AF429" s="2954" t="s">
        <v>3283</v>
      </c>
    </row>
    <row r="430" spans="1:32" ht="67.5">
      <c r="A430" s="2954">
        <v>7052</v>
      </c>
      <c r="B430" s="2954" t="s">
        <v>3281</v>
      </c>
      <c r="C430" s="2954" t="s">
        <v>4128</v>
      </c>
      <c r="D430" s="2954" t="s">
        <v>3283</v>
      </c>
      <c r="E430" s="2954" t="s">
        <v>3639</v>
      </c>
      <c r="F430" s="2954" t="s">
        <v>4299</v>
      </c>
      <c r="G430" s="2954" t="s">
        <v>4300</v>
      </c>
      <c r="H430" s="2955">
        <v>1271831</v>
      </c>
      <c r="I430" s="2955">
        <v>10740</v>
      </c>
      <c r="J430" s="2955">
        <v>13597</v>
      </c>
      <c r="K430" s="2959">
        <v>118.42</v>
      </c>
      <c r="L430" s="2955">
        <v>93.54</v>
      </c>
      <c r="M430" s="2954" t="s">
        <v>3233</v>
      </c>
      <c r="N430" s="2954" t="s">
        <v>3551</v>
      </c>
      <c r="O430" s="2954" t="s">
        <v>3441</v>
      </c>
      <c r="P430" s="2954" t="s">
        <v>3289</v>
      </c>
      <c r="Q430" s="2954" t="s">
        <v>4131</v>
      </c>
      <c r="R430" s="2954" t="s">
        <v>3291</v>
      </c>
      <c r="S430" s="2954">
        <v>1271831</v>
      </c>
      <c r="T430" s="2954" t="s">
        <v>3233</v>
      </c>
      <c r="U430" s="2954" t="s">
        <v>3299</v>
      </c>
      <c r="V430" s="2956">
        <v>44499</v>
      </c>
      <c r="W430" s="2954" t="s">
        <v>3051</v>
      </c>
      <c r="X430" s="2954" t="s">
        <v>3046</v>
      </c>
      <c r="Y430" s="2954" t="s">
        <v>3283</v>
      </c>
      <c r="Z430" s="2957">
        <v>43596.392268518503</v>
      </c>
      <c r="AA430" s="2954" t="s">
        <v>3543</v>
      </c>
      <c r="AB430" s="2954" t="s">
        <v>3300</v>
      </c>
      <c r="AC430" s="2954" t="s">
        <v>3544</v>
      </c>
      <c r="AD430" s="2954" t="s">
        <v>3283</v>
      </c>
      <c r="AE430" s="2954" t="s">
        <v>3051</v>
      </c>
      <c r="AF430" s="2954" t="s">
        <v>3283</v>
      </c>
    </row>
    <row r="431" spans="1:32" ht="67.5">
      <c r="A431" s="2954">
        <v>7053</v>
      </c>
      <c r="B431" s="2954" t="s">
        <v>3281</v>
      </c>
      <c r="C431" s="2954" t="s">
        <v>4128</v>
      </c>
      <c r="D431" s="2954" t="s">
        <v>3283</v>
      </c>
      <c r="E431" s="2954" t="s">
        <v>3989</v>
      </c>
      <c r="F431" s="2954" t="s">
        <v>4301</v>
      </c>
      <c r="G431" s="2954" t="s">
        <v>4302</v>
      </c>
      <c r="H431" s="2955">
        <v>1282484</v>
      </c>
      <c r="I431" s="2955">
        <v>11240</v>
      </c>
      <c r="J431" s="2955">
        <v>14229</v>
      </c>
      <c r="K431" s="2959">
        <v>114.1</v>
      </c>
      <c r="L431" s="2955">
        <v>90.13</v>
      </c>
      <c r="M431" s="2954" t="s">
        <v>3233</v>
      </c>
      <c r="N431" s="2954" t="s">
        <v>3541</v>
      </c>
      <c r="O431" s="2954" t="s">
        <v>3441</v>
      </c>
      <c r="P431" s="2954" t="s">
        <v>3289</v>
      </c>
      <c r="Q431" s="2954" t="s">
        <v>4131</v>
      </c>
      <c r="R431" s="2954" t="s">
        <v>3291</v>
      </c>
      <c r="S431" s="2954">
        <v>1282484</v>
      </c>
      <c r="T431" s="2954" t="s">
        <v>3233</v>
      </c>
      <c r="U431" s="2954" t="s">
        <v>3299</v>
      </c>
      <c r="V431" s="2956">
        <v>44499</v>
      </c>
      <c r="W431" s="2954" t="s">
        <v>3051</v>
      </c>
      <c r="X431" s="2954" t="s">
        <v>3046</v>
      </c>
      <c r="Y431" s="2954" t="s">
        <v>3283</v>
      </c>
      <c r="Z431" s="2957">
        <v>43596.392268518503</v>
      </c>
      <c r="AA431" s="2954" t="s">
        <v>3543</v>
      </c>
      <c r="AB431" s="2954" t="s">
        <v>3300</v>
      </c>
      <c r="AC431" s="2954" t="s">
        <v>3544</v>
      </c>
      <c r="AD431" s="2954" t="s">
        <v>3283</v>
      </c>
      <c r="AE431" s="2954" t="s">
        <v>3051</v>
      </c>
      <c r="AF431" s="2954" t="s">
        <v>3283</v>
      </c>
    </row>
    <row r="432" spans="1:32" ht="67.5">
      <c r="A432" s="2954">
        <v>7054</v>
      </c>
      <c r="B432" s="2954" t="s">
        <v>3281</v>
      </c>
      <c r="C432" s="2954" t="s">
        <v>4128</v>
      </c>
      <c r="D432" s="2954" t="s">
        <v>3283</v>
      </c>
      <c r="E432" s="2954" t="s">
        <v>4108</v>
      </c>
      <c r="F432" s="2954" t="s">
        <v>4303</v>
      </c>
      <c r="G432" s="2954" t="s">
        <v>4304</v>
      </c>
      <c r="H432" s="2955">
        <v>1282484</v>
      </c>
      <c r="I432" s="2955">
        <v>11240</v>
      </c>
      <c r="J432" s="2955">
        <v>14229</v>
      </c>
      <c r="K432" s="2959">
        <v>114.1</v>
      </c>
      <c r="L432" s="2955">
        <v>90.13</v>
      </c>
      <c r="M432" s="2954" t="s">
        <v>3233</v>
      </c>
      <c r="N432" s="2954" t="s">
        <v>3672</v>
      </c>
      <c r="O432" s="2954" t="s">
        <v>3441</v>
      </c>
      <c r="P432" s="2954" t="s">
        <v>3289</v>
      </c>
      <c r="Q432" s="2954" t="s">
        <v>4131</v>
      </c>
      <c r="R432" s="2954" t="s">
        <v>3291</v>
      </c>
      <c r="S432" s="2954">
        <v>1282484</v>
      </c>
      <c r="T432" s="2954" t="s">
        <v>3233</v>
      </c>
      <c r="U432" s="2954" t="s">
        <v>3299</v>
      </c>
      <c r="V432" s="2956">
        <v>44499</v>
      </c>
      <c r="W432" s="2954" t="s">
        <v>3051</v>
      </c>
      <c r="X432" s="2954" t="s">
        <v>3046</v>
      </c>
      <c r="Y432" s="2954" t="s">
        <v>3283</v>
      </c>
      <c r="Z432" s="2957">
        <v>43596.392268518503</v>
      </c>
      <c r="AA432" s="2954" t="s">
        <v>3543</v>
      </c>
      <c r="AB432" s="2954" t="s">
        <v>3300</v>
      </c>
      <c r="AC432" s="2954" t="s">
        <v>3544</v>
      </c>
      <c r="AD432" s="2954" t="s">
        <v>3283</v>
      </c>
      <c r="AE432" s="2954" t="s">
        <v>3051</v>
      </c>
      <c r="AF432" s="2954" t="s">
        <v>3283</v>
      </c>
    </row>
    <row r="433" spans="1:32" ht="67.5">
      <c r="A433" s="2954">
        <v>7055</v>
      </c>
      <c r="B433" s="2954" t="s">
        <v>3281</v>
      </c>
      <c r="C433" s="2954" t="s">
        <v>4128</v>
      </c>
      <c r="D433" s="2954" t="s">
        <v>3283</v>
      </c>
      <c r="E433" s="2954" t="s">
        <v>3642</v>
      </c>
      <c r="F433" s="2954" t="s">
        <v>4305</v>
      </c>
      <c r="G433" s="2954" t="s">
        <v>4306</v>
      </c>
      <c r="H433" s="2955">
        <v>1271831</v>
      </c>
      <c r="I433" s="2955">
        <v>10740</v>
      </c>
      <c r="J433" s="2955">
        <v>13597</v>
      </c>
      <c r="K433" s="2959">
        <v>118.42</v>
      </c>
      <c r="L433" s="2955">
        <v>93.54</v>
      </c>
      <c r="M433" s="2954" t="s">
        <v>3233</v>
      </c>
      <c r="N433" s="2954" t="s">
        <v>3547</v>
      </c>
      <c r="O433" s="2954" t="s">
        <v>3441</v>
      </c>
      <c r="P433" s="2954" t="s">
        <v>3289</v>
      </c>
      <c r="Q433" s="2954" t="s">
        <v>4131</v>
      </c>
      <c r="R433" s="2954" t="s">
        <v>3291</v>
      </c>
      <c r="S433" s="2954">
        <v>1271831</v>
      </c>
      <c r="T433" s="2954" t="s">
        <v>3233</v>
      </c>
      <c r="U433" s="2954" t="s">
        <v>3299</v>
      </c>
      <c r="V433" s="2956">
        <v>44499</v>
      </c>
      <c r="W433" s="2954" t="s">
        <v>3051</v>
      </c>
      <c r="X433" s="2954" t="s">
        <v>3046</v>
      </c>
      <c r="Y433" s="2954" t="s">
        <v>3283</v>
      </c>
      <c r="Z433" s="2957">
        <v>43596.392268518503</v>
      </c>
      <c r="AA433" s="2954" t="s">
        <v>3543</v>
      </c>
      <c r="AB433" s="2954" t="s">
        <v>3300</v>
      </c>
      <c r="AC433" s="2954" t="s">
        <v>3544</v>
      </c>
      <c r="AD433" s="2954" t="s">
        <v>3283</v>
      </c>
      <c r="AE433" s="2954" t="s">
        <v>3051</v>
      </c>
      <c r="AF433" s="2954" t="s">
        <v>3283</v>
      </c>
    </row>
    <row r="434" spans="1:32" ht="67.5">
      <c r="A434" s="2954">
        <v>7056</v>
      </c>
      <c r="B434" s="2954" t="s">
        <v>3281</v>
      </c>
      <c r="C434" s="2954" t="s">
        <v>4128</v>
      </c>
      <c r="D434" s="2954" t="s">
        <v>3283</v>
      </c>
      <c r="E434" s="2954" t="s">
        <v>3645</v>
      </c>
      <c r="F434" s="2954" t="s">
        <v>4307</v>
      </c>
      <c r="G434" s="2954" t="s">
        <v>4308</v>
      </c>
      <c r="H434" s="2955">
        <v>1271831</v>
      </c>
      <c r="I434" s="2955">
        <v>10740</v>
      </c>
      <c r="J434" s="2955">
        <v>13597</v>
      </c>
      <c r="K434" s="2959">
        <v>118.42</v>
      </c>
      <c r="L434" s="2955">
        <v>93.54</v>
      </c>
      <c r="M434" s="2954" t="s">
        <v>3233</v>
      </c>
      <c r="N434" s="2954" t="s">
        <v>3551</v>
      </c>
      <c r="O434" s="2954" t="s">
        <v>3441</v>
      </c>
      <c r="P434" s="2954" t="s">
        <v>3289</v>
      </c>
      <c r="Q434" s="2954" t="s">
        <v>4131</v>
      </c>
      <c r="R434" s="2954" t="s">
        <v>3291</v>
      </c>
      <c r="S434" s="2954">
        <v>1271831</v>
      </c>
      <c r="T434" s="2954" t="s">
        <v>3233</v>
      </c>
      <c r="U434" s="2954" t="s">
        <v>3299</v>
      </c>
      <c r="V434" s="2956">
        <v>44499</v>
      </c>
      <c r="W434" s="2954" t="s">
        <v>3051</v>
      </c>
      <c r="X434" s="2954" t="s">
        <v>3046</v>
      </c>
      <c r="Y434" s="2954" t="s">
        <v>3283</v>
      </c>
      <c r="Z434" s="2957">
        <v>43596.392268518503</v>
      </c>
      <c r="AA434" s="2954" t="s">
        <v>3543</v>
      </c>
      <c r="AB434" s="2954" t="s">
        <v>3300</v>
      </c>
      <c r="AC434" s="2954" t="s">
        <v>3544</v>
      </c>
      <c r="AD434" s="2954" t="s">
        <v>3283</v>
      </c>
      <c r="AE434" s="2954" t="s">
        <v>3051</v>
      </c>
      <c r="AF434" s="2954" t="s">
        <v>3283</v>
      </c>
    </row>
    <row r="435" spans="1:32" ht="67.5">
      <c r="A435" s="2954">
        <v>7057</v>
      </c>
      <c r="B435" s="2954" t="s">
        <v>3281</v>
      </c>
      <c r="C435" s="2954" t="s">
        <v>4128</v>
      </c>
      <c r="D435" s="2954" t="s">
        <v>3283</v>
      </c>
      <c r="E435" s="2954" t="s">
        <v>3992</v>
      </c>
      <c r="F435" s="2954" t="s">
        <v>4309</v>
      </c>
      <c r="G435" s="2954" t="s">
        <v>4310</v>
      </c>
      <c r="H435" s="2955">
        <v>1282484</v>
      </c>
      <c r="I435" s="2955">
        <v>11240</v>
      </c>
      <c r="J435" s="2955">
        <v>14229</v>
      </c>
      <c r="K435" s="2959">
        <v>114.1</v>
      </c>
      <c r="L435" s="2955">
        <v>90.13</v>
      </c>
      <c r="M435" s="2954" t="s">
        <v>3233</v>
      </c>
      <c r="N435" s="2954" t="s">
        <v>3541</v>
      </c>
      <c r="O435" s="2954" t="s">
        <v>3441</v>
      </c>
      <c r="P435" s="2954" t="s">
        <v>3289</v>
      </c>
      <c r="Q435" s="2954" t="s">
        <v>4131</v>
      </c>
      <c r="R435" s="2954" t="s">
        <v>3291</v>
      </c>
      <c r="S435" s="2954">
        <v>1282484</v>
      </c>
      <c r="T435" s="2954" t="s">
        <v>3233</v>
      </c>
      <c r="U435" s="2954" t="s">
        <v>3299</v>
      </c>
      <c r="V435" s="2956">
        <v>44499</v>
      </c>
      <c r="W435" s="2954" t="s">
        <v>3051</v>
      </c>
      <c r="X435" s="2954" t="s">
        <v>3046</v>
      </c>
      <c r="Y435" s="2954" t="s">
        <v>3283</v>
      </c>
      <c r="Z435" s="2957">
        <v>43596.392268518503</v>
      </c>
      <c r="AA435" s="2954" t="s">
        <v>3543</v>
      </c>
      <c r="AB435" s="2954" t="s">
        <v>3300</v>
      </c>
      <c r="AC435" s="2954" t="s">
        <v>3544</v>
      </c>
      <c r="AD435" s="2954" t="s">
        <v>3283</v>
      </c>
      <c r="AE435" s="2954" t="s">
        <v>3051</v>
      </c>
      <c r="AF435" s="2954" t="s">
        <v>3283</v>
      </c>
    </row>
    <row r="436" spans="1:32" ht="67.5">
      <c r="A436" s="2954">
        <v>7058</v>
      </c>
      <c r="B436" s="2954" t="s">
        <v>3281</v>
      </c>
      <c r="C436" s="2954" t="s">
        <v>4128</v>
      </c>
      <c r="D436" s="2954" t="s">
        <v>3283</v>
      </c>
      <c r="E436" s="2954" t="s">
        <v>4113</v>
      </c>
      <c r="F436" s="2954" t="s">
        <v>4311</v>
      </c>
      <c r="G436" s="2954" t="s">
        <v>4312</v>
      </c>
      <c r="H436" s="2955">
        <v>1280202</v>
      </c>
      <c r="I436" s="2955">
        <v>11220</v>
      </c>
      <c r="J436" s="2955">
        <v>14204</v>
      </c>
      <c r="K436" s="2959">
        <v>114.1</v>
      </c>
      <c r="L436" s="2955">
        <v>90.13</v>
      </c>
      <c r="M436" s="2954" t="s">
        <v>3233</v>
      </c>
      <c r="N436" s="2954" t="s">
        <v>3672</v>
      </c>
      <c r="O436" s="2954" t="s">
        <v>3441</v>
      </c>
      <c r="P436" s="2954" t="s">
        <v>3289</v>
      </c>
      <c r="Q436" s="2954" t="s">
        <v>4131</v>
      </c>
      <c r="R436" s="2954" t="s">
        <v>3291</v>
      </c>
      <c r="S436" s="2954">
        <v>1280202</v>
      </c>
      <c r="T436" s="2954" t="s">
        <v>3233</v>
      </c>
      <c r="U436" s="2954" t="s">
        <v>3299</v>
      </c>
      <c r="V436" s="2956">
        <v>44499</v>
      </c>
      <c r="W436" s="2954" t="s">
        <v>3051</v>
      </c>
      <c r="X436" s="2954" t="s">
        <v>3046</v>
      </c>
      <c r="Y436" s="2954" t="s">
        <v>3283</v>
      </c>
      <c r="Z436" s="2957">
        <v>43596.392268518503</v>
      </c>
      <c r="AA436" s="2954" t="s">
        <v>3543</v>
      </c>
      <c r="AB436" s="2954" t="s">
        <v>3300</v>
      </c>
      <c r="AC436" s="2954" t="s">
        <v>3544</v>
      </c>
      <c r="AD436" s="2954" t="s">
        <v>3283</v>
      </c>
      <c r="AE436" s="2954" t="s">
        <v>3051</v>
      </c>
      <c r="AF436" s="2954" t="s">
        <v>3283</v>
      </c>
    </row>
    <row r="437" spans="1:32" ht="67.5">
      <c r="A437" s="2954">
        <v>7059</v>
      </c>
      <c r="B437" s="2954" t="s">
        <v>3281</v>
      </c>
      <c r="C437" s="2954" t="s">
        <v>4128</v>
      </c>
      <c r="D437" s="2954" t="s">
        <v>3283</v>
      </c>
      <c r="E437" s="2954" t="s">
        <v>3648</v>
      </c>
      <c r="F437" s="2954" t="s">
        <v>4313</v>
      </c>
      <c r="G437" s="2954" t="s">
        <v>4314</v>
      </c>
      <c r="H437" s="2955">
        <v>1269462</v>
      </c>
      <c r="I437" s="2955">
        <v>10720</v>
      </c>
      <c r="J437" s="2955">
        <v>13571</v>
      </c>
      <c r="K437" s="2959">
        <v>118.42</v>
      </c>
      <c r="L437" s="2955">
        <v>93.54</v>
      </c>
      <c r="M437" s="2954" t="s">
        <v>3233</v>
      </c>
      <c r="N437" s="2954" t="s">
        <v>3547</v>
      </c>
      <c r="O437" s="2954" t="s">
        <v>3441</v>
      </c>
      <c r="P437" s="2954" t="s">
        <v>3289</v>
      </c>
      <c r="Q437" s="2954" t="s">
        <v>4131</v>
      </c>
      <c r="R437" s="2954" t="s">
        <v>3291</v>
      </c>
      <c r="S437" s="2954">
        <v>1269462</v>
      </c>
      <c r="T437" s="2954" t="s">
        <v>3233</v>
      </c>
      <c r="U437" s="2954" t="s">
        <v>3299</v>
      </c>
      <c r="V437" s="2956">
        <v>44499</v>
      </c>
      <c r="W437" s="2954" t="s">
        <v>3051</v>
      </c>
      <c r="X437" s="2954" t="s">
        <v>3046</v>
      </c>
      <c r="Y437" s="2954" t="s">
        <v>3283</v>
      </c>
      <c r="Z437" s="2957">
        <v>43596.392268518503</v>
      </c>
      <c r="AA437" s="2954" t="s">
        <v>3543</v>
      </c>
      <c r="AB437" s="2954" t="s">
        <v>3300</v>
      </c>
      <c r="AC437" s="2954" t="s">
        <v>3544</v>
      </c>
      <c r="AD437" s="2954" t="s">
        <v>3283</v>
      </c>
      <c r="AE437" s="2954" t="s">
        <v>3051</v>
      </c>
      <c r="AF437" s="2954" t="s">
        <v>3283</v>
      </c>
    </row>
    <row r="438" spans="1:32" ht="67.5">
      <c r="A438" s="2954">
        <v>7060</v>
      </c>
      <c r="B438" s="2954" t="s">
        <v>3281</v>
      </c>
      <c r="C438" s="2954" t="s">
        <v>4128</v>
      </c>
      <c r="D438" s="2954" t="s">
        <v>3283</v>
      </c>
      <c r="E438" s="2954" t="s">
        <v>3651</v>
      </c>
      <c r="F438" s="2954" t="s">
        <v>4315</v>
      </c>
      <c r="G438" s="2954" t="s">
        <v>4316</v>
      </c>
      <c r="H438" s="2955">
        <v>1269462</v>
      </c>
      <c r="I438" s="2955">
        <v>10720</v>
      </c>
      <c r="J438" s="2955">
        <v>13571</v>
      </c>
      <c r="K438" s="2959">
        <v>118.42</v>
      </c>
      <c r="L438" s="2955">
        <v>93.54</v>
      </c>
      <c r="M438" s="2954" t="s">
        <v>3233</v>
      </c>
      <c r="N438" s="2954" t="s">
        <v>3551</v>
      </c>
      <c r="O438" s="2954" t="s">
        <v>3441</v>
      </c>
      <c r="P438" s="2954" t="s">
        <v>3289</v>
      </c>
      <c r="Q438" s="2954" t="s">
        <v>4131</v>
      </c>
      <c r="R438" s="2954" t="s">
        <v>3291</v>
      </c>
      <c r="S438" s="2954">
        <v>1269462</v>
      </c>
      <c r="T438" s="2954" t="s">
        <v>3233</v>
      </c>
      <c r="U438" s="2954" t="s">
        <v>3299</v>
      </c>
      <c r="V438" s="2956">
        <v>44499</v>
      </c>
      <c r="W438" s="2954" t="s">
        <v>3051</v>
      </c>
      <c r="X438" s="2954" t="s">
        <v>3046</v>
      </c>
      <c r="Y438" s="2954" t="s">
        <v>3283</v>
      </c>
      <c r="Z438" s="2957">
        <v>43596.392268518503</v>
      </c>
      <c r="AA438" s="2954" t="s">
        <v>3543</v>
      </c>
      <c r="AB438" s="2954" t="s">
        <v>3300</v>
      </c>
      <c r="AC438" s="2954" t="s">
        <v>3544</v>
      </c>
      <c r="AD438" s="2954" t="s">
        <v>3283</v>
      </c>
      <c r="AE438" s="2954" t="s">
        <v>3051</v>
      </c>
      <c r="AF438" s="2954" t="s">
        <v>3283</v>
      </c>
    </row>
    <row r="439" spans="1:32" ht="67.5">
      <c r="A439" s="2954">
        <v>7061</v>
      </c>
      <c r="B439" s="2954" t="s">
        <v>3281</v>
      </c>
      <c r="C439" s="2954" t="s">
        <v>4128</v>
      </c>
      <c r="D439" s="2954" t="s">
        <v>3283</v>
      </c>
      <c r="E439" s="2954" t="s">
        <v>3995</v>
      </c>
      <c r="F439" s="2954" t="s">
        <v>4317</v>
      </c>
      <c r="G439" s="2954" t="s">
        <v>4318</v>
      </c>
      <c r="H439" s="2955">
        <v>1280202</v>
      </c>
      <c r="I439" s="2955">
        <v>11220</v>
      </c>
      <c r="J439" s="2955">
        <v>14204</v>
      </c>
      <c r="K439" s="2959">
        <v>114.1</v>
      </c>
      <c r="L439" s="2955">
        <v>90.13</v>
      </c>
      <c r="M439" s="2954" t="s">
        <v>3233</v>
      </c>
      <c r="N439" s="2954" t="s">
        <v>3541</v>
      </c>
      <c r="O439" s="2954" t="s">
        <v>3441</v>
      </c>
      <c r="P439" s="2954" t="s">
        <v>3289</v>
      </c>
      <c r="Q439" s="2954" t="s">
        <v>4131</v>
      </c>
      <c r="R439" s="2954" t="s">
        <v>3291</v>
      </c>
      <c r="S439" s="2954">
        <v>1280202</v>
      </c>
      <c r="T439" s="2954" t="s">
        <v>3233</v>
      </c>
      <c r="U439" s="2954" t="s">
        <v>3299</v>
      </c>
      <c r="V439" s="2956">
        <v>44499</v>
      </c>
      <c r="W439" s="2954" t="s">
        <v>3051</v>
      </c>
      <c r="X439" s="2954" t="s">
        <v>3046</v>
      </c>
      <c r="Y439" s="2954" t="s">
        <v>3283</v>
      </c>
      <c r="Z439" s="2957">
        <v>43596.392268518503</v>
      </c>
      <c r="AA439" s="2954" t="s">
        <v>3543</v>
      </c>
      <c r="AB439" s="2954" t="s">
        <v>3300</v>
      </c>
      <c r="AC439" s="2954" t="s">
        <v>3544</v>
      </c>
      <c r="AD439" s="2954" t="s">
        <v>3283</v>
      </c>
      <c r="AE439" s="2954" t="s">
        <v>3051</v>
      </c>
      <c r="AF439" s="2954" t="s">
        <v>3283</v>
      </c>
    </row>
    <row r="440" spans="1:32" ht="67.5">
      <c r="A440" s="2954">
        <v>7062</v>
      </c>
      <c r="B440" s="2954" t="s">
        <v>3281</v>
      </c>
      <c r="C440" s="2954" t="s">
        <v>4128</v>
      </c>
      <c r="D440" s="2954" t="s">
        <v>3283</v>
      </c>
      <c r="E440" s="2954" t="s">
        <v>4118</v>
      </c>
      <c r="F440" s="2954" t="s">
        <v>4319</v>
      </c>
      <c r="G440" s="2954" t="s">
        <v>4320</v>
      </c>
      <c r="H440" s="2955">
        <v>1280202</v>
      </c>
      <c r="I440" s="2955">
        <v>11220</v>
      </c>
      <c r="J440" s="2955">
        <v>14204</v>
      </c>
      <c r="K440" s="2959">
        <v>114.1</v>
      </c>
      <c r="L440" s="2955">
        <v>90.13</v>
      </c>
      <c r="M440" s="2954" t="s">
        <v>3233</v>
      </c>
      <c r="N440" s="2954" t="s">
        <v>3672</v>
      </c>
      <c r="O440" s="2954" t="s">
        <v>3441</v>
      </c>
      <c r="P440" s="2954" t="s">
        <v>3289</v>
      </c>
      <c r="Q440" s="2954" t="s">
        <v>4131</v>
      </c>
      <c r="R440" s="2954" t="s">
        <v>3291</v>
      </c>
      <c r="S440" s="2954">
        <v>1280202</v>
      </c>
      <c r="T440" s="2954" t="s">
        <v>3233</v>
      </c>
      <c r="U440" s="2954" t="s">
        <v>3299</v>
      </c>
      <c r="V440" s="2956">
        <v>44499</v>
      </c>
      <c r="W440" s="2954" t="s">
        <v>3051</v>
      </c>
      <c r="X440" s="2954" t="s">
        <v>3046</v>
      </c>
      <c r="Y440" s="2954" t="s">
        <v>3283</v>
      </c>
      <c r="Z440" s="2957">
        <v>43596.392268518503</v>
      </c>
      <c r="AA440" s="2954" t="s">
        <v>3543</v>
      </c>
      <c r="AB440" s="2954" t="s">
        <v>3300</v>
      </c>
      <c r="AC440" s="2954" t="s">
        <v>3544</v>
      </c>
      <c r="AD440" s="2954" t="s">
        <v>3283</v>
      </c>
      <c r="AE440" s="2954" t="s">
        <v>3051</v>
      </c>
      <c r="AF440" s="2954" t="s">
        <v>3283</v>
      </c>
    </row>
    <row r="441" spans="1:32" ht="67.5">
      <c r="A441" s="2954">
        <v>7063</v>
      </c>
      <c r="B441" s="2954" t="s">
        <v>3281</v>
      </c>
      <c r="C441" s="2954" t="s">
        <v>4128</v>
      </c>
      <c r="D441" s="2954" t="s">
        <v>3283</v>
      </c>
      <c r="E441" s="2954" t="s">
        <v>3654</v>
      </c>
      <c r="F441" s="2954" t="s">
        <v>4321</v>
      </c>
      <c r="G441" s="2954" t="s">
        <v>4322</v>
      </c>
      <c r="H441" s="2955">
        <v>1269462</v>
      </c>
      <c r="I441" s="2955">
        <v>10720</v>
      </c>
      <c r="J441" s="2955">
        <v>13571</v>
      </c>
      <c r="K441" s="2959">
        <v>118.42</v>
      </c>
      <c r="L441" s="2955">
        <v>93.54</v>
      </c>
      <c r="M441" s="2954" t="s">
        <v>3233</v>
      </c>
      <c r="N441" s="2954" t="s">
        <v>3547</v>
      </c>
      <c r="O441" s="2954" t="s">
        <v>3441</v>
      </c>
      <c r="P441" s="2954" t="s">
        <v>3289</v>
      </c>
      <c r="Q441" s="2954" t="s">
        <v>4131</v>
      </c>
      <c r="R441" s="2954" t="s">
        <v>3291</v>
      </c>
      <c r="S441" s="2954">
        <v>1269462</v>
      </c>
      <c r="T441" s="2954" t="s">
        <v>3233</v>
      </c>
      <c r="U441" s="2954" t="s">
        <v>3299</v>
      </c>
      <c r="V441" s="2956">
        <v>44499</v>
      </c>
      <c r="W441" s="2954" t="s">
        <v>3051</v>
      </c>
      <c r="X441" s="2954" t="s">
        <v>3046</v>
      </c>
      <c r="Y441" s="2954" t="s">
        <v>3283</v>
      </c>
      <c r="Z441" s="2957">
        <v>43596.392268518503</v>
      </c>
      <c r="AA441" s="2954" t="s">
        <v>3543</v>
      </c>
      <c r="AB441" s="2954" t="s">
        <v>3300</v>
      </c>
      <c r="AC441" s="2954" t="s">
        <v>3544</v>
      </c>
      <c r="AD441" s="2954" t="s">
        <v>3283</v>
      </c>
      <c r="AE441" s="2954" t="s">
        <v>3051</v>
      </c>
      <c r="AF441" s="2954" t="s">
        <v>3283</v>
      </c>
    </row>
    <row r="442" spans="1:32" ht="67.5">
      <c r="A442" s="2954">
        <v>7064</v>
      </c>
      <c r="B442" s="2954" t="s">
        <v>3281</v>
      </c>
      <c r="C442" s="2954" t="s">
        <v>4128</v>
      </c>
      <c r="D442" s="2954" t="s">
        <v>3283</v>
      </c>
      <c r="E442" s="2954" t="s">
        <v>3657</v>
      </c>
      <c r="F442" s="2954" t="s">
        <v>4323</v>
      </c>
      <c r="G442" s="2954" t="s">
        <v>4324</v>
      </c>
      <c r="H442" s="2955">
        <v>1269462</v>
      </c>
      <c r="I442" s="2955">
        <v>10720</v>
      </c>
      <c r="J442" s="2955">
        <v>13571</v>
      </c>
      <c r="K442" s="2959">
        <v>118.42</v>
      </c>
      <c r="L442" s="2955">
        <v>93.54</v>
      </c>
      <c r="M442" s="2954" t="s">
        <v>3233</v>
      </c>
      <c r="N442" s="2954" t="s">
        <v>3551</v>
      </c>
      <c r="O442" s="2954" t="s">
        <v>3441</v>
      </c>
      <c r="P442" s="2954" t="s">
        <v>3289</v>
      </c>
      <c r="Q442" s="2954" t="s">
        <v>4131</v>
      </c>
      <c r="R442" s="2954" t="s">
        <v>3291</v>
      </c>
      <c r="S442" s="2954">
        <v>1269462</v>
      </c>
      <c r="T442" s="2954" t="s">
        <v>3233</v>
      </c>
      <c r="U442" s="2954" t="s">
        <v>3299</v>
      </c>
      <c r="V442" s="2956">
        <v>44499</v>
      </c>
      <c r="W442" s="2954" t="s">
        <v>3051</v>
      </c>
      <c r="X442" s="2954" t="s">
        <v>3046</v>
      </c>
      <c r="Y442" s="2954" t="s">
        <v>3283</v>
      </c>
      <c r="Z442" s="2957">
        <v>43596.392268518503</v>
      </c>
      <c r="AA442" s="2954" t="s">
        <v>3543</v>
      </c>
      <c r="AB442" s="2954" t="s">
        <v>3300</v>
      </c>
      <c r="AC442" s="2954" t="s">
        <v>3544</v>
      </c>
      <c r="AD442" s="2954" t="s">
        <v>3283</v>
      </c>
      <c r="AE442" s="2954" t="s">
        <v>3051</v>
      </c>
      <c r="AF442" s="2954" t="s">
        <v>3283</v>
      </c>
    </row>
    <row r="443" spans="1:32" ht="67.5">
      <c r="A443" s="2954">
        <v>7065</v>
      </c>
      <c r="B443" s="2954" t="s">
        <v>3281</v>
      </c>
      <c r="C443" s="2954" t="s">
        <v>4128</v>
      </c>
      <c r="D443" s="2954" t="s">
        <v>3283</v>
      </c>
      <c r="E443" s="2954" t="s">
        <v>4002</v>
      </c>
      <c r="F443" s="2954" t="s">
        <v>4325</v>
      </c>
      <c r="G443" s="2954" t="s">
        <v>4326</v>
      </c>
      <c r="H443" s="2955">
        <v>1280202</v>
      </c>
      <c r="I443" s="2955">
        <v>11220</v>
      </c>
      <c r="J443" s="2955">
        <v>14204</v>
      </c>
      <c r="K443" s="2959">
        <v>114.1</v>
      </c>
      <c r="L443" s="2955">
        <v>90.13</v>
      </c>
      <c r="M443" s="2954" t="s">
        <v>3233</v>
      </c>
      <c r="N443" s="2954" t="s">
        <v>3541</v>
      </c>
      <c r="O443" s="2954" t="s">
        <v>3441</v>
      </c>
      <c r="P443" s="2954" t="s">
        <v>3289</v>
      </c>
      <c r="Q443" s="2954" t="s">
        <v>4131</v>
      </c>
      <c r="R443" s="2954" t="s">
        <v>3291</v>
      </c>
      <c r="S443" s="2954">
        <v>1280202</v>
      </c>
      <c r="T443" s="2954" t="s">
        <v>3233</v>
      </c>
      <c r="U443" s="2954" t="s">
        <v>3299</v>
      </c>
      <c r="V443" s="2956">
        <v>44499</v>
      </c>
      <c r="W443" s="2954" t="s">
        <v>3051</v>
      </c>
      <c r="X443" s="2954" t="s">
        <v>3046</v>
      </c>
      <c r="Y443" s="2954" t="s">
        <v>3283</v>
      </c>
      <c r="Z443" s="2957">
        <v>43596.392268518503</v>
      </c>
      <c r="AA443" s="2954" t="s">
        <v>3543</v>
      </c>
      <c r="AB443" s="2954" t="s">
        <v>3300</v>
      </c>
      <c r="AC443" s="2954" t="s">
        <v>3544</v>
      </c>
      <c r="AD443" s="2954" t="s">
        <v>3283</v>
      </c>
      <c r="AE443" s="2954" t="s">
        <v>3051</v>
      </c>
      <c r="AF443" s="2954" t="s">
        <v>3283</v>
      </c>
    </row>
    <row r="444" spans="1:32" ht="67.5">
      <c r="A444" s="2954">
        <v>7066</v>
      </c>
      <c r="B444" s="2954" t="s">
        <v>3281</v>
      </c>
      <c r="C444" s="2954" t="s">
        <v>4128</v>
      </c>
      <c r="D444" s="2954" t="s">
        <v>3283</v>
      </c>
      <c r="E444" s="2954" t="s">
        <v>3852</v>
      </c>
      <c r="F444" s="2954" t="s">
        <v>4327</v>
      </c>
      <c r="G444" s="2954" t="s">
        <v>4328</v>
      </c>
      <c r="H444" s="2955">
        <v>1280202</v>
      </c>
      <c r="I444" s="2955">
        <v>11220</v>
      </c>
      <c r="J444" s="2955">
        <v>14204</v>
      </c>
      <c r="K444" s="2959">
        <v>114.1</v>
      </c>
      <c r="L444" s="2955">
        <v>90.13</v>
      </c>
      <c r="M444" s="2954" t="s">
        <v>3233</v>
      </c>
      <c r="N444" s="2954" t="s">
        <v>3672</v>
      </c>
      <c r="O444" s="2954" t="s">
        <v>3441</v>
      </c>
      <c r="P444" s="2954" t="s">
        <v>3289</v>
      </c>
      <c r="Q444" s="2954" t="s">
        <v>4131</v>
      </c>
      <c r="R444" s="2954" t="s">
        <v>3291</v>
      </c>
      <c r="S444" s="2954">
        <v>1280202</v>
      </c>
      <c r="T444" s="2954" t="s">
        <v>3233</v>
      </c>
      <c r="U444" s="2954" t="s">
        <v>3299</v>
      </c>
      <c r="V444" s="2956">
        <v>44499</v>
      </c>
      <c r="W444" s="2954" t="s">
        <v>3051</v>
      </c>
      <c r="X444" s="2954" t="s">
        <v>3046</v>
      </c>
      <c r="Y444" s="2954" t="s">
        <v>3283</v>
      </c>
      <c r="Z444" s="2957">
        <v>43596.392268518503</v>
      </c>
      <c r="AA444" s="2954" t="s">
        <v>3543</v>
      </c>
      <c r="AB444" s="2954" t="s">
        <v>3300</v>
      </c>
      <c r="AC444" s="2954" t="s">
        <v>3544</v>
      </c>
      <c r="AD444" s="2954" t="s">
        <v>3283</v>
      </c>
      <c r="AE444" s="2954" t="s">
        <v>3051</v>
      </c>
      <c r="AF444" s="2954" t="s">
        <v>3283</v>
      </c>
    </row>
    <row r="445" spans="1:32" ht="67.5">
      <c r="A445" s="2954">
        <v>7067</v>
      </c>
      <c r="B445" s="2954" t="s">
        <v>3281</v>
      </c>
      <c r="C445" s="2954" t="s">
        <v>4128</v>
      </c>
      <c r="D445" s="2954" t="s">
        <v>3283</v>
      </c>
      <c r="E445" s="2954" t="s">
        <v>3660</v>
      </c>
      <c r="F445" s="2954" t="s">
        <v>4329</v>
      </c>
      <c r="G445" s="2954" t="s">
        <v>4330</v>
      </c>
      <c r="H445" s="2955">
        <v>1269462</v>
      </c>
      <c r="I445" s="2955">
        <v>10720</v>
      </c>
      <c r="J445" s="2955">
        <v>13571</v>
      </c>
      <c r="K445" s="2959">
        <v>118.42</v>
      </c>
      <c r="L445" s="2955">
        <v>93.54</v>
      </c>
      <c r="M445" s="2954" t="s">
        <v>3233</v>
      </c>
      <c r="N445" s="2954" t="s">
        <v>3547</v>
      </c>
      <c r="O445" s="2954" t="s">
        <v>3441</v>
      </c>
      <c r="P445" s="2954" t="s">
        <v>3289</v>
      </c>
      <c r="Q445" s="2954" t="s">
        <v>4131</v>
      </c>
      <c r="R445" s="2954" t="s">
        <v>3291</v>
      </c>
      <c r="S445" s="2954">
        <v>1269462</v>
      </c>
      <c r="T445" s="2954" t="s">
        <v>3233</v>
      </c>
      <c r="U445" s="2954" t="s">
        <v>3299</v>
      </c>
      <c r="V445" s="2956">
        <v>44499</v>
      </c>
      <c r="W445" s="2954" t="s">
        <v>3051</v>
      </c>
      <c r="X445" s="2954" t="s">
        <v>3046</v>
      </c>
      <c r="Y445" s="2954" t="s">
        <v>3283</v>
      </c>
      <c r="Z445" s="2957">
        <v>43596.392268518503</v>
      </c>
      <c r="AA445" s="2954" t="s">
        <v>3543</v>
      </c>
      <c r="AB445" s="2954" t="s">
        <v>3300</v>
      </c>
      <c r="AC445" s="2954" t="s">
        <v>3544</v>
      </c>
      <c r="AD445" s="2954" t="s">
        <v>3283</v>
      </c>
      <c r="AE445" s="2954" t="s">
        <v>3051</v>
      </c>
      <c r="AF445" s="2954" t="s">
        <v>3283</v>
      </c>
    </row>
    <row r="446" spans="1:32" ht="67.5">
      <c r="A446" s="2954">
        <v>7068</v>
      </c>
      <c r="B446" s="2954" t="s">
        <v>3281</v>
      </c>
      <c r="C446" s="2954" t="s">
        <v>4128</v>
      </c>
      <c r="D446" s="2954" t="s">
        <v>3283</v>
      </c>
      <c r="E446" s="2954" t="s">
        <v>3663</v>
      </c>
      <c r="F446" s="2954" t="s">
        <v>4331</v>
      </c>
      <c r="G446" s="2954" t="s">
        <v>4332</v>
      </c>
      <c r="H446" s="2955">
        <v>1269462</v>
      </c>
      <c r="I446" s="2955">
        <v>10720</v>
      </c>
      <c r="J446" s="2955">
        <v>13571</v>
      </c>
      <c r="K446" s="2959">
        <v>118.42</v>
      </c>
      <c r="L446" s="2955">
        <v>93.54</v>
      </c>
      <c r="M446" s="2954" t="s">
        <v>3233</v>
      </c>
      <c r="N446" s="2954" t="s">
        <v>3551</v>
      </c>
      <c r="O446" s="2954" t="s">
        <v>3441</v>
      </c>
      <c r="P446" s="2954" t="s">
        <v>3289</v>
      </c>
      <c r="Q446" s="2954" t="s">
        <v>4131</v>
      </c>
      <c r="R446" s="2954" t="s">
        <v>3291</v>
      </c>
      <c r="S446" s="2954">
        <v>1269462</v>
      </c>
      <c r="T446" s="2954" t="s">
        <v>3233</v>
      </c>
      <c r="U446" s="2954" t="s">
        <v>3299</v>
      </c>
      <c r="V446" s="2956">
        <v>44499</v>
      </c>
      <c r="W446" s="2954" t="s">
        <v>3051</v>
      </c>
      <c r="X446" s="2954" t="s">
        <v>3046</v>
      </c>
      <c r="Y446" s="2954" t="s">
        <v>3283</v>
      </c>
      <c r="Z446" s="2957">
        <v>43596.392268518503</v>
      </c>
      <c r="AA446" s="2954" t="s">
        <v>3543</v>
      </c>
      <c r="AB446" s="2954" t="s">
        <v>3300</v>
      </c>
      <c r="AC446" s="2954" t="s">
        <v>3544</v>
      </c>
      <c r="AD446" s="2954" t="s">
        <v>3283</v>
      </c>
      <c r="AE446" s="2954" t="s">
        <v>3051</v>
      </c>
      <c r="AF446" s="2954" t="s">
        <v>3283</v>
      </c>
    </row>
    <row r="447" spans="1:32" ht="67.5">
      <c r="A447" s="2954">
        <v>7069</v>
      </c>
      <c r="B447" s="2954" t="s">
        <v>3281</v>
      </c>
      <c r="C447" s="2954" t="s">
        <v>4128</v>
      </c>
      <c r="D447" s="2954" t="s">
        <v>3283</v>
      </c>
      <c r="E447" s="2954" t="s">
        <v>3666</v>
      </c>
      <c r="F447" s="2954" t="s">
        <v>4333</v>
      </c>
      <c r="G447" s="2954" t="s">
        <v>4334</v>
      </c>
      <c r="H447" s="2955">
        <v>1280202</v>
      </c>
      <c r="I447" s="2955">
        <v>11220</v>
      </c>
      <c r="J447" s="2955">
        <v>14204</v>
      </c>
      <c r="K447" s="2959">
        <v>114.1</v>
      </c>
      <c r="L447" s="2955">
        <v>90.13</v>
      </c>
      <c r="M447" s="2954" t="s">
        <v>3233</v>
      </c>
      <c r="N447" s="2954" t="s">
        <v>3541</v>
      </c>
      <c r="O447" s="2954" t="s">
        <v>3441</v>
      </c>
      <c r="P447" s="2954" t="s">
        <v>3289</v>
      </c>
      <c r="Q447" s="2954" t="s">
        <v>4131</v>
      </c>
      <c r="R447" s="2954" t="s">
        <v>3291</v>
      </c>
      <c r="S447" s="2954">
        <v>1280202</v>
      </c>
      <c r="T447" s="2954" t="s">
        <v>3233</v>
      </c>
      <c r="U447" s="2954" t="s">
        <v>3299</v>
      </c>
      <c r="V447" s="2956">
        <v>44499</v>
      </c>
      <c r="W447" s="2954" t="s">
        <v>3051</v>
      </c>
      <c r="X447" s="2954" t="s">
        <v>3046</v>
      </c>
      <c r="Y447" s="2954" t="s">
        <v>3283</v>
      </c>
      <c r="Z447" s="2957">
        <v>43596.392268518503</v>
      </c>
      <c r="AA447" s="2954" t="s">
        <v>3543</v>
      </c>
      <c r="AB447" s="2954" t="s">
        <v>3300</v>
      </c>
      <c r="AC447" s="2954" t="s">
        <v>3544</v>
      </c>
      <c r="AD447" s="2954" t="s">
        <v>3283</v>
      </c>
      <c r="AE447" s="2954" t="s">
        <v>3051</v>
      </c>
      <c r="AF447" s="2954" t="s">
        <v>3283</v>
      </c>
    </row>
    <row r="448" spans="1:32" ht="67.5">
      <c r="A448" s="2954">
        <v>7070</v>
      </c>
      <c r="B448" s="2954" t="s">
        <v>3281</v>
      </c>
      <c r="C448" s="2954" t="s">
        <v>4128</v>
      </c>
      <c r="D448" s="2954" t="s">
        <v>3283</v>
      </c>
      <c r="E448" s="2954" t="s">
        <v>3669</v>
      </c>
      <c r="F448" s="2954" t="s">
        <v>4335</v>
      </c>
      <c r="G448" s="2954" t="s">
        <v>4336</v>
      </c>
      <c r="H448" s="2955">
        <v>1268792</v>
      </c>
      <c r="I448" s="2955">
        <v>11120</v>
      </c>
      <c r="J448" s="2955">
        <v>14077</v>
      </c>
      <c r="K448" s="2959">
        <v>114.1</v>
      </c>
      <c r="L448" s="2955">
        <v>90.13</v>
      </c>
      <c r="M448" s="2954" t="s">
        <v>3233</v>
      </c>
      <c r="N448" s="2954" t="s">
        <v>3672</v>
      </c>
      <c r="O448" s="2954" t="s">
        <v>3441</v>
      </c>
      <c r="P448" s="2954" t="s">
        <v>3289</v>
      </c>
      <c r="Q448" s="2954" t="s">
        <v>4131</v>
      </c>
      <c r="R448" s="2954" t="s">
        <v>3291</v>
      </c>
      <c r="S448" s="2954">
        <v>1268792</v>
      </c>
      <c r="T448" s="2954" t="s">
        <v>3233</v>
      </c>
      <c r="U448" s="2954" t="s">
        <v>3299</v>
      </c>
      <c r="V448" s="2956">
        <v>44499</v>
      </c>
      <c r="W448" s="2954" t="s">
        <v>3051</v>
      </c>
      <c r="X448" s="2954" t="s">
        <v>3046</v>
      </c>
      <c r="Y448" s="2954" t="s">
        <v>3283</v>
      </c>
      <c r="Z448" s="2957">
        <v>43596.392268518503</v>
      </c>
      <c r="AA448" s="2954" t="s">
        <v>3543</v>
      </c>
      <c r="AB448" s="2954" t="s">
        <v>3673</v>
      </c>
      <c r="AC448" s="2954" t="s">
        <v>3544</v>
      </c>
      <c r="AD448" s="2954" t="s">
        <v>3283</v>
      </c>
      <c r="AE448" s="2954" t="s">
        <v>3051</v>
      </c>
      <c r="AF448" s="2954" t="s">
        <v>3283</v>
      </c>
    </row>
    <row r="449" spans="1:32" ht="67.5">
      <c r="A449" s="2954">
        <v>7071</v>
      </c>
      <c r="B449" s="2954" t="s">
        <v>3281</v>
      </c>
      <c r="C449" s="2954" t="s">
        <v>4128</v>
      </c>
      <c r="D449" s="2954" t="s">
        <v>3283</v>
      </c>
      <c r="E449" s="2954" t="s">
        <v>3436</v>
      </c>
      <c r="F449" s="2954" t="s">
        <v>4337</v>
      </c>
      <c r="G449" s="2954" t="s">
        <v>4338</v>
      </c>
      <c r="H449" s="2955">
        <v>1257620</v>
      </c>
      <c r="I449" s="2955">
        <v>10620</v>
      </c>
      <c r="J449" s="2955">
        <v>13445</v>
      </c>
      <c r="K449" s="2959">
        <v>118.42</v>
      </c>
      <c r="L449" s="2955">
        <v>93.54</v>
      </c>
      <c r="M449" s="2954" t="s">
        <v>3233</v>
      </c>
      <c r="N449" s="2954" t="s">
        <v>3547</v>
      </c>
      <c r="O449" s="2954" t="s">
        <v>3441</v>
      </c>
      <c r="P449" s="2954" t="s">
        <v>3289</v>
      </c>
      <c r="Q449" s="2954" t="s">
        <v>4131</v>
      </c>
      <c r="R449" s="2954" t="s">
        <v>3291</v>
      </c>
      <c r="S449" s="2954">
        <v>1257620</v>
      </c>
      <c r="T449" s="2954" t="s">
        <v>3233</v>
      </c>
      <c r="U449" s="2954" t="s">
        <v>3299</v>
      </c>
      <c r="V449" s="2956">
        <v>44499</v>
      </c>
      <c r="W449" s="2954" t="s">
        <v>3051</v>
      </c>
      <c r="X449" s="2954" t="s">
        <v>3046</v>
      </c>
      <c r="Y449" s="2954" t="s">
        <v>3283</v>
      </c>
      <c r="Z449" s="2957">
        <v>43596.392268518503</v>
      </c>
      <c r="AA449" s="2954" t="s">
        <v>3543</v>
      </c>
      <c r="AB449" s="2954" t="s">
        <v>3673</v>
      </c>
      <c r="AC449" s="2954" t="s">
        <v>3544</v>
      </c>
      <c r="AD449" s="2954" t="s">
        <v>3283</v>
      </c>
      <c r="AE449" s="2954" t="s">
        <v>3051</v>
      </c>
      <c r="AF449" s="2954" t="s">
        <v>3283</v>
      </c>
    </row>
    <row r="450" spans="1:32" ht="67.5">
      <c r="A450" s="2954">
        <v>7072</v>
      </c>
      <c r="B450" s="2954" t="s">
        <v>3281</v>
      </c>
      <c r="C450" s="2954" t="s">
        <v>4128</v>
      </c>
      <c r="D450" s="2954" t="s">
        <v>3283</v>
      </c>
      <c r="E450" s="2954" t="s">
        <v>3676</v>
      </c>
      <c r="F450" s="2954" t="s">
        <v>4339</v>
      </c>
      <c r="G450" s="2954" t="s">
        <v>4340</v>
      </c>
      <c r="H450" s="2955">
        <v>1257620</v>
      </c>
      <c r="I450" s="2955">
        <v>10620</v>
      </c>
      <c r="J450" s="2955">
        <v>13445</v>
      </c>
      <c r="K450" s="2959">
        <v>118.42</v>
      </c>
      <c r="L450" s="2955">
        <v>93.54</v>
      </c>
      <c r="M450" s="2954" t="s">
        <v>3233</v>
      </c>
      <c r="N450" s="2954" t="s">
        <v>3551</v>
      </c>
      <c r="O450" s="2954" t="s">
        <v>3441</v>
      </c>
      <c r="P450" s="2954" t="s">
        <v>3289</v>
      </c>
      <c r="Q450" s="2954" t="s">
        <v>4131</v>
      </c>
      <c r="R450" s="2954" t="s">
        <v>3291</v>
      </c>
      <c r="S450" s="2954">
        <v>1257620</v>
      </c>
      <c r="T450" s="2954" t="s">
        <v>3233</v>
      </c>
      <c r="U450" s="2954" t="s">
        <v>3299</v>
      </c>
      <c r="V450" s="2956">
        <v>44499</v>
      </c>
      <c r="W450" s="2954" t="s">
        <v>3051</v>
      </c>
      <c r="X450" s="2954" t="s">
        <v>3046</v>
      </c>
      <c r="Y450" s="2954" t="s">
        <v>3283</v>
      </c>
      <c r="Z450" s="2957">
        <v>43596.392268518503</v>
      </c>
      <c r="AA450" s="2954" t="s">
        <v>3543</v>
      </c>
      <c r="AB450" s="2954" t="s">
        <v>3673</v>
      </c>
      <c r="AC450" s="2954" t="s">
        <v>3544</v>
      </c>
      <c r="AD450" s="2954" t="s">
        <v>3283</v>
      </c>
      <c r="AE450" s="2954" t="s">
        <v>3051</v>
      </c>
      <c r="AF450" s="2954" t="s">
        <v>3283</v>
      </c>
    </row>
    <row r="451" spans="1:32" ht="67.5">
      <c r="A451" s="2954">
        <v>7073</v>
      </c>
      <c r="B451" s="2954" t="s">
        <v>3281</v>
      </c>
      <c r="C451" s="2954" t="s">
        <v>4128</v>
      </c>
      <c r="D451" s="2954" t="s">
        <v>3283</v>
      </c>
      <c r="E451" s="2954" t="s">
        <v>4341</v>
      </c>
      <c r="F451" s="2954" t="s">
        <v>4423</v>
      </c>
      <c r="G451" s="2954" t="s">
        <v>4342</v>
      </c>
      <c r="H451" s="2955">
        <v>1268792</v>
      </c>
      <c r="I451" s="2955">
        <v>11120</v>
      </c>
      <c r="J451" s="2955">
        <v>14077</v>
      </c>
      <c r="K451" s="2959">
        <v>114.1</v>
      </c>
      <c r="L451" s="2955">
        <v>90.13</v>
      </c>
      <c r="M451" s="2954" t="s">
        <v>3233</v>
      </c>
      <c r="N451" s="2954" t="s">
        <v>3541</v>
      </c>
      <c r="O451" s="2954" t="s">
        <v>3441</v>
      </c>
      <c r="P451" s="2954" t="s">
        <v>3289</v>
      </c>
      <c r="Q451" s="2954" t="s">
        <v>4131</v>
      </c>
      <c r="R451" s="2954" t="s">
        <v>3291</v>
      </c>
      <c r="S451" s="2954">
        <v>1268792</v>
      </c>
      <c r="T451" s="2954" t="s">
        <v>3233</v>
      </c>
      <c r="U451" s="2954" t="s">
        <v>3299</v>
      </c>
      <c r="V451" s="2956">
        <v>44499</v>
      </c>
      <c r="W451" s="2954" t="s">
        <v>3051</v>
      </c>
      <c r="X451" s="2954" t="s">
        <v>3046</v>
      </c>
      <c r="Y451" s="2954" t="s">
        <v>3283</v>
      </c>
      <c r="Z451" s="2957">
        <v>43596.392268518503</v>
      </c>
      <c r="AA451" s="2954" t="s">
        <v>3543</v>
      </c>
      <c r="AB451" s="2954" t="s">
        <v>3673</v>
      </c>
      <c r="AC451" s="2954" t="s">
        <v>3544</v>
      </c>
      <c r="AD451" s="2954" t="s">
        <v>3283</v>
      </c>
      <c r="AE451" s="2954" t="s">
        <v>3051</v>
      </c>
      <c r="AF451" s="2954" t="s">
        <v>3283</v>
      </c>
    </row>
    <row r="452" spans="1:32" s="2962" customFormat="1">
      <c r="A452" s="2958"/>
      <c r="B452" s="2958"/>
      <c r="C452" s="2958"/>
      <c r="D452" s="2958"/>
      <c r="E452" s="2958"/>
      <c r="F452" s="2958" t="s">
        <v>4424</v>
      </c>
      <c r="G452" s="2958"/>
      <c r="H452" s="2959"/>
      <c r="I452" s="2959"/>
      <c r="J452" s="2959"/>
      <c r="K452" s="2959">
        <f>SUM(K346:K451)</f>
        <v>12336.520000000013</v>
      </c>
      <c r="L452" s="2959"/>
      <c r="M452" s="2958"/>
      <c r="N452" s="2958"/>
      <c r="O452" s="2958"/>
      <c r="P452" s="2958"/>
      <c r="Q452" s="2958"/>
      <c r="R452" s="2958"/>
      <c r="S452" s="2958"/>
      <c r="T452" s="2958"/>
      <c r="U452" s="2958"/>
      <c r="V452" s="2960"/>
      <c r="W452" s="2958"/>
      <c r="X452" s="2958"/>
      <c r="Y452" s="2958"/>
      <c r="Z452" s="2961"/>
      <c r="AA452" s="2958"/>
      <c r="AB452" s="2958"/>
      <c r="AC452" s="2958"/>
      <c r="AD452" s="2958"/>
      <c r="AE452" s="2958"/>
      <c r="AF452" s="2958"/>
    </row>
    <row r="453" spans="1:32" ht="67.5">
      <c r="A453" s="2954">
        <v>7082</v>
      </c>
      <c r="B453" s="2954" t="s">
        <v>3281</v>
      </c>
      <c r="C453" s="2954" t="s">
        <v>4343</v>
      </c>
      <c r="D453" s="2954" t="s">
        <v>3283</v>
      </c>
      <c r="E453" s="2954" t="s">
        <v>3485</v>
      </c>
      <c r="F453" s="2954" t="s">
        <v>4344</v>
      </c>
      <c r="G453" s="2954" t="s">
        <v>4345</v>
      </c>
      <c r="H453" s="2955">
        <v>2057329</v>
      </c>
      <c r="I453" s="2955">
        <v>34641</v>
      </c>
      <c r="J453" s="2955">
        <v>36890</v>
      </c>
      <c r="K453" s="2959">
        <v>59.39</v>
      </c>
      <c r="L453" s="2955">
        <v>55.77</v>
      </c>
      <c r="M453" s="2954" t="s">
        <v>3450</v>
      </c>
      <c r="N453" s="2954" t="s">
        <v>3451</v>
      </c>
      <c r="O453" s="2954" t="s">
        <v>3283</v>
      </c>
      <c r="P453" s="2954" t="s">
        <v>3289</v>
      </c>
      <c r="Q453" s="2954" t="s">
        <v>4346</v>
      </c>
      <c r="R453" s="2954" t="s">
        <v>3291</v>
      </c>
      <c r="S453" s="2954">
        <v>2057329</v>
      </c>
      <c r="T453" s="2954" t="s">
        <v>3450</v>
      </c>
      <c r="U453" s="2954" t="s">
        <v>3244</v>
      </c>
      <c r="V453" s="2956">
        <v>44499</v>
      </c>
      <c r="W453" s="2954" t="s">
        <v>3051</v>
      </c>
      <c r="X453" s="2954" t="s">
        <v>4347</v>
      </c>
      <c r="Y453" s="2954" t="s">
        <v>3283</v>
      </c>
      <c r="Z453" s="2957">
        <v>43541.415740740696</v>
      </c>
      <c r="AA453" s="2954" t="s">
        <v>3453</v>
      </c>
      <c r="AB453" s="2954" t="s">
        <v>3293</v>
      </c>
      <c r="AC453" s="2954" t="s">
        <v>3544</v>
      </c>
      <c r="AD453" s="2954" t="s">
        <v>3454</v>
      </c>
      <c r="AE453" s="2954" t="s">
        <v>3051</v>
      </c>
      <c r="AF453" s="2954" t="s">
        <v>3283</v>
      </c>
    </row>
    <row r="454" spans="1:32" ht="67.5">
      <c r="A454" s="2954">
        <v>7083</v>
      </c>
      <c r="B454" s="2954" t="s">
        <v>3281</v>
      </c>
      <c r="C454" s="2954" t="s">
        <v>4343</v>
      </c>
      <c r="D454" s="2954" t="s">
        <v>3283</v>
      </c>
      <c r="E454" s="2954" t="s">
        <v>3502</v>
      </c>
      <c r="F454" s="2954" t="s">
        <v>4425</v>
      </c>
      <c r="G454" s="2954" t="s">
        <v>4348</v>
      </c>
      <c r="H454" s="2955">
        <v>2057329</v>
      </c>
      <c r="I454" s="2955">
        <v>34641</v>
      </c>
      <c r="J454" s="2955">
        <v>36890</v>
      </c>
      <c r="K454" s="2959">
        <v>59.39</v>
      </c>
      <c r="L454" s="2955">
        <v>55.77</v>
      </c>
      <c r="M454" s="2954" t="s">
        <v>3450</v>
      </c>
      <c r="N454" s="2954" t="s">
        <v>3451</v>
      </c>
      <c r="O454" s="2954" t="s">
        <v>3283</v>
      </c>
      <c r="P454" s="2954" t="s">
        <v>3289</v>
      </c>
      <c r="Q454" s="2954" t="s">
        <v>4346</v>
      </c>
      <c r="R454" s="2954" t="s">
        <v>3291</v>
      </c>
      <c r="S454" s="2954">
        <v>2057329</v>
      </c>
      <c r="T454" s="2954" t="s">
        <v>3450</v>
      </c>
      <c r="U454" s="2954" t="s">
        <v>3244</v>
      </c>
      <c r="V454" s="2956">
        <v>44499</v>
      </c>
      <c r="W454" s="2954" t="s">
        <v>3051</v>
      </c>
      <c r="X454" s="2954" t="s">
        <v>4347</v>
      </c>
      <c r="Y454" s="2954" t="s">
        <v>3283</v>
      </c>
      <c r="Z454" s="2957">
        <v>43541.415740740696</v>
      </c>
      <c r="AA454" s="2954" t="s">
        <v>3453</v>
      </c>
      <c r="AB454" s="2954" t="s">
        <v>3293</v>
      </c>
      <c r="AC454" s="2954" t="s">
        <v>3544</v>
      </c>
      <c r="AD454" s="2954" t="s">
        <v>3454</v>
      </c>
      <c r="AE454" s="2954" t="s">
        <v>3051</v>
      </c>
      <c r="AF454" s="2954" t="s">
        <v>3283</v>
      </c>
    </row>
    <row r="455" spans="1:32" s="2968" customFormat="1">
      <c r="A455" s="2964"/>
      <c r="B455" s="2964"/>
      <c r="C455" s="2964"/>
      <c r="D455" s="2964"/>
      <c r="E455" s="2964"/>
      <c r="F455" s="2964" t="s">
        <v>4416</v>
      </c>
      <c r="G455" s="2964"/>
      <c r="H455" s="2965"/>
      <c r="I455" s="2965"/>
      <c r="J455" s="2965"/>
      <c r="K455" s="2965">
        <f>SUM(K453:K454)</f>
        <v>118.78</v>
      </c>
      <c r="L455" s="2965"/>
      <c r="M455" s="2964"/>
      <c r="N455" s="2964"/>
      <c r="O455" s="2964"/>
      <c r="P455" s="2964"/>
      <c r="Q455" s="2964"/>
      <c r="R455" s="2964"/>
      <c r="S455" s="2964"/>
      <c r="T455" s="2964"/>
      <c r="U455" s="2964"/>
      <c r="V455" s="2966"/>
      <c r="W455" s="2964"/>
      <c r="X455" s="2964"/>
      <c r="Y455" s="2964"/>
      <c r="Z455" s="2967"/>
      <c r="AA455" s="2964"/>
      <c r="AB455" s="2964"/>
      <c r="AC455" s="2964"/>
      <c r="AD455" s="2964"/>
      <c r="AE455" s="2964"/>
      <c r="AF455" s="2964"/>
    </row>
    <row r="456" spans="1:32" ht="67.5">
      <c r="A456" s="2954">
        <v>7090</v>
      </c>
      <c r="B456" s="2954" t="s">
        <v>3281</v>
      </c>
      <c r="C456" s="2954" t="s">
        <v>4349</v>
      </c>
      <c r="D456" s="2954" t="s">
        <v>3283</v>
      </c>
      <c r="E456" s="2954" t="s">
        <v>4350</v>
      </c>
      <c r="F456" s="2954" t="s">
        <v>4351</v>
      </c>
      <c r="G456" s="2954" t="s">
        <v>4352</v>
      </c>
      <c r="H456" s="2955">
        <v>2158527</v>
      </c>
      <c r="I456" s="2955">
        <v>40241</v>
      </c>
      <c r="J456" s="2955">
        <v>41582</v>
      </c>
      <c r="K456" s="2959">
        <v>53.64</v>
      </c>
      <c r="L456" s="2955">
        <v>51.91</v>
      </c>
      <c r="M456" s="2954" t="s">
        <v>3450</v>
      </c>
      <c r="N456" s="2954" t="s">
        <v>3451</v>
      </c>
      <c r="O456" s="2954" t="s">
        <v>3283</v>
      </c>
      <c r="P456" s="2954" t="s">
        <v>3289</v>
      </c>
      <c r="Q456" s="2954" t="s">
        <v>4353</v>
      </c>
      <c r="R456" s="2954" t="s">
        <v>3291</v>
      </c>
      <c r="S456" s="2954">
        <v>2158527</v>
      </c>
      <c r="T456" s="2954" t="s">
        <v>3450</v>
      </c>
      <c r="U456" s="2954" t="s">
        <v>3244</v>
      </c>
      <c r="V456" s="2956">
        <v>44438</v>
      </c>
      <c r="W456" s="2954" t="s">
        <v>3051</v>
      </c>
      <c r="X456" s="2954" t="s">
        <v>4354</v>
      </c>
      <c r="Y456" s="2954" t="s">
        <v>3283</v>
      </c>
      <c r="Z456" s="2957">
        <v>43541.415879629603</v>
      </c>
      <c r="AA456" s="2954" t="s">
        <v>3453</v>
      </c>
      <c r="AB456" s="2954" t="s">
        <v>3293</v>
      </c>
      <c r="AC456" s="2954" t="s">
        <v>3544</v>
      </c>
      <c r="AD456" s="2954" t="s">
        <v>3454</v>
      </c>
      <c r="AE456" s="2954" t="s">
        <v>3051</v>
      </c>
      <c r="AF456" s="2954" t="s">
        <v>3283</v>
      </c>
    </row>
    <row r="457" spans="1:32" ht="67.5">
      <c r="A457" s="2954">
        <v>7093</v>
      </c>
      <c r="B457" s="2954" t="s">
        <v>3281</v>
      </c>
      <c r="C457" s="2954" t="s">
        <v>4349</v>
      </c>
      <c r="D457" s="2954" t="s">
        <v>3283</v>
      </c>
      <c r="E457" s="2954" t="s">
        <v>4355</v>
      </c>
      <c r="F457" s="2954" t="s">
        <v>4356</v>
      </c>
      <c r="G457" s="2954" t="s">
        <v>4357</v>
      </c>
      <c r="H457" s="2955">
        <v>2454513</v>
      </c>
      <c r="I457" s="2955">
        <v>40041</v>
      </c>
      <c r="J457" s="2955">
        <v>41377</v>
      </c>
      <c r="K457" s="2959">
        <v>61.3</v>
      </c>
      <c r="L457" s="2955">
        <v>59.32</v>
      </c>
      <c r="M457" s="2954" t="s">
        <v>3450</v>
      </c>
      <c r="N457" s="2954" t="s">
        <v>3451</v>
      </c>
      <c r="O457" s="2954" t="s">
        <v>3283</v>
      </c>
      <c r="P457" s="2954" t="s">
        <v>3289</v>
      </c>
      <c r="Q457" s="2954" t="s">
        <v>4353</v>
      </c>
      <c r="R457" s="2954" t="s">
        <v>3291</v>
      </c>
      <c r="S457" s="2954">
        <v>2454513</v>
      </c>
      <c r="T457" s="2954" t="s">
        <v>3450</v>
      </c>
      <c r="U457" s="2954" t="s">
        <v>3244</v>
      </c>
      <c r="V457" s="2956">
        <v>44438</v>
      </c>
      <c r="W457" s="2954" t="s">
        <v>3051</v>
      </c>
      <c r="X457" s="2954" t="s">
        <v>4354</v>
      </c>
      <c r="Y457" s="2954" t="s">
        <v>3283</v>
      </c>
      <c r="Z457" s="2957">
        <v>43541.415879629603</v>
      </c>
      <c r="AA457" s="2954" t="s">
        <v>3453</v>
      </c>
      <c r="AB457" s="2954" t="s">
        <v>3293</v>
      </c>
      <c r="AC457" s="2954" t="s">
        <v>3544</v>
      </c>
      <c r="AD457" s="2954" t="s">
        <v>3454</v>
      </c>
      <c r="AE457" s="2954" t="s">
        <v>3051</v>
      </c>
      <c r="AF457" s="2954" t="s">
        <v>3283</v>
      </c>
    </row>
    <row r="458" spans="1:32" ht="67.5">
      <c r="A458" s="2954">
        <v>7094</v>
      </c>
      <c r="B458" s="2954" t="s">
        <v>3281</v>
      </c>
      <c r="C458" s="2954" t="s">
        <v>4349</v>
      </c>
      <c r="D458" s="2954" t="s">
        <v>3283</v>
      </c>
      <c r="E458" s="2954" t="s">
        <v>4358</v>
      </c>
      <c r="F458" s="2954" t="s">
        <v>4426</v>
      </c>
      <c r="G458" s="2954" t="s">
        <v>4359</v>
      </c>
      <c r="H458" s="2955">
        <v>2447588</v>
      </c>
      <c r="I458" s="2955">
        <v>39541</v>
      </c>
      <c r="J458" s="2955">
        <v>40861</v>
      </c>
      <c r="K458" s="2959">
        <v>61.9</v>
      </c>
      <c r="L458" s="2955">
        <v>59.9</v>
      </c>
      <c r="M458" s="2954" t="s">
        <v>3450</v>
      </c>
      <c r="N458" s="2954" t="s">
        <v>3451</v>
      </c>
      <c r="O458" s="2954" t="s">
        <v>3283</v>
      </c>
      <c r="P458" s="2954" t="s">
        <v>3289</v>
      </c>
      <c r="Q458" s="2954" t="s">
        <v>4353</v>
      </c>
      <c r="R458" s="2954" t="s">
        <v>3291</v>
      </c>
      <c r="S458" s="2954">
        <v>2447588</v>
      </c>
      <c r="T458" s="2954" t="s">
        <v>3450</v>
      </c>
      <c r="U458" s="2954" t="s">
        <v>3244</v>
      </c>
      <c r="V458" s="2956">
        <v>44438</v>
      </c>
      <c r="W458" s="2954" t="s">
        <v>3051</v>
      </c>
      <c r="X458" s="2954" t="s">
        <v>4354</v>
      </c>
      <c r="Y458" s="2954" t="s">
        <v>3283</v>
      </c>
      <c r="Z458" s="2957">
        <v>43541.415879629603</v>
      </c>
      <c r="AA458" s="2954" t="s">
        <v>3453</v>
      </c>
      <c r="AB458" s="2954" t="s">
        <v>3293</v>
      </c>
      <c r="AC458" s="2954" t="s">
        <v>3544</v>
      </c>
      <c r="AD458" s="2954" t="s">
        <v>3454</v>
      </c>
      <c r="AE458" s="2954" t="s">
        <v>3051</v>
      </c>
      <c r="AF458" s="2954" t="s">
        <v>3283</v>
      </c>
    </row>
    <row r="459" spans="1:32" s="2968" customFormat="1">
      <c r="A459" s="2964"/>
      <c r="B459" s="2964"/>
      <c r="C459" s="2964"/>
      <c r="D459" s="2964"/>
      <c r="E459" s="2964"/>
      <c r="F459" s="2964" t="s">
        <v>4427</v>
      </c>
      <c r="G459" s="2964"/>
      <c r="H459" s="2965"/>
      <c r="I459" s="2965"/>
      <c r="J459" s="2965"/>
      <c r="K459" s="2965">
        <f>SUM(K456:K458)</f>
        <v>176.84</v>
      </c>
      <c r="L459" s="2965"/>
      <c r="M459" s="2964"/>
      <c r="N459" s="2964"/>
      <c r="O459" s="2964"/>
      <c r="P459" s="2964"/>
      <c r="Q459" s="2964"/>
      <c r="R459" s="2964"/>
      <c r="S459" s="2964"/>
      <c r="T459" s="2964"/>
      <c r="U459" s="2964"/>
      <c r="V459" s="2966"/>
      <c r="W459" s="2964"/>
      <c r="X459" s="2964"/>
      <c r="Y459" s="2964"/>
      <c r="Z459" s="2967"/>
      <c r="AA459" s="2964"/>
      <c r="AB459" s="2964"/>
      <c r="AC459" s="2964"/>
      <c r="AD459" s="2964"/>
      <c r="AE459" s="2964"/>
      <c r="AF459" s="2964"/>
    </row>
    <row r="460" spans="1:32" ht="67.5">
      <c r="A460" s="2954">
        <v>7098</v>
      </c>
      <c r="B460" s="2954" t="s">
        <v>3281</v>
      </c>
      <c r="C460" s="2954" t="s">
        <v>4360</v>
      </c>
      <c r="D460" s="2954" t="s">
        <v>3283</v>
      </c>
      <c r="E460" s="2954" t="s">
        <v>4361</v>
      </c>
      <c r="F460" s="2954" t="s">
        <v>4362</v>
      </c>
      <c r="G460" s="2954" t="s">
        <v>4363</v>
      </c>
      <c r="H460" s="2955">
        <v>1850709</v>
      </c>
      <c r="I460" s="2955">
        <v>37441</v>
      </c>
      <c r="J460" s="2955">
        <v>38573</v>
      </c>
      <c r="K460" s="2959">
        <v>49.43</v>
      </c>
      <c r="L460" s="2955">
        <v>47.98</v>
      </c>
      <c r="M460" s="2954" t="s">
        <v>3450</v>
      </c>
      <c r="N460" s="2954" t="s">
        <v>3451</v>
      </c>
      <c r="O460" s="2954" t="s">
        <v>3283</v>
      </c>
      <c r="P460" s="2954" t="s">
        <v>3289</v>
      </c>
      <c r="Q460" s="2954" t="s">
        <v>4364</v>
      </c>
      <c r="R460" s="2954" t="s">
        <v>3291</v>
      </c>
      <c r="S460" s="2954">
        <v>1850709</v>
      </c>
      <c r="T460" s="2954" t="s">
        <v>3450</v>
      </c>
      <c r="U460" s="2954" t="s">
        <v>3244</v>
      </c>
      <c r="V460" s="2956">
        <v>44438</v>
      </c>
      <c r="W460" s="2954" t="s">
        <v>3051</v>
      </c>
      <c r="X460" s="2954" t="s">
        <v>4354</v>
      </c>
      <c r="Y460" s="2954" t="s">
        <v>3283</v>
      </c>
      <c r="Z460" s="2957">
        <v>43541.4160416667</v>
      </c>
      <c r="AA460" s="2954" t="s">
        <v>3453</v>
      </c>
      <c r="AB460" s="2954" t="s">
        <v>3293</v>
      </c>
      <c r="AC460" s="2954" t="s">
        <v>3544</v>
      </c>
      <c r="AD460" s="2954" t="s">
        <v>3454</v>
      </c>
      <c r="AE460" s="2954" t="s">
        <v>3051</v>
      </c>
      <c r="AF460" s="2954" t="s">
        <v>3283</v>
      </c>
    </row>
    <row r="461" spans="1:32" ht="67.5">
      <c r="A461" s="2954">
        <v>7099</v>
      </c>
      <c r="B461" s="2954" t="s">
        <v>3281</v>
      </c>
      <c r="C461" s="2954" t="s">
        <v>4360</v>
      </c>
      <c r="D461" s="2954" t="s">
        <v>3283</v>
      </c>
      <c r="E461" s="2954" t="s">
        <v>4365</v>
      </c>
      <c r="F461" s="2954" t="s">
        <v>4366</v>
      </c>
      <c r="G461" s="2954" t="s">
        <v>4367</v>
      </c>
      <c r="H461" s="2955">
        <v>2376261</v>
      </c>
      <c r="I461" s="2955">
        <v>36541</v>
      </c>
      <c r="J461" s="2955">
        <v>37647</v>
      </c>
      <c r="K461" s="2959">
        <v>65.03</v>
      </c>
      <c r="L461" s="2955">
        <v>63.12</v>
      </c>
      <c r="M461" s="2954" t="s">
        <v>3450</v>
      </c>
      <c r="N461" s="2954" t="s">
        <v>3451</v>
      </c>
      <c r="O461" s="2954" t="s">
        <v>3283</v>
      </c>
      <c r="P461" s="2954" t="s">
        <v>3289</v>
      </c>
      <c r="Q461" s="2954" t="s">
        <v>4364</v>
      </c>
      <c r="R461" s="2954" t="s">
        <v>3291</v>
      </c>
      <c r="S461" s="2954">
        <v>2376261</v>
      </c>
      <c r="T461" s="2954" t="s">
        <v>3450</v>
      </c>
      <c r="U461" s="2954" t="s">
        <v>3244</v>
      </c>
      <c r="V461" s="2956">
        <v>44438</v>
      </c>
      <c r="W461" s="2954" t="s">
        <v>3051</v>
      </c>
      <c r="X461" s="2954" t="s">
        <v>4354</v>
      </c>
      <c r="Y461" s="2954" t="s">
        <v>3283</v>
      </c>
      <c r="Z461" s="2957">
        <v>43541.4160416667</v>
      </c>
      <c r="AA461" s="2954" t="s">
        <v>3453</v>
      </c>
      <c r="AB461" s="2954" t="s">
        <v>3293</v>
      </c>
      <c r="AC461" s="2954" t="s">
        <v>3544</v>
      </c>
      <c r="AD461" s="2954" t="s">
        <v>3454</v>
      </c>
      <c r="AE461" s="2954" t="s">
        <v>3051</v>
      </c>
      <c r="AF461" s="2954" t="s">
        <v>3283</v>
      </c>
    </row>
    <row r="462" spans="1:32" ht="67.5">
      <c r="A462" s="2954">
        <v>7100</v>
      </c>
      <c r="B462" s="2954" t="s">
        <v>3281</v>
      </c>
      <c r="C462" s="2954" t="s">
        <v>4360</v>
      </c>
      <c r="D462" s="2954" t="s">
        <v>3283</v>
      </c>
      <c r="E462" s="2954" t="s">
        <v>4368</v>
      </c>
      <c r="F462" s="2954" t="s">
        <v>4369</v>
      </c>
      <c r="G462" s="2954" t="s">
        <v>4370</v>
      </c>
      <c r="H462" s="2955">
        <v>1825623</v>
      </c>
      <c r="I462" s="2955">
        <v>37441</v>
      </c>
      <c r="J462" s="2955">
        <v>38572</v>
      </c>
      <c r="K462" s="2959">
        <v>48.76</v>
      </c>
      <c r="L462" s="2955">
        <v>47.33</v>
      </c>
      <c r="M462" s="2954" t="s">
        <v>3450</v>
      </c>
      <c r="N462" s="2954" t="s">
        <v>3451</v>
      </c>
      <c r="O462" s="2954" t="s">
        <v>3283</v>
      </c>
      <c r="P462" s="2954" t="s">
        <v>3289</v>
      </c>
      <c r="Q462" s="2954" t="s">
        <v>4364</v>
      </c>
      <c r="R462" s="2954" t="s">
        <v>3291</v>
      </c>
      <c r="S462" s="2954">
        <v>1825623</v>
      </c>
      <c r="T462" s="2954" t="s">
        <v>3450</v>
      </c>
      <c r="U462" s="2954" t="s">
        <v>3244</v>
      </c>
      <c r="V462" s="2956">
        <v>44438</v>
      </c>
      <c r="W462" s="2954" t="s">
        <v>3051</v>
      </c>
      <c r="X462" s="2954" t="s">
        <v>4354</v>
      </c>
      <c r="Y462" s="2954" t="s">
        <v>3283</v>
      </c>
      <c r="Z462" s="2957">
        <v>43541.4160416667</v>
      </c>
      <c r="AA462" s="2954" t="s">
        <v>3453</v>
      </c>
      <c r="AB462" s="2954" t="s">
        <v>3293</v>
      </c>
      <c r="AC462" s="2954" t="s">
        <v>3544</v>
      </c>
      <c r="AD462" s="2954" t="s">
        <v>3454</v>
      </c>
      <c r="AE462" s="2954" t="s">
        <v>3051</v>
      </c>
      <c r="AF462" s="2954" t="s">
        <v>3283</v>
      </c>
    </row>
    <row r="463" spans="1:32" ht="67.5">
      <c r="A463" s="2954">
        <v>7103</v>
      </c>
      <c r="B463" s="2954" t="s">
        <v>3281</v>
      </c>
      <c r="C463" s="2954" t="s">
        <v>4360</v>
      </c>
      <c r="D463" s="2954" t="s">
        <v>3283</v>
      </c>
      <c r="E463" s="2954" t="s">
        <v>4371</v>
      </c>
      <c r="F463" s="2954" t="s">
        <v>4372</v>
      </c>
      <c r="G463" s="2954" t="s">
        <v>4373</v>
      </c>
      <c r="H463" s="2955">
        <v>2178374</v>
      </c>
      <c r="I463" s="2955">
        <v>36741</v>
      </c>
      <c r="J463" s="2955">
        <v>37852</v>
      </c>
      <c r="K463" s="2959">
        <v>59.29</v>
      </c>
      <c r="L463" s="2955">
        <v>57.55</v>
      </c>
      <c r="M463" s="2954" t="s">
        <v>3450</v>
      </c>
      <c r="N463" s="2954" t="s">
        <v>3451</v>
      </c>
      <c r="O463" s="2954" t="s">
        <v>3283</v>
      </c>
      <c r="P463" s="2954" t="s">
        <v>3289</v>
      </c>
      <c r="Q463" s="2954" t="s">
        <v>4364</v>
      </c>
      <c r="R463" s="2954" t="s">
        <v>3291</v>
      </c>
      <c r="S463" s="2954">
        <v>2178374</v>
      </c>
      <c r="T463" s="2954" t="s">
        <v>3450</v>
      </c>
      <c r="U463" s="2954" t="s">
        <v>3244</v>
      </c>
      <c r="V463" s="2956">
        <v>44438</v>
      </c>
      <c r="W463" s="2954" t="s">
        <v>3051</v>
      </c>
      <c r="X463" s="2954" t="s">
        <v>4354</v>
      </c>
      <c r="Y463" s="2954" t="s">
        <v>3283</v>
      </c>
      <c r="Z463" s="2957">
        <v>43541.4160416667</v>
      </c>
      <c r="AA463" s="2954" t="s">
        <v>3453</v>
      </c>
      <c r="AB463" s="2954" t="s">
        <v>3293</v>
      </c>
      <c r="AC463" s="2954" t="s">
        <v>3544</v>
      </c>
      <c r="AD463" s="2954" t="s">
        <v>3454</v>
      </c>
      <c r="AE463" s="2954" t="s">
        <v>3051</v>
      </c>
      <c r="AF463" s="2954" t="s">
        <v>3283</v>
      </c>
    </row>
    <row r="464" spans="1:32" ht="67.5">
      <c r="A464" s="2954">
        <v>7104</v>
      </c>
      <c r="B464" s="2954" t="s">
        <v>3281</v>
      </c>
      <c r="C464" s="2954" t="s">
        <v>4360</v>
      </c>
      <c r="D464" s="2954" t="s">
        <v>3283</v>
      </c>
      <c r="E464" s="2954" t="s">
        <v>4355</v>
      </c>
      <c r="F464" s="2954" t="s">
        <v>4428</v>
      </c>
      <c r="G464" s="2954" t="s">
        <v>4374</v>
      </c>
      <c r="H464" s="2955">
        <v>2467979</v>
      </c>
      <c r="I464" s="2955">
        <v>36541</v>
      </c>
      <c r="J464" s="2955">
        <v>37645</v>
      </c>
      <c r="K464" s="2959">
        <v>67.540000000000006</v>
      </c>
      <c r="L464" s="2955">
        <v>65.56</v>
      </c>
      <c r="M464" s="2954" t="s">
        <v>3450</v>
      </c>
      <c r="N464" s="2954" t="s">
        <v>3451</v>
      </c>
      <c r="O464" s="2954" t="s">
        <v>3283</v>
      </c>
      <c r="P464" s="2954" t="s">
        <v>3289</v>
      </c>
      <c r="Q464" s="2954" t="s">
        <v>4364</v>
      </c>
      <c r="R464" s="2954" t="s">
        <v>3291</v>
      </c>
      <c r="S464" s="2954">
        <v>2467979</v>
      </c>
      <c r="T464" s="2954" t="s">
        <v>3450</v>
      </c>
      <c r="U464" s="2954" t="s">
        <v>3244</v>
      </c>
      <c r="V464" s="2956">
        <v>44438</v>
      </c>
      <c r="W464" s="2954" t="s">
        <v>3051</v>
      </c>
      <c r="X464" s="2954" t="s">
        <v>4354</v>
      </c>
      <c r="Y464" s="2954" t="s">
        <v>3283</v>
      </c>
      <c r="Z464" s="2957">
        <v>43541.4160416667</v>
      </c>
      <c r="AA464" s="2954" t="s">
        <v>3453</v>
      </c>
      <c r="AB464" s="2954" t="s">
        <v>3293</v>
      </c>
      <c r="AC464" s="2954" t="s">
        <v>3544</v>
      </c>
      <c r="AD464" s="2954" t="s">
        <v>3454</v>
      </c>
      <c r="AE464" s="2954" t="s">
        <v>3051</v>
      </c>
      <c r="AF464" s="2954" t="s">
        <v>3283</v>
      </c>
    </row>
    <row r="465" spans="1:32" s="2968" customFormat="1">
      <c r="A465" s="2964"/>
      <c r="B465" s="2964"/>
      <c r="C465" s="2964"/>
      <c r="D465" s="2964"/>
      <c r="E465" s="2964"/>
      <c r="F465" s="2964" t="s">
        <v>4429</v>
      </c>
      <c r="G465" s="2964"/>
      <c r="H465" s="2965"/>
      <c r="I465" s="2965"/>
      <c r="J465" s="2965"/>
      <c r="K465" s="2965">
        <f>SUM(K460:K464)</f>
        <v>290.05</v>
      </c>
      <c r="L465" s="2965"/>
      <c r="M465" s="2964"/>
      <c r="N465" s="2964"/>
      <c r="O465" s="2964"/>
      <c r="P465" s="2964"/>
      <c r="Q465" s="2964"/>
      <c r="R465" s="2964"/>
      <c r="S465" s="2964"/>
      <c r="T465" s="2964"/>
      <c r="U465" s="2964"/>
      <c r="V465" s="2966"/>
      <c r="W465" s="2964"/>
      <c r="X465" s="2964"/>
      <c r="Y465" s="2964"/>
      <c r="Z465" s="2967"/>
      <c r="AA465" s="2964"/>
      <c r="AB465" s="2964"/>
      <c r="AC465" s="2964"/>
      <c r="AD465" s="2964"/>
      <c r="AE465" s="2964"/>
      <c r="AF465" s="2964"/>
    </row>
    <row r="466" spans="1:32" ht="67.5">
      <c r="A466" s="2954">
        <v>7105</v>
      </c>
      <c r="B466" s="2954" t="s">
        <v>3281</v>
      </c>
      <c r="C466" s="2954" t="s">
        <v>4375</v>
      </c>
      <c r="D466" s="2954" t="s">
        <v>3283</v>
      </c>
      <c r="E466" s="2954" t="s">
        <v>4361</v>
      </c>
      <c r="F466" s="2954" t="s">
        <v>4376</v>
      </c>
      <c r="G466" s="2954" t="s">
        <v>4377</v>
      </c>
      <c r="H466" s="2955">
        <v>2501083</v>
      </c>
      <c r="I466" s="2955">
        <v>35341</v>
      </c>
      <c r="J466" s="2955">
        <v>36353</v>
      </c>
      <c r="K466" s="2959">
        <v>70.77</v>
      </c>
      <c r="L466" s="2955">
        <v>68.8</v>
      </c>
      <c r="M466" s="2954" t="s">
        <v>3450</v>
      </c>
      <c r="N466" s="2954" t="s">
        <v>3451</v>
      </c>
      <c r="O466" s="2954" t="s">
        <v>3283</v>
      </c>
      <c r="P466" s="2954" t="s">
        <v>3289</v>
      </c>
      <c r="Q466" s="2954" t="s">
        <v>4378</v>
      </c>
      <c r="R466" s="2954" t="s">
        <v>3291</v>
      </c>
      <c r="S466" s="2954">
        <v>2501083</v>
      </c>
      <c r="T466" s="2954" t="s">
        <v>3450</v>
      </c>
      <c r="U466" s="2954" t="s">
        <v>3244</v>
      </c>
      <c r="V466" s="2956">
        <v>44438</v>
      </c>
      <c r="W466" s="2954" t="s">
        <v>3051</v>
      </c>
      <c r="X466" s="2954" t="s">
        <v>4354</v>
      </c>
      <c r="Y466" s="2954" t="s">
        <v>3283</v>
      </c>
      <c r="Z466" s="2957">
        <v>43541.416192129604</v>
      </c>
      <c r="AA466" s="2954" t="s">
        <v>3453</v>
      </c>
      <c r="AB466" s="2954" t="s">
        <v>3293</v>
      </c>
      <c r="AC466" s="2954" t="s">
        <v>3544</v>
      </c>
      <c r="AD466" s="2954" t="s">
        <v>3454</v>
      </c>
      <c r="AE466" s="2954" t="s">
        <v>3051</v>
      </c>
      <c r="AF466" s="2954" t="s">
        <v>3283</v>
      </c>
    </row>
    <row r="467" spans="1:32" ht="67.5">
      <c r="A467" s="2954">
        <v>7106</v>
      </c>
      <c r="B467" s="2954" t="s">
        <v>3281</v>
      </c>
      <c r="C467" s="2954" t="s">
        <v>4375</v>
      </c>
      <c r="D467" s="2954" t="s">
        <v>3283</v>
      </c>
      <c r="E467" s="2954" t="s">
        <v>4365</v>
      </c>
      <c r="F467" s="2954" t="s">
        <v>4379</v>
      </c>
      <c r="G467" s="2954" t="s">
        <v>4380</v>
      </c>
      <c r="H467" s="2955">
        <v>1799396</v>
      </c>
      <c r="I467" s="2955">
        <v>36941</v>
      </c>
      <c r="J467" s="2955">
        <v>37994</v>
      </c>
      <c r="K467" s="2959">
        <v>48.71</v>
      </c>
      <c r="L467" s="2955">
        <v>47.36</v>
      </c>
      <c r="M467" s="2954" t="s">
        <v>3450</v>
      </c>
      <c r="N467" s="2954" t="s">
        <v>3451</v>
      </c>
      <c r="O467" s="2954" t="s">
        <v>3283</v>
      </c>
      <c r="P467" s="2954" t="s">
        <v>3289</v>
      </c>
      <c r="Q467" s="2954" t="s">
        <v>4378</v>
      </c>
      <c r="R467" s="2954" t="s">
        <v>3291</v>
      </c>
      <c r="S467" s="2954">
        <v>1799396</v>
      </c>
      <c r="T467" s="2954" t="s">
        <v>3450</v>
      </c>
      <c r="U467" s="2954" t="s">
        <v>3244</v>
      </c>
      <c r="V467" s="2956">
        <v>44438</v>
      </c>
      <c r="W467" s="2954" t="s">
        <v>3051</v>
      </c>
      <c r="X467" s="2954" t="s">
        <v>4354</v>
      </c>
      <c r="Y467" s="2954" t="s">
        <v>3283</v>
      </c>
      <c r="Z467" s="2957">
        <v>43541.416192129604</v>
      </c>
      <c r="AA467" s="2954" t="s">
        <v>3453</v>
      </c>
      <c r="AB467" s="2954" t="s">
        <v>3293</v>
      </c>
      <c r="AC467" s="2954" t="s">
        <v>3544</v>
      </c>
      <c r="AD467" s="2954" t="s">
        <v>3454</v>
      </c>
      <c r="AE467" s="2954" t="s">
        <v>3051</v>
      </c>
      <c r="AF467" s="2954" t="s">
        <v>3283</v>
      </c>
    </row>
    <row r="468" spans="1:32" ht="67.5">
      <c r="A468" s="2954">
        <v>7109</v>
      </c>
      <c r="B468" s="2954" t="s">
        <v>3281</v>
      </c>
      <c r="C468" s="2954" t="s">
        <v>4375</v>
      </c>
      <c r="D468" s="2954" t="s">
        <v>3283</v>
      </c>
      <c r="E468" s="2954" t="s">
        <v>4381</v>
      </c>
      <c r="F468" s="2954" t="s">
        <v>4382</v>
      </c>
      <c r="G468" s="2954" t="s">
        <v>4383</v>
      </c>
      <c r="H468" s="2955">
        <v>1673058</v>
      </c>
      <c r="I468" s="2955">
        <v>36941</v>
      </c>
      <c r="J468" s="2955">
        <v>37998</v>
      </c>
      <c r="K468" s="2959">
        <v>45.29</v>
      </c>
      <c r="L468" s="2955">
        <v>44.03</v>
      </c>
      <c r="M468" s="2954" t="s">
        <v>3450</v>
      </c>
      <c r="N468" s="2954" t="s">
        <v>3451</v>
      </c>
      <c r="O468" s="2954" t="s">
        <v>3283</v>
      </c>
      <c r="P468" s="2954" t="s">
        <v>3289</v>
      </c>
      <c r="Q468" s="2954" t="s">
        <v>4378</v>
      </c>
      <c r="R468" s="2954" t="s">
        <v>3291</v>
      </c>
      <c r="S468" s="2954">
        <v>1673058</v>
      </c>
      <c r="T468" s="2954" t="s">
        <v>3450</v>
      </c>
      <c r="U468" s="2954" t="s">
        <v>3244</v>
      </c>
      <c r="V468" s="2956">
        <v>44438</v>
      </c>
      <c r="W468" s="2954" t="s">
        <v>3051</v>
      </c>
      <c r="X468" s="2954" t="s">
        <v>4354</v>
      </c>
      <c r="Y468" s="2954" t="s">
        <v>3283</v>
      </c>
      <c r="Z468" s="2957">
        <v>43541.416192129604</v>
      </c>
      <c r="AA468" s="2954" t="s">
        <v>3453</v>
      </c>
      <c r="AB468" s="2954" t="s">
        <v>3293</v>
      </c>
      <c r="AC468" s="2954" t="s">
        <v>3544</v>
      </c>
      <c r="AD468" s="2954" t="s">
        <v>3454</v>
      </c>
      <c r="AE468" s="2954" t="s">
        <v>3051</v>
      </c>
      <c r="AF468" s="2954" t="s">
        <v>3283</v>
      </c>
    </row>
    <row r="469" spans="1:32" ht="67.5">
      <c r="A469" s="2954">
        <v>7110</v>
      </c>
      <c r="B469" s="2954" t="s">
        <v>3281</v>
      </c>
      <c r="C469" s="2954" t="s">
        <v>4375</v>
      </c>
      <c r="D469" s="2954" t="s">
        <v>3283</v>
      </c>
      <c r="E469" s="2954" t="s">
        <v>4371</v>
      </c>
      <c r="F469" s="2954" t="s">
        <v>4430</v>
      </c>
      <c r="G469" s="2954" t="s">
        <v>4384</v>
      </c>
      <c r="H469" s="2955">
        <v>2501083</v>
      </c>
      <c r="I469" s="2955">
        <v>35341</v>
      </c>
      <c r="J469" s="2955">
        <v>36353</v>
      </c>
      <c r="K469" s="2959">
        <v>70.77</v>
      </c>
      <c r="L469" s="2955">
        <v>68.8</v>
      </c>
      <c r="M469" s="2954" t="s">
        <v>3450</v>
      </c>
      <c r="N469" s="2954" t="s">
        <v>3451</v>
      </c>
      <c r="O469" s="2954" t="s">
        <v>3283</v>
      </c>
      <c r="P469" s="2954" t="s">
        <v>3289</v>
      </c>
      <c r="Q469" s="2954" t="s">
        <v>4378</v>
      </c>
      <c r="R469" s="2954" t="s">
        <v>3291</v>
      </c>
      <c r="S469" s="2954">
        <v>2501083</v>
      </c>
      <c r="T469" s="2954" t="s">
        <v>3450</v>
      </c>
      <c r="U469" s="2954" t="s">
        <v>3244</v>
      </c>
      <c r="V469" s="2956">
        <v>44438</v>
      </c>
      <c r="W469" s="2954" t="s">
        <v>3051</v>
      </c>
      <c r="X469" s="2954" t="s">
        <v>4354</v>
      </c>
      <c r="Y469" s="2954" t="s">
        <v>3283</v>
      </c>
      <c r="Z469" s="2957">
        <v>43541.416192129604</v>
      </c>
      <c r="AA469" s="2954" t="s">
        <v>3453</v>
      </c>
      <c r="AB469" s="2954" t="s">
        <v>3293</v>
      </c>
      <c r="AC469" s="2954" t="s">
        <v>3544</v>
      </c>
      <c r="AD469" s="2954" t="s">
        <v>3454</v>
      </c>
      <c r="AE469" s="2954" t="s">
        <v>3051</v>
      </c>
      <c r="AF469" s="2954" t="s">
        <v>3283</v>
      </c>
    </row>
    <row r="470" spans="1:32" s="2968" customFormat="1">
      <c r="A470" s="2964"/>
      <c r="B470" s="2964"/>
      <c r="C470" s="2964"/>
      <c r="D470" s="2964"/>
      <c r="E470" s="2964"/>
      <c r="F470" s="2964" t="s">
        <v>4406</v>
      </c>
      <c r="G470" s="2964"/>
      <c r="H470" s="2965"/>
      <c r="I470" s="2965"/>
      <c r="J470" s="2965"/>
      <c r="K470" s="2965">
        <f>SUM(K466:K469)</f>
        <v>235.53999999999996</v>
      </c>
      <c r="L470" s="2965"/>
      <c r="M470" s="2964"/>
      <c r="N470" s="2964"/>
      <c r="O470" s="2964"/>
      <c r="P470" s="2964"/>
      <c r="Q470" s="2964"/>
      <c r="R470" s="2964"/>
      <c r="S470" s="2964"/>
      <c r="T470" s="2964"/>
      <c r="U470" s="2964"/>
      <c r="V470" s="2966"/>
      <c r="W470" s="2964"/>
      <c r="X470" s="2964"/>
      <c r="Y470" s="2964"/>
      <c r="Z470" s="2967"/>
      <c r="AA470" s="2964"/>
      <c r="AB470" s="2964"/>
      <c r="AC470" s="2964"/>
      <c r="AD470" s="2964"/>
      <c r="AE470" s="2964"/>
      <c r="AF470" s="2964"/>
    </row>
    <row r="471" spans="1:32" ht="67.5">
      <c r="A471" s="2954">
        <v>7115</v>
      </c>
      <c r="B471" s="2954" t="s">
        <v>3281</v>
      </c>
      <c r="C471" s="2954" t="s">
        <v>4385</v>
      </c>
      <c r="D471" s="2954" t="s">
        <v>3283</v>
      </c>
      <c r="E471" s="2954" t="s">
        <v>4368</v>
      </c>
      <c r="F471" s="2954" t="s">
        <v>4386</v>
      </c>
      <c r="G471" s="2954" t="s">
        <v>4387</v>
      </c>
      <c r="H471" s="2955">
        <v>2517693</v>
      </c>
      <c r="I471" s="2955">
        <v>35341</v>
      </c>
      <c r="J471" s="2955">
        <v>36594</v>
      </c>
      <c r="K471" s="2959">
        <v>71.239999999999995</v>
      </c>
      <c r="L471" s="2955">
        <v>68.8</v>
      </c>
      <c r="M471" s="2954" t="s">
        <v>3450</v>
      </c>
      <c r="N471" s="2954" t="s">
        <v>3451</v>
      </c>
      <c r="O471" s="2954" t="s">
        <v>3283</v>
      </c>
      <c r="P471" s="2954" t="s">
        <v>3289</v>
      </c>
      <c r="Q471" s="2954" t="s">
        <v>4388</v>
      </c>
      <c r="R471" s="2954" t="s">
        <v>3291</v>
      </c>
      <c r="S471" s="2954">
        <v>2517693</v>
      </c>
      <c r="T471" s="2954" t="s">
        <v>3450</v>
      </c>
      <c r="U471" s="2954" t="s">
        <v>3244</v>
      </c>
      <c r="V471" s="2956">
        <v>44438</v>
      </c>
      <c r="W471" s="2954" t="s">
        <v>3051</v>
      </c>
      <c r="X471" s="2954" t="s">
        <v>4354</v>
      </c>
      <c r="Y471" s="2954" t="s">
        <v>3283</v>
      </c>
      <c r="Z471" s="2957">
        <v>43541.4163078704</v>
      </c>
      <c r="AA471" s="2954" t="s">
        <v>3453</v>
      </c>
      <c r="AB471" s="2954" t="s">
        <v>3293</v>
      </c>
      <c r="AC471" s="2954" t="s">
        <v>3544</v>
      </c>
      <c r="AD471" s="2954" t="s">
        <v>3454</v>
      </c>
      <c r="AE471" s="2954" t="s">
        <v>3051</v>
      </c>
      <c r="AF471" s="2954" t="s">
        <v>3283</v>
      </c>
    </row>
    <row r="472" spans="1:32" ht="67.5">
      <c r="A472" s="2954">
        <v>7119</v>
      </c>
      <c r="B472" s="2954" t="s">
        <v>3281</v>
      </c>
      <c r="C472" s="2954" t="s">
        <v>4385</v>
      </c>
      <c r="D472" s="2954" t="s">
        <v>3283</v>
      </c>
      <c r="E472" s="2954" t="s">
        <v>4355</v>
      </c>
      <c r="F472" s="2954" t="s">
        <v>4389</v>
      </c>
      <c r="G472" s="2954" t="s">
        <v>4390</v>
      </c>
      <c r="H472" s="2955">
        <v>2032758</v>
      </c>
      <c r="I472" s="2955">
        <v>36241</v>
      </c>
      <c r="J472" s="2955">
        <v>37526</v>
      </c>
      <c r="K472" s="2959">
        <v>56.09</v>
      </c>
      <c r="L472" s="2955">
        <v>54.17</v>
      </c>
      <c r="M472" s="2954" t="s">
        <v>3450</v>
      </c>
      <c r="N472" s="2954" t="s">
        <v>3451</v>
      </c>
      <c r="O472" s="2954" t="s">
        <v>3283</v>
      </c>
      <c r="P472" s="2954" t="s">
        <v>3289</v>
      </c>
      <c r="Q472" s="2954" t="s">
        <v>4388</v>
      </c>
      <c r="R472" s="2954" t="s">
        <v>3291</v>
      </c>
      <c r="S472" s="2954">
        <v>2032758</v>
      </c>
      <c r="T472" s="2954" t="s">
        <v>3450</v>
      </c>
      <c r="U472" s="2954" t="s">
        <v>3244</v>
      </c>
      <c r="V472" s="2956">
        <v>44438</v>
      </c>
      <c r="W472" s="2954" t="s">
        <v>3051</v>
      </c>
      <c r="X472" s="2954" t="s">
        <v>4354</v>
      </c>
      <c r="Y472" s="2954" t="s">
        <v>3283</v>
      </c>
      <c r="Z472" s="2957">
        <v>43541.4163078704</v>
      </c>
      <c r="AA472" s="2954" t="s">
        <v>3453</v>
      </c>
      <c r="AB472" s="2954" t="s">
        <v>3293</v>
      </c>
      <c r="AC472" s="2954" t="s">
        <v>3544</v>
      </c>
      <c r="AD472" s="2954" t="s">
        <v>3454</v>
      </c>
      <c r="AE472" s="2954" t="s">
        <v>3051</v>
      </c>
      <c r="AF472" s="2954" t="s">
        <v>3283</v>
      </c>
    </row>
    <row r="473" spans="1:32" ht="67.5">
      <c r="A473" s="2954">
        <v>7120</v>
      </c>
      <c r="B473" s="2954" t="s">
        <v>3281</v>
      </c>
      <c r="C473" s="2954" t="s">
        <v>4385</v>
      </c>
      <c r="D473" s="2954" t="s">
        <v>3283</v>
      </c>
      <c r="E473" s="2954" t="s">
        <v>4358</v>
      </c>
      <c r="F473" s="2954" t="s">
        <v>4431</v>
      </c>
      <c r="G473" s="2954" t="s">
        <v>4391</v>
      </c>
      <c r="H473" s="2955">
        <v>2496321</v>
      </c>
      <c r="I473" s="2955">
        <v>35041</v>
      </c>
      <c r="J473" s="2955">
        <v>36284</v>
      </c>
      <c r="K473" s="2959">
        <v>71.239999999999995</v>
      </c>
      <c r="L473" s="2955">
        <v>68.8</v>
      </c>
      <c r="M473" s="2954" t="s">
        <v>3450</v>
      </c>
      <c r="N473" s="2954" t="s">
        <v>3451</v>
      </c>
      <c r="O473" s="2954" t="s">
        <v>3283</v>
      </c>
      <c r="P473" s="2954" t="s">
        <v>3289</v>
      </c>
      <c r="Q473" s="2954" t="s">
        <v>4388</v>
      </c>
      <c r="R473" s="2954" t="s">
        <v>3291</v>
      </c>
      <c r="S473" s="2954">
        <v>2496321</v>
      </c>
      <c r="T473" s="2954" t="s">
        <v>3450</v>
      </c>
      <c r="U473" s="2954" t="s">
        <v>3244</v>
      </c>
      <c r="V473" s="2956">
        <v>44438</v>
      </c>
      <c r="W473" s="2954" t="s">
        <v>3051</v>
      </c>
      <c r="X473" s="2954" t="s">
        <v>4354</v>
      </c>
      <c r="Y473" s="2954" t="s">
        <v>3283</v>
      </c>
      <c r="Z473" s="2957">
        <v>43541.4163078704</v>
      </c>
      <c r="AA473" s="2954" t="s">
        <v>3453</v>
      </c>
      <c r="AB473" s="2954" t="s">
        <v>3293</v>
      </c>
      <c r="AC473" s="2954" t="s">
        <v>3544</v>
      </c>
      <c r="AD473" s="2954" t="s">
        <v>3454</v>
      </c>
      <c r="AE473" s="2954" t="s">
        <v>3051</v>
      </c>
      <c r="AF473" s="2954" t="s">
        <v>3283</v>
      </c>
    </row>
    <row r="474" spans="1:32" s="2968" customFormat="1">
      <c r="A474" s="2964"/>
      <c r="B474" s="2964"/>
      <c r="C474" s="2964"/>
      <c r="D474" s="2964"/>
      <c r="E474" s="2964"/>
      <c r="F474" s="2964" t="s">
        <v>4432</v>
      </c>
      <c r="G474" s="2964"/>
      <c r="H474" s="2965"/>
      <c r="I474" s="2965"/>
      <c r="J474" s="2965"/>
      <c r="K474" s="2965">
        <f>SUM(K471:K473)</f>
        <v>198.57</v>
      </c>
      <c r="L474" s="2965"/>
      <c r="M474" s="2964"/>
      <c r="N474" s="2964"/>
      <c r="O474" s="2964"/>
      <c r="P474" s="2964"/>
      <c r="Q474" s="2964"/>
      <c r="R474" s="2964"/>
      <c r="S474" s="2964"/>
      <c r="T474" s="2964"/>
      <c r="U474" s="2964"/>
      <c r="V474" s="2966"/>
      <c r="W474" s="2964"/>
      <c r="X474" s="2964"/>
      <c r="Y474" s="2964"/>
      <c r="Z474" s="2967"/>
      <c r="AA474" s="2964"/>
      <c r="AB474" s="2964"/>
      <c r="AC474" s="2964"/>
      <c r="AD474" s="2964"/>
      <c r="AE474" s="2964"/>
      <c r="AF474" s="2964"/>
    </row>
    <row r="475" spans="1:32" ht="67.5">
      <c r="A475" s="2954">
        <v>7124</v>
      </c>
      <c r="B475" s="2954" t="s">
        <v>3281</v>
      </c>
      <c r="C475" s="2954" t="s">
        <v>4392</v>
      </c>
      <c r="D475" s="2954" t="s">
        <v>3283</v>
      </c>
      <c r="E475" s="2954" t="s">
        <v>3493</v>
      </c>
      <c r="F475" s="2954" t="s">
        <v>4393</v>
      </c>
      <c r="G475" s="2954" t="s">
        <v>4394</v>
      </c>
      <c r="H475" s="2955">
        <v>2186002</v>
      </c>
      <c r="I475" s="2955">
        <v>36641</v>
      </c>
      <c r="J475" s="2955">
        <v>39197</v>
      </c>
      <c r="K475" s="2959">
        <v>59.66</v>
      </c>
      <c r="L475" s="2955">
        <v>55.77</v>
      </c>
      <c r="M475" s="2954" t="s">
        <v>3450</v>
      </c>
      <c r="N475" s="2954" t="s">
        <v>3451</v>
      </c>
      <c r="O475" s="2954" t="s">
        <v>3283</v>
      </c>
      <c r="P475" s="2954" t="s">
        <v>3289</v>
      </c>
      <c r="Q475" s="2954" t="s">
        <v>4395</v>
      </c>
      <c r="R475" s="2954" t="s">
        <v>3291</v>
      </c>
      <c r="S475" s="2954">
        <v>2186002</v>
      </c>
      <c r="T475" s="2954" t="s">
        <v>3450</v>
      </c>
      <c r="U475" s="2954" t="s">
        <v>3244</v>
      </c>
      <c r="V475" s="2956">
        <v>44499</v>
      </c>
      <c r="W475" s="2954" t="s">
        <v>3051</v>
      </c>
      <c r="X475" s="2954" t="s">
        <v>4347</v>
      </c>
      <c r="Y475" s="2954" t="s">
        <v>3283</v>
      </c>
      <c r="Z475" s="2957">
        <v>43541.416423611103</v>
      </c>
      <c r="AA475" s="2954" t="s">
        <v>3453</v>
      </c>
      <c r="AB475" s="2954" t="s">
        <v>3293</v>
      </c>
      <c r="AC475" s="2954" t="s">
        <v>3544</v>
      </c>
      <c r="AD475" s="2954" t="s">
        <v>3454</v>
      </c>
      <c r="AE475" s="2954" t="s">
        <v>3051</v>
      </c>
      <c r="AF475" s="2954" t="s">
        <v>3283</v>
      </c>
    </row>
    <row r="476" spans="1:32" ht="67.5">
      <c r="A476" s="2954">
        <v>7125</v>
      </c>
      <c r="B476" s="2954" t="s">
        <v>3281</v>
      </c>
      <c r="C476" s="2954" t="s">
        <v>4392</v>
      </c>
      <c r="D476" s="2954" t="s">
        <v>3283</v>
      </c>
      <c r="E476" s="2954" t="s">
        <v>3475</v>
      </c>
      <c r="F476" s="2954" t="s">
        <v>4433</v>
      </c>
      <c r="G476" s="2954" t="s">
        <v>4396</v>
      </c>
      <c r="H476" s="2955">
        <v>2186002</v>
      </c>
      <c r="I476" s="2955">
        <v>36641</v>
      </c>
      <c r="J476" s="2955">
        <v>39197</v>
      </c>
      <c r="K476" s="2959">
        <v>59.66</v>
      </c>
      <c r="L476" s="2955">
        <v>55.77</v>
      </c>
      <c r="M476" s="2954" t="s">
        <v>3450</v>
      </c>
      <c r="N476" s="2954" t="s">
        <v>3451</v>
      </c>
      <c r="O476" s="2954" t="s">
        <v>3283</v>
      </c>
      <c r="P476" s="2954" t="s">
        <v>3289</v>
      </c>
      <c r="Q476" s="2954" t="s">
        <v>4395</v>
      </c>
      <c r="R476" s="2954" t="s">
        <v>3291</v>
      </c>
      <c r="S476" s="2954">
        <v>2186002</v>
      </c>
      <c r="T476" s="2954" t="s">
        <v>3450</v>
      </c>
      <c r="U476" s="2954" t="s">
        <v>3244</v>
      </c>
      <c r="V476" s="2956">
        <v>44499</v>
      </c>
      <c r="W476" s="2954" t="s">
        <v>3051</v>
      </c>
      <c r="X476" s="2954" t="s">
        <v>4347</v>
      </c>
      <c r="Y476" s="2954" t="s">
        <v>3283</v>
      </c>
      <c r="Z476" s="2957">
        <v>43541.416423611103</v>
      </c>
      <c r="AA476" s="2954" t="s">
        <v>3453</v>
      </c>
      <c r="AB476" s="2954" t="s">
        <v>3293</v>
      </c>
      <c r="AC476" s="2954" t="s">
        <v>3544</v>
      </c>
      <c r="AD476" s="2954" t="s">
        <v>3454</v>
      </c>
      <c r="AE476" s="2954" t="s">
        <v>3051</v>
      </c>
      <c r="AF476" s="2954" t="s">
        <v>3283</v>
      </c>
    </row>
    <row r="477" spans="1:32" s="2968" customFormat="1">
      <c r="F477" s="2968" t="s">
        <v>4424</v>
      </c>
      <c r="K477" s="2969">
        <f>SUM(K475:K476)</f>
        <v>119.32</v>
      </c>
    </row>
    <row r="478" spans="1:32">
      <c r="B478" s="2973"/>
      <c r="C478" s="2973"/>
      <c r="D478" s="2973" t="s">
        <v>4435</v>
      </c>
      <c r="E478" s="2973"/>
    </row>
    <row r="479" spans="1:32">
      <c r="B479" s="2973" t="s">
        <v>3037</v>
      </c>
      <c r="C479" s="2973" t="s">
        <v>4434</v>
      </c>
      <c r="D479" s="2973" t="s">
        <v>4436</v>
      </c>
      <c r="E479" s="2973" t="s">
        <v>4437</v>
      </c>
      <c r="F479" s="2953" t="s">
        <v>4438</v>
      </c>
      <c r="G479" s="2953" t="s">
        <v>4449</v>
      </c>
      <c r="H479" s="2953" t="s">
        <v>4450</v>
      </c>
      <c r="I479" s="2953" t="s">
        <v>4451</v>
      </c>
      <c r="J479" s="2977">
        <v>0.2</v>
      </c>
      <c r="K479" s="2962" t="s">
        <v>4452</v>
      </c>
      <c r="L479" s="2977">
        <v>0.3</v>
      </c>
      <c r="M479" s="2953" t="s">
        <v>4438</v>
      </c>
    </row>
    <row r="480" spans="1:32">
      <c r="B480" s="2973" t="s">
        <v>4440</v>
      </c>
      <c r="C480" s="2973" t="str">
        <f>F28</f>
        <v>10栋</v>
      </c>
      <c r="D480" s="2974">
        <f>K28</f>
        <v>3821.0800000000008</v>
      </c>
      <c r="E480" s="2973"/>
      <c r="F480" s="2970">
        <f>SUM(D480:E480)</f>
        <v>3821.0800000000008</v>
      </c>
      <c r="G480" s="2953">
        <v>32</v>
      </c>
      <c r="H480" s="2953">
        <v>11</v>
      </c>
      <c r="K480" s="2979">
        <f>ROUND(H480/G480*$L$479,2)</f>
        <v>0.1</v>
      </c>
      <c r="M480" s="2977">
        <f>$J$479+K480+L480</f>
        <v>0.30000000000000004</v>
      </c>
      <c r="N480" s="2953">
        <f>ROUND(F480/$C$496*M480,3)</f>
        <v>2.3E-2</v>
      </c>
    </row>
    <row r="481" spans="2:14">
      <c r="B481" s="2973"/>
      <c r="C481" s="2973" t="str">
        <f>F57</f>
        <v>11栋</v>
      </c>
      <c r="D481" s="2974">
        <f>K57</f>
        <v>4114.9600000000009</v>
      </c>
      <c r="E481" s="2973"/>
      <c r="F481" s="2970">
        <f t="shared" ref="F481:F495" si="0">SUM(D481:E481)</f>
        <v>4114.9600000000009</v>
      </c>
      <c r="G481" s="2953">
        <v>32</v>
      </c>
      <c r="H481" s="2953">
        <v>15</v>
      </c>
      <c r="K481" s="2979">
        <f>ROUND(H481/G481*$L$479,2)</f>
        <v>0.14000000000000001</v>
      </c>
      <c r="M481" s="2977">
        <f t="shared" ref="M481:M495" si="1">$J$479+K481+L481</f>
        <v>0.34</v>
      </c>
      <c r="N481" s="2953">
        <f t="shared" ref="N481:N495" si="2">ROUND(F481/$C$496*M481,3)</f>
        <v>2.8000000000000001E-2</v>
      </c>
    </row>
    <row r="482" spans="2:14">
      <c r="B482" s="2973"/>
      <c r="C482" s="2973" t="str">
        <f>F59</f>
        <v>25栋</v>
      </c>
      <c r="D482" s="2972">
        <f>K59</f>
        <v>128.47</v>
      </c>
      <c r="E482" s="2974">
        <f>K98</f>
        <v>590.26</v>
      </c>
      <c r="F482" s="2970">
        <f t="shared" si="0"/>
        <v>718.73</v>
      </c>
      <c r="G482" s="2953">
        <v>7</v>
      </c>
      <c r="H482" s="2953">
        <v>7</v>
      </c>
      <c r="K482" s="2979">
        <f>ROUND(H482/G482*$L$479,2)</f>
        <v>0.3</v>
      </c>
      <c r="L482" s="2977">
        <v>0.05</v>
      </c>
      <c r="M482" s="2977">
        <f t="shared" si="1"/>
        <v>0.55000000000000004</v>
      </c>
      <c r="N482" s="2953">
        <f t="shared" si="2"/>
        <v>8.0000000000000002E-3</v>
      </c>
    </row>
    <row r="483" spans="2:14">
      <c r="B483" s="2973"/>
      <c r="C483" s="2973" t="str">
        <f>F62</f>
        <v>3栋</v>
      </c>
      <c r="D483" s="2973"/>
      <c r="E483" s="2974">
        <f>K62</f>
        <v>237.73000000000002</v>
      </c>
      <c r="F483" s="2970">
        <f t="shared" si="0"/>
        <v>237.73000000000002</v>
      </c>
      <c r="K483" s="2978">
        <v>0.3</v>
      </c>
      <c r="M483" s="2977">
        <f t="shared" si="1"/>
        <v>0.5</v>
      </c>
      <c r="N483" s="2953">
        <f t="shared" si="2"/>
        <v>2E-3</v>
      </c>
    </row>
    <row r="484" spans="2:14">
      <c r="B484" s="2973"/>
      <c r="C484" s="2973" t="str">
        <f>F64</f>
        <v>4栋</v>
      </c>
      <c r="D484" s="2973"/>
      <c r="E484" s="2974">
        <f>K64</f>
        <v>66.989999999999995</v>
      </c>
      <c r="F484" s="2970">
        <f t="shared" si="0"/>
        <v>66.989999999999995</v>
      </c>
      <c r="K484" s="2978">
        <v>0.3</v>
      </c>
      <c r="M484" s="2977">
        <f t="shared" si="1"/>
        <v>0.5</v>
      </c>
      <c r="N484" s="2953">
        <f t="shared" si="2"/>
        <v>1E-3</v>
      </c>
    </row>
    <row r="485" spans="2:14">
      <c r="B485" s="2973"/>
      <c r="C485" s="2973" t="str">
        <f>F69</f>
        <v>16栋</v>
      </c>
      <c r="D485" s="2973"/>
      <c r="E485" s="2974">
        <f>K69</f>
        <v>190.29</v>
      </c>
      <c r="F485" s="2970">
        <f t="shared" si="0"/>
        <v>190.29</v>
      </c>
      <c r="K485" s="2978">
        <v>0</v>
      </c>
      <c r="M485" s="2977">
        <f t="shared" si="1"/>
        <v>0.2</v>
      </c>
      <c r="N485" s="2953">
        <f t="shared" si="2"/>
        <v>1E-3</v>
      </c>
    </row>
    <row r="486" spans="2:14">
      <c r="B486" s="2973"/>
      <c r="C486" s="2973" t="str">
        <f>F76</f>
        <v>20栋</v>
      </c>
      <c r="D486" s="2973"/>
      <c r="E486" s="2974">
        <f>K76</f>
        <v>503.16</v>
      </c>
      <c r="F486" s="2970">
        <f t="shared" si="0"/>
        <v>503.16</v>
      </c>
      <c r="K486" s="2978">
        <v>0.3</v>
      </c>
      <c r="M486" s="2977">
        <f t="shared" si="1"/>
        <v>0.5</v>
      </c>
      <c r="N486" s="2953">
        <f t="shared" si="2"/>
        <v>5.0000000000000001E-3</v>
      </c>
    </row>
    <row r="487" spans="2:14">
      <c r="B487" s="2973"/>
      <c r="C487" s="2973" t="str">
        <f>F89</f>
        <v>24栋</v>
      </c>
      <c r="D487" s="2973"/>
      <c r="E487" s="2974">
        <f>K89</f>
        <v>882.33999999999992</v>
      </c>
      <c r="F487" s="2970">
        <f t="shared" si="0"/>
        <v>882.33999999999992</v>
      </c>
      <c r="K487" s="2978">
        <v>0.3</v>
      </c>
      <c r="L487" s="2977">
        <v>0.1</v>
      </c>
      <c r="M487" s="2977">
        <f t="shared" si="1"/>
        <v>0.6</v>
      </c>
      <c r="N487" s="2953">
        <f t="shared" si="2"/>
        <v>1.0999999999999999E-2</v>
      </c>
    </row>
    <row r="488" spans="2:14">
      <c r="B488" s="2973" t="s">
        <v>4439</v>
      </c>
      <c r="C488" s="2973" t="str">
        <f>F147</f>
        <v>1栋</v>
      </c>
      <c r="D488" s="2974">
        <f>K147</f>
        <v>5670.44</v>
      </c>
      <c r="E488" s="2974">
        <f>K455</f>
        <v>118.78</v>
      </c>
      <c r="F488" s="2970">
        <f t="shared" si="0"/>
        <v>5789.2199999999993</v>
      </c>
      <c r="G488" s="2953">
        <v>29</v>
      </c>
      <c r="H488" s="2953">
        <v>24</v>
      </c>
      <c r="K488" s="2979">
        <f>ROUND(H488/G488*$L$479,2)</f>
        <v>0.25</v>
      </c>
      <c r="M488" s="2977">
        <f t="shared" si="1"/>
        <v>0.45</v>
      </c>
      <c r="N488" s="2953">
        <f t="shared" si="2"/>
        <v>5.1999999999999998E-2</v>
      </c>
    </row>
    <row r="489" spans="2:14">
      <c r="B489" s="2973"/>
      <c r="C489" s="2973" t="str">
        <f>F459</f>
        <v>2栋</v>
      </c>
      <c r="D489" s="2974"/>
      <c r="E489" s="2974">
        <f>K459</f>
        <v>176.84</v>
      </c>
      <c r="F489" s="2970">
        <f t="shared" si="0"/>
        <v>176.84</v>
      </c>
      <c r="G489" s="2953" t="s">
        <v>4453</v>
      </c>
      <c r="K489" s="2978">
        <v>0.3</v>
      </c>
      <c r="M489" s="2977">
        <f t="shared" si="1"/>
        <v>0.5</v>
      </c>
      <c r="N489" s="2953">
        <f t="shared" si="2"/>
        <v>2E-3</v>
      </c>
    </row>
    <row r="490" spans="2:14">
      <c r="B490" s="2973"/>
      <c r="C490" s="2973" t="str">
        <f>F465</f>
        <v>3栋</v>
      </c>
      <c r="D490" s="2974"/>
      <c r="E490" s="2974">
        <f>K465</f>
        <v>290.05</v>
      </c>
      <c r="F490" s="2970">
        <f t="shared" si="0"/>
        <v>290.05</v>
      </c>
      <c r="G490" s="2953" t="s">
        <v>4453</v>
      </c>
      <c r="K490" s="2978">
        <v>0.3</v>
      </c>
      <c r="M490" s="2977">
        <f t="shared" si="1"/>
        <v>0.5</v>
      </c>
      <c r="N490" s="2953">
        <f t="shared" si="2"/>
        <v>3.0000000000000001E-3</v>
      </c>
    </row>
    <row r="491" spans="2:14">
      <c r="B491" s="2973"/>
      <c r="C491" s="2973" t="str">
        <f>F185</f>
        <v>4栋</v>
      </c>
      <c r="D491" s="2974">
        <f>K185</f>
        <v>3945.3100000000027</v>
      </c>
      <c r="E491" s="2974">
        <f>K470</f>
        <v>235.53999999999996</v>
      </c>
      <c r="F491" s="2970">
        <f t="shared" si="0"/>
        <v>4180.8500000000022</v>
      </c>
      <c r="G491" s="2953">
        <v>32</v>
      </c>
      <c r="H491" s="2953">
        <v>32</v>
      </c>
      <c r="K491" s="2979">
        <f>ROUND(H491/G491*$L$479,2)</f>
        <v>0.3</v>
      </c>
      <c r="M491" s="2977">
        <f t="shared" si="1"/>
        <v>0.5</v>
      </c>
      <c r="N491" s="2953">
        <f t="shared" si="2"/>
        <v>4.1000000000000002E-2</v>
      </c>
    </row>
    <row r="492" spans="2:14">
      <c r="B492" s="2973"/>
      <c r="C492" s="2973" t="str">
        <f>F474</f>
        <v>5栋</v>
      </c>
      <c r="D492" s="2974"/>
      <c r="E492" s="2974">
        <f>K474</f>
        <v>198.57</v>
      </c>
      <c r="F492" s="2970">
        <f t="shared" si="0"/>
        <v>198.57</v>
      </c>
      <c r="G492" s="2953" t="s">
        <v>4453</v>
      </c>
      <c r="K492" s="2978">
        <v>0.3</v>
      </c>
      <c r="M492" s="2977">
        <f t="shared" si="1"/>
        <v>0.5</v>
      </c>
      <c r="N492" s="2953">
        <f t="shared" si="2"/>
        <v>2E-3</v>
      </c>
    </row>
    <row r="493" spans="2:14">
      <c r="B493" s="2973"/>
      <c r="C493" s="2973" t="str">
        <f>F293</f>
        <v>7栋</v>
      </c>
      <c r="D493" s="2974">
        <f>K293</f>
        <v>10873.409999999998</v>
      </c>
      <c r="E493" s="2973"/>
      <c r="F493" s="2970">
        <f t="shared" si="0"/>
        <v>10873.409999999998</v>
      </c>
      <c r="G493" s="2953">
        <v>28</v>
      </c>
      <c r="H493" s="2953">
        <v>28</v>
      </c>
      <c r="K493" s="2979">
        <f>ROUND(H493/G493*$L$479,2)</f>
        <v>0.3</v>
      </c>
      <c r="M493" s="2977">
        <f t="shared" si="1"/>
        <v>0.5</v>
      </c>
      <c r="N493" s="2953">
        <f t="shared" si="2"/>
        <v>0.108</v>
      </c>
    </row>
    <row r="494" spans="2:14">
      <c r="B494" s="2973"/>
      <c r="C494" s="2973" t="str">
        <f>F345</f>
        <v>8栋</v>
      </c>
      <c r="D494" s="2974">
        <f>K345</f>
        <v>5898.3900000000031</v>
      </c>
      <c r="E494" s="2973"/>
      <c r="F494" s="2970">
        <f t="shared" si="0"/>
        <v>5898.3900000000031</v>
      </c>
      <c r="G494" s="2953">
        <v>29</v>
      </c>
      <c r="H494" s="2953">
        <v>27</v>
      </c>
      <c r="K494" s="2979">
        <f>ROUND(H494/G494*$L$479,2)</f>
        <v>0.28000000000000003</v>
      </c>
      <c r="M494" s="2977">
        <f t="shared" si="1"/>
        <v>0.48000000000000004</v>
      </c>
      <c r="N494" s="2953">
        <f t="shared" si="2"/>
        <v>5.6000000000000001E-2</v>
      </c>
    </row>
    <row r="495" spans="2:14">
      <c r="B495" s="2973"/>
      <c r="C495" s="2973" t="str">
        <f>F452</f>
        <v>9栋</v>
      </c>
      <c r="D495" s="2974">
        <f>K452</f>
        <v>12336.520000000013</v>
      </c>
      <c r="E495" s="2974">
        <f>K477</f>
        <v>119.32</v>
      </c>
      <c r="F495" s="2970">
        <f t="shared" si="0"/>
        <v>12455.840000000013</v>
      </c>
      <c r="G495" s="2953">
        <v>29</v>
      </c>
      <c r="H495" s="2953">
        <v>29</v>
      </c>
      <c r="K495" s="2979">
        <f>ROUND(H495/G495*$L$479,2)</f>
        <v>0.3</v>
      </c>
      <c r="M495" s="2977">
        <f t="shared" si="1"/>
        <v>0.5</v>
      </c>
      <c r="N495" s="2953">
        <f t="shared" si="2"/>
        <v>0.124</v>
      </c>
    </row>
    <row r="496" spans="2:14">
      <c r="B496" s="2971" t="s">
        <v>4438</v>
      </c>
      <c r="C496" s="2972">
        <f>SUM(D496:E496)</f>
        <v>50398.450000000012</v>
      </c>
      <c r="D496" s="2972">
        <f>SUM(D480:D495)</f>
        <v>46788.580000000009</v>
      </c>
      <c r="E496" s="2972">
        <f>SUM(E480:E495)</f>
        <v>3609.8700000000008</v>
      </c>
      <c r="N496" s="2953">
        <f>SUM(N480:N495)</f>
        <v>0.46700000000000003</v>
      </c>
    </row>
  </sheetData>
  <autoFilter ref="A1:AF476"/>
  <phoneticPr fontId="143"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topLeftCell="A43" workbookViewId="0">
      <selection activeCell="B94" sqref="B94"/>
    </sheetView>
  </sheetViews>
  <sheetFormatPr defaultRowHeight="13.5"/>
  <cols>
    <col min="1" max="1" width="18.75" customWidth="1"/>
    <col min="2" max="2" width="35.625" customWidth="1"/>
    <col min="3" max="3" width="17.75" customWidth="1"/>
    <col min="4" max="4" width="20" customWidth="1"/>
    <col min="10" max="10" width="12.125" customWidth="1"/>
  </cols>
  <sheetData>
    <row r="1" spans="1:20" s="1623" customFormat="1">
      <c r="A1" s="1623" t="s">
        <v>3069</v>
      </c>
      <c r="B1" s="1623" t="s">
        <v>3070</v>
      </c>
      <c r="C1" s="1623" t="s">
        <v>3071</v>
      </c>
      <c r="D1" s="2941" t="s">
        <v>3072</v>
      </c>
      <c r="E1" s="1623" t="s">
        <v>3073</v>
      </c>
      <c r="F1" s="1623" t="s">
        <v>3074</v>
      </c>
      <c r="G1" s="1623" t="s">
        <v>3075</v>
      </c>
      <c r="H1" s="1623" t="s">
        <v>3076</v>
      </c>
      <c r="I1" s="1623" t="s">
        <v>3077</v>
      </c>
      <c r="J1" s="1623" t="s">
        <v>3078</v>
      </c>
      <c r="K1" s="1623" t="s">
        <v>3079</v>
      </c>
      <c r="L1" s="1623" t="s">
        <v>3080</v>
      </c>
      <c r="M1" s="1623" t="s">
        <v>3081</v>
      </c>
      <c r="N1" s="1623" t="s">
        <v>3082</v>
      </c>
      <c r="O1" s="1623" t="s">
        <v>3083</v>
      </c>
      <c r="P1" s="1623" t="s">
        <v>3084</v>
      </c>
      <c r="Q1" s="1623" t="s">
        <v>3085</v>
      </c>
    </row>
    <row r="2" spans="1:20" s="1623" customFormat="1">
      <c r="A2" s="1623" t="s">
        <v>4531</v>
      </c>
      <c r="B2" s="1623" t="s">
        <v>3087</v>
      </c>
      <c r="C2" s="1623" t="s">
        <v>3088</v>
      </c>
      <c r="D2" s="1623" t="s">
        <v>4532</v>
      </c>
      <c r="E2" s="1623" t="s">
        <v>3109</v>
      </c>
      <c r="F2" s="1623">
        <v>68292</v>
      </c>
      <c r="G2" s="1623">
        <v>170730</v>
      </c>
      <c r="H2" s="1623">
        <v>2.5</v>
      </c>
      <c r="I2" s="1623" t="s">
        <v>1327</v>
      </c>
      <c r="J2" s="1623" t="s">
        <v>4533</v>
      </c>
      <c r="K2" s="1623" t="s">
        <v>4534</v>
      </c>
      <c r="L2" s="1623">
        <v>53035.73</v>
      </c>
      <c r="M2" s="1623">
        <v>517.73</v>
      </c>
      <c r="N2" s="1623">
        <v>3106.4</v>
      </c>
      <c r="O2" s="1623">
        <v>1.83</v>
      </c>
      <c r="P2" s="1623" t="s">
        <v>3093</v>
      </c>
      <c r="Q2" s="1623" t="s">
        <v>1327</v>
      </c>
      <c r="R2" s="1623" t="s">
        <v>1327</v>
      </c>
      <c r="S2" s="1623" t="s">
        <v>1327</v>
      </c>
      <c r="T2" s="1623" t="s">
        <v>3186</v>
      </c>
    </row>
    <row r="3" spans="1:20" s="1623" customFormat="1">
      <c r="A3" s="1623" t="s">
        <v>3095</v>
      </c>
      <c r="B3" s="1623" t="s">
        <v>3087</v>
      </c>
      <c r="C3" s="1623" t="s">
        <v>3088</v>
      </c>
      <c r="D3" s="1623" t="s">
        <v>3096</v>
      </c>
      <c r="E3" s="1623" t="s">
        <v>3097</v>
      </c>
      <c r="F3" s="1623">
        <v>127454.1</v>
      </c>
      <c r="G3" s="1623">
        <v>318635.3</v>
      </c>
      <c r="H3" s="1623">
        <v>2.5</v>
      </c>
      <c r="I3" s="1623" t="s">
        <v>1327</v>
      </c>
      <c r="J3" s="1623" t="s">
        <v>3091</v>
      </c>
      <c r="K3" s="1623" t="s">
        <v>3092</v>
      </c>
      <c r="L3" s="1623">
        <v>91735.1</v>
      </c>
      <c r="M3" s="1623">
        <v>479.83</v>
      </c>
      <c r="N3" s="1623">
        <v>2879</v>
      </c>
      <c r="O3" s="1623">
        <v>81.819999999999993</v>
      </c>
      <c r="P3" s="1623" t="s">
        <v>3093</v>
      </c>
      <c r="Q3" s="1623" t="s">
        <v>3094</v>
      </c>
    </row>
    <row r="4" spans="1:20" s="1623" customFormat="1" ht="18" customHeight="1">
      <c r="A4" s="1623" t="s">
        <v>3115</v>
      </c>
      <c r="B4" s="1623" t="s">
        <v>3087</v>
      </c>
      <c r="C4" s="1623" t="s">
        <v>3088</v>
      </c>
      <c r="D4" s="1623" t="s">
        <v>3116</v>
      </c>
      <c r="E4" s="1623" t="s">
        <v>3109</v>
      </c>
      <c r="F4" s="1623">
        <v>40588</v>
      </c>
      <c r="G4" s="1623">
        <v>101470</v>
      </c>
      <c r="H4" s="1623">
        <v>2.5</v>
      </c>
      <c r="I4" s="1623" t="s">
        <v>3117</v>
      </c>
      <c r="J4" s="1623" t="s">
        <v>3118</v>
      </c>
      <c r="K4" s="1623" t="s">
        <v>3119</v>
      </c>
      <c r="L4" s="1623">
        <v>32105.11</v>
      </c>
      <c r="M4" s="1623">
        <v>527.33000000000004</v>
      </c>
      <c r="N4" s="1623">
        <v>3164</v>
      </c>
      <c r="O4" s="1623">
        <v>2.06</v>
      </c>
      <c r="P4" s="1623" t="s">
        <v>3093</v>
      </c>
      <c r="Q4" s="1623" t="s">
        <v>3094</v>
      </c>
    </row>
    <row r="7" spans="1:20" s="1623" customFormat="1">
      <c r="A7" s="1623" t="s">
        <v>3069</v>
      </c>
      <c r="B7" s="1623" t="s">
        <v>3070</v>
      </c>
      <c r="C7" s="1623" t="s">
        <v>3071</v>
      </c>
      <c r="D7" s="1623" t="s">
        <v>3105</v>
      </c>
      <c r="E7" s="1623" t="s">
        <v>3073</v>
      </c>
      <c r="F7" s="1623" t="s">
        <v>3074</v>
      </c>
      <c r="G7" s="1623" t="s">
        <v>3075</v>
      </c>
      <c r="H7" s="1623" t="s">
        <v>3076</v>
      </c>
      <c r="I7" s="1623" t="s">
        <v>3077</v>
      </c>
      <c r="J7" s="1623" t="s">
        <v>3078</v>
      </c>
      <c r="K7" s="1623" t="s">
        <v>3079</v>
      </c>
      <c r="L7" s="1623" t="s">
        <v>3080</v>
      </c>
      <c r="M7" s="1623" t="s">
        <v>3081</v>
      </c>
      <c r="N7" s="1623" t="s">
        <v>3082</v>
      </c>
      <c r="O7" s="1623" t="s">
        <v>3083</v>
      </c>
      <c r="P7" s="1623" t="s">
        <v>3084</v>
      </c>
      <c r="Q7" s="1623" t="s">
        <v>3085</v>
      </c>
    </row>
    <row r="8" spans="1:20" s="1623" customFormat="1">
      <c r="A8" s="2942" t="s">
        <v>3086</v>
      </c>
      <c r="B8" s="1623" t="s">
        <v>3087</v>
      </c>
      <c r="C8" s="1623" t="s">
        <v>3088</v>
      </c>
      <c r="D8" s="1623" t="s">
        <v>3089</v>
      </c>
      <c r="E8" s="1623" t="s">
        <v>3090</v>
      </c>
      <c r="F8" s="1623">
        <v>32715.51</v>
      </c>
      <c r="G8" s="1623">
        <v>65431.02</v>
      </c>
      <c r="H8" s="1623" t="s">
        <v>3106</v>
      </c>
      <c r="I8" s="1623" t="s">
        <v>1327</v>
      </c>
      <c r="J8" s="1623" t="s">
        <v>3091</v>
      </c>
      <c r="K8" s="1623" t="s">
        <v>3092</v>
      </c>
      <c r="L8" s="1623">
        <v>16410.09</v>
      </c>
      <c r="M8" s="1623">
        <v>334.4</v>
      </c>
      <c r="N8" s="1623">
        <v>2508</v>
      </c>
      <c r="O8" s="1623" t="s">
        <v>1327</v>
      </c>
      <c r="P8" s="1623" t="s">
        <v>3093</v>
      </c>
      <c r="Q8" s="1623" t="s">
        <v>3094</v>
      </c>
    </row>
    <row r="9" spans="1:20" s="1623" customFormat="1">
      <c r="A9" s="1623" t="s">
        <v>3095</v>
      </c>
      <c r="B9" s="1623" t="s">
        <v>3087</v>
      </c>
      <c r="C9" s="1623" t="s">
        <v>3088</v>
      </c>
      <c r="D9" s="1623" t="s">
        <v>3096</v>
      </c>
      <c r="E9" s="1623" t="s">
        <v>3097</v>
      </c>
      <c r="F9" s="1623">
        <v>127454.1</v>
      </c>
      <c r="G9" s="1623">
        <v>318635.3</v>
      </c>
      <c r="H9" s="1623" t="s">
        <v>3107</v>
      </c>
      <c r="I9" s="1623" t="s">
        <v>1327</v>
      </c>
      <c r="J9" s="1623" t="s">
        <v>3091</v>
      </c>
      <c r="K9" s="1623" t="s">
        <v>3092</v>
      </c>
      <c r="L9" s="1623">
        <v>91735.1</v>
      </c>
      <c r="M9" s="1623">
        <v>479.83</v>
      </c>
      <c r="N9" s="1623">
        <v>2879</v>
      </c>
      <c r="O9" s="1623">
        <v>81.819999999999993</v>
      </c>
      <c r="P9" s="1623" t="s">
        <v>3093</v>
      </c>
      <c r="Q9" s="1623" t="s">
        <v>3094</v>
      </c>
    </row>
    <row r="10" spans="1:20" s="1623" customFormat="1">
      <c r="A10" s="2941" t="s">
        <v>4456</v>
      </c>
      <c r="B10" s="1623" t="s">
        <v>3087</v>
      </c>
      <c r="C10" s="1623" t="s">
        <v>3088</v>
      </c>
      <c r="D10" s="1623" t="s">
        <v>3108</v>
      </c>
      <c r="E10" s="1623" t="s">
        <v>3109</v>
      </c>
      <c r="F10" s="1623">
        <v>6452.9</v>
      </c>
      <c r="G10" s="1623">
        <v>16132.25</v>
      </c>
      <c r="H10" s="1623" t="s">
        <v>3110</v>
      </c>
      <c r="I10" s="1623" t="s">
        <v>1327</v>
      </c>
      <c r="J10" s="1623" t="s">
        <v>3111</v>
      </c>
      <c r="K10" s="1623" t="s">
        <v>3112</v>
      </c>
      <c r="L10" s="1623">
        <v>3442.61</v>
      </c>
      <c r="M10" s="1623">
        <v>355.67</v>
      </c>
      <c r="N10" s="1623">
        <v>2134</v>
      </c>
      <c r="O10" s="1623">
        <v>4.05</v>
      </c>
      <c r="P10" s="1623" t="s">
        <v>3113</v>
      </c>
      <c r="Q10" s="1623" t="s">
        <v>3114</v>
      </c>
    </row>
    <row r="11" spans="1:20" s="1623" customFormat="1" ht="18" customHeight="1">
      <c r="A11" s="1623" t="s">
        <v>3115</v>
      </c>
      <c r="B11" s="1623" t="s">
        <v>3087</v>
      </c>
      <c r="C11" s="1623" t="s">
        <v>3088</v>
      </c>
      <c r="D11" s="1623" t="s">
        <v>3116</v>
      </c>
      <c r="E11" s="1623" t="s">
        <v>3109</v>
      </c>
      <c r="F11" s="1623">
        <v>40588</v>
      </c>
      <c r="G11" s="1623">
        <v>101470</v>
      </c>
      <c r="H11" s="1623" t="s">
        <v>3107</v>
      </c>
      <c r="I11" s="1623" t="s">
        <v>3117</v>
      </c>
      <c r="J11" s="1623" t="s">
        <v>3118</v>
      </c>
      <c r="K11" s="1623" t="s">
        <v>3119</v>
      </c>
      <c r="L11" s="1623">
        <v>32105.11</v>
      </c>
      <c r="M11" s="1623">
        <v>527.33000000000004</v>
      </c>
      <c r="N11" s="1623">
        <v>3164</v>
      </c>
      <c r="O11" s="1623">
        <v>2.06</v>
      </c>
      <c r="P11" s="1623" t="s">
        <v>3093</v>
      </c>
      <c r="Q11" s="1623" t="s">
        <v>3094</v>
      </c>
    </row>
    <row r="12" spans="1:20" s="1623" customFormat="1">
      <c r="A12" s="1623" t="s">
        <v>3120</v>
      </c>
      <c r="B12" s="1623" t="s">
        <v>3087</v>
      </c>
      <c r="C12" s="1623" t="s">
        <v>3088</v>
      </c>
      <c r="D12" s="1623" t="s">
        <v>3121</v>
      </c>
      <c r="E12" s="1623" t="s">
        <v>3109</v>
      </c>
      <c r="F12" s="1623">
        <v>7676</v>
      </c>
      <c r="G12" s="1623">
        <v>16887.2</v>
      </c>
      <c r="H12" s="1623" t="s">
        <v>3122</v>
      </c>
      <c r="I12" s="1623" t="s">
        <v>3117</v>
      </c>
      <c r="J12" s="1623" t="s">
        <v>3118</v>
      </c>
      <c r="K12" s="1623" t="s">
        <v>3123</v>
      </c>
      <c r="L12" s="1623">
        <v>8391.25</v>
      </c>
      <c r="M12" s="1623">
        <v>728.79</v>
      </c>
      <c r="N12" s="1623">
        <v>4969</v>
      </c>
      <c r="O12" s="1623">
        <v>3.52</v>
      </c>
      <c r="P12" s="1623" t="s">
        <v>3093</v>
      </c>
      <c r="Q12" s="1623" t="s">
        <v>3114</v>
      </c>
    </row>
    <row r="13" spans="1:20" s="2944" customFormat="1" ht="12.75">
      <c r="A13" s="2944" t="s">
        <v>3124</v>
      </c>
      <c r="B13" s="2944" t="s">
        <v>3087</v>
      </c>
      <c r="C13" s="2944" t="s">
        <v>3088</v>
      </c>
      <c r="D13" s="2944" t="s">
        <v>3125</v>
      </c>
      <c r="E13" s="2944" t="s">
        <v>3109</v>
      </c>
      <c r="F13" s="2944">
        <v>61831</v>
      </c>
      <c r="G13" s="2944">
        <v>77288.75</v>
      </c>
      <c r="H13" s="2944" t="s">
        <v>3126</v>
      </c>
      <c r="I13" s="2944" t="s">
        <v>3117</v>
      </c>
      <c r="J13" s="2944" t="s">
        <v>3127</v>
      </c>
      <c r="K13" s="2944" t="s">
        <v>3128</v>
      </c>
      <c r="L13" s="2944">
        <v>10093.9</v>
      </c>
      <c r="M13" s="2944">
        <v>108.83</v>
      </c>
      <c r="N13" s="2944">
        <v>1306</v>
      </c>
      <c r="O13" s="2944">
        <v>3.32</v>
      </c>
      <c r="P13" s="2944" t="s">
        <v>3129</v>
      </c>
      <c r="Q13" s="2944" t="s">
        <v>3094</v>
      </c>
    </row>
    <row r="14" spans="1:20" s="1623" customFormat="1">
      <c r="A14" s="1623" t="s">
        <v>3124</v>
      </c>
      <c r="B14" s="1623" t="s">
        <v>3087</v>
      </c>
      <c r="C14" s="1623" t="s">
        <v>3088</v>
      </c>
      <c r="D14" s="1623" t="s">
        <v>3130</v>
      </c>
      <c r="E14" s="1623" t="s">
        <v>3109</v>
      </c>
      <c r="F14" s="1623">
        <v>16078</v>
      </c>
      <c r="G14" s="1623">
        <v>32156</v>
      </c>
      <c r="H14" s="1623" t="s">
        <v>3131</v>
      </c>
      <c r="I14" s="1623" t="s">
        <v>3117</v>
      </c>
      <c r="J14" s="1623" t="s">
        <v>3127</v>
      </c>
      <c r="K14" s="1623" t="s">
        <v>3132</v>
      </c>
      <c r="L14" s="1623">
        <v>4183.5</v>
      </c>
      <c r="M14" s="1623">
        <v>173.47</v>
      </c>
      <c r="N14" s="1623">
        <v>1301</v>
      </c>
      <c r="O14" s="1623">
        <v>4</v>
      </c>
      <c r="P14" s="1623" t="s">
        <v>3129</v>
      </c>
      <c r="Q14" s="1623" t="s">
        <v>3094</v>
      </c>
    </row>
    <row r="15" spans="1:20" s="2943" customFormat="1">
      <c r="A15" s="2943" t="s">
        <v>3098</v>
      </c>
      <c r="B15" s="2943" t="s">
        <v>3099</v>
      </c>
      <c r="C15" s="2943" t="s">
        <v>3088</v>
      </c>
      <c r="D15" s="2943" t="s">
        <v>3100</v>
      </c>
      <c r="E15" s="2943" t="s">
        <v>3101</v>
      </c>
      <c r="F15" s="2943">
        <v>111891</v>
      </c>
      <c r="G15" s="2943">
        <v>246160.2</v>
      </c>
      <c r="H15" s="2943" t="s">
        <v>3133</v>
      </c>
      <c r="I15" s="2943" t="s">
        <v>1327</v>
      </c>
      <c r="J15" s="2943" t="s">
        <v>3102</v>
      </c>
      <c r="K15" s="2943" t="s">
        <v>3103</v>
      </c>
      <c r="L15" s="2943">
        <v>57281.48</v>
      </c>
      <c r="M15" s="2943">
        <v>341.29</v>
      </c>
      <c r="N15" s="2943">
        <v>2327</v>
      </c>
      <c r="O15" s="2943">
        <v>1.84</v>
      </c>
      <c r="P15" s="2943" t="s">
        <v>3104</v>
      </c>
      <c r="Q15" s="2943" t="s">
        <v>3094</v>
      </c>
    </row>
    <row r="16" spans="1:20" s="2943" customFormat="1">
      <c r="A16" s="2943" t="s">
        <v>3098</v>
      </c>
      <c r="B16" s="2943" t="s">
        <v>3099</v>
      </c>
      <c r="C16" s="2943" t="s">
        <v>3088</v>
      </c>
      <c r="D16" s="2943" t="s">
        <v>3134</v>
      </c>
      <c r="E16" s="2943" t="s">
        <v>3101</v>
      </c>
      <c r="F16" s="2943">
        <v>89724</v>
      </c>
      <c r="G16" s="2943">
        <v>197392.8</v>
      </c>
      <c r="H16" s="2943" t="s">
        <v>3133</v>
      </c>
      <c r="I16" s="2943" t="s">
        <v>1327</v>
      </c>
      <c r="J16" s="2943" t="s">
        <v>3102</v>
      </c>
      <c r="K16" s="2943" t="s">
        <v>3103</v>
      </c>
      <c r="L16" s="2943">
        <v>45874.080000000002</v>
      </c>
      <c r="M16" s="2943">
        <v>340.85</v>
      </c>
      <c r="N16" s="2943">
        <v>2324</v>
      </c>
      <c r="O16" s="2943">
        <v>1.89</v>
      </c>
      <c r="P16" s="2943" t="s">
        <v>3104</v>
      </c>
      <c r="Q16" s="2943" t="s">
        <v>3094</v>
      </c>
    </row>
    <row r="17" spans="1:17" s="2943" customFormat="1">
      <c r="A17" s="2943" t="s">
        <v>3098</v>
      </c>
      <c r="B17" s="2943" t="s">
        <v>3099</v>
      </c>
      <c r="C17" s="2943" t="s">
        <v>3088</v>
      </c>
      <c r="D17" s="2943" t="s">
        <v>3135</v>
      </c>
      <c r="E17" s="2943" t="s">
        <v>3101</v>
      </c>
      <c r="F17" s="2943">
        <v>93382</v>
      </c>
      <c r="G17" s="2943">
        <v>168087.6</v>
      </c>
      <c r="H17" s="2943" t="s">
        <v>3136</v>
      </c>
      <c r="I17" s="2943" t="s">
        <v>1327</v>
      </c>
      <c r="J17" s="2943" t="s">
        <v>3102</v>
      </c>
      <c r="K17" s="2943" t="s">
        <v>3103</v>
      </c>
      <c r="L17" s="2943">
        <v>39080.370000000003</v>
      </c>
      <c r="M17" s="2943">
        <v>279</v>
      </c>
      <c r="N17" s="2943">
        <v>2325</v>
      </c>
      <c r="O17" s="2943">
        <v>1.97</v>
      </c>
      <c r="P17" s="2943" t="s">
        <v>3104</v>
      </c>
      <c r="Q17" s="2943" t="s">
        <v>3094</v>
      </c>
    </row>
    <row r="18" spans="1:17" s="2943" customFormat="1">
      <c r="A18" s="2943" t="s">
        <v>3098</v>
      </c>
      <c r="B18" s="2943" t="s">
        <v>3099</v>
      </c>
      <c r="C18" s="2943" t="s">
        <v>3088</v>
      </c>
      <c r="D18" s="2943" t="s">
        <v>3137</v>
      </c>
      <c r="E18" s="2943" t="s">
        <v>3101</v>
      </c>
      <c r="F18" s="2943">
        <v>87447</v>
      </c>
      <c r="G18" s="2943">
        <v>174894</v>
      </c>
      <c r="H18" s="2943" t="s">
        <v>3138</v>
      </c>
      <c r="I18" s="2943" t="s">
        <v>1327</v>
      </c>
      <c r="J18" s="2943" t="s">
        <v>3102</v>
      </c>
      <c r="K18" s="2943" t="s">
        <v>3103</v>
      </c>
      <c r="L18" s="2943">
        <v>37252.410000000003</v>
      </c>
      <c r="M18" s="2943">
        <v>284</v>
      </c>
      <c r="N18" s="2943">
        <v>2130</v>
      </c>
      <c r="O18" s="2943">
        <v>2.0099999999999998</v>
      </c>
      <c r="P18" s="2943" t="s">
        <v>3104</v>
      </c>
      <c r="Q18" s="2943" t="s">
        <v>3094</v>
      </c>
    </row>
    <row r="19" spans="1:17" s="2943" customFormat="1">
      <c r="A19" s="2943" t="s">
        <v>3098</v>
      </c>
      <c r="B19" s="2943" t="s">
        <v>3099</v>
      </c>
      <c r="C19" s="2943" t="s">
        <v>3088</v>
      </c>
      <c r="D19" s="2943" t="s">
        <v>3139</v>
      </c>
      <c r="E19" s="2943" t="s">
        <v>3101</v>
      </c>
      <c r="F19" s="2943">
        <v>102287</v>
      </c>
      <c r="G19" s="2943">
        <v>225031.4</v>
      </c>
      <c r="H19" s="2943" t="s">
        <v>3133</v>
      </c>
      <c r="I19" s="2943" t="s">
        <v>1327</v>
      </c>
      <c r="J19" s="2943" t="s">
        <v>3102</v>
      </c>
      <c r="K19" s="2943" t="s">
        <v>3103</v>
      </c>
      <c r="L19" s="2943">
        <v>51667.199999999997</v>
      </c>
      <c r="M19" s="2943">
        <v>336.75</v>
      </c>
      <c r="N19" s="2943">
        <v>2296</v>
      </c>
      <c r="O19" s="2943">
        <v>1.86</v>
      </c>
      <c r="P19" s="2943" t="s">
        <v>3104</v>
      </c>
      <c r="Q19" s="2943" t="s">
        <v>3094</v>
      </c>
    </row>
    <row r="20" spans="1:17" s="2943" customFormat="1">
      <c r="A20" s="2943" t="s">
        <v>3098</v>
      </c>
      <c r="B20" s="2943" t="s">
        <v>3099</v>
      </c>
      <c r="C20" s="2943" t="s">
        <v>3088</v>
      </c>
      <c r="D20" s="2943" t="s">
        <v>3140</v>
      </c>
      <c r="E20" s="2943" t="s">
        <v>3101</v>
      </c>
      <c r="F20" s="2943">
        <v>35975</v>
      </c>
      <c r="G20" s="2943">
        <v>71950</v>
      </c>
      <c r="H20" s="2943" t="s">
        <v>3138</v>
      </c>
      <c r="I20" s="2943" t="s">
        <v>1327</v>
      </c>
      <c r="J20" s="2943" t="s">
        <v>3102</v>
      </c>
      <c r="K20" s="2943" t="s">
        <v>3103</v>
      </c>
      <c r="L20" s="2943">
        <v>15397.29</v>
      </c>
      <c r="M20" s="2943">
        <v>285.33</v>
      </c>
      <c r="N20" s="2943">
        <v>2140</v>
      </c>
      <c r="O20" s="2943">
        <v>2.69</v>
      </c>
      <c r="P20" s="2943" t="s">
        <v>3104</v>
      </c>
      <c r="Q20" s="2943" t="s">
        <v>3094</v>
      </c>
    </row>
    <row r="21" spans="1:17" s="2943" customFormat="1">
      <c r="A21" s="2943" t="s">
        <v>3098</v>
      </c>
      <c r="B21" s="2943" t="s">
        <v>3099</v>
      </c>
      <c r="C21" s="2943" t="s">
        <v>3088</v>
      </c>
      <c r="D21" s="2943" t="s">
        <v>3141</v>
      </c>
      <c r="E21" s="2943" t="s">
        <v>3101</v>
      </c>
      <c r="F21" s="2943">
        <v>134006</v>
      </c>
      <c r="G21" s="2943">
        <v>268012</v>
      </c>
      <c r="H21" s="2943" t="s">
        <v>3138</v>
      </c>
      <c r="I21" s="2943" t="s">
        <v>1327</v>
      </c>
      <c r="J21" s="2943" t="s">
        <v>3102</v>
      </c>
      <c r="K21" s="2943" t="s">
        <v>3103</v>
      </c>
      <c r="L21" s="2943">
        <v>59069.83</v>
      </c>
      <c r="M21" s="2943">
        <v>293.87</v>
      </c>
      <c r="N21" s="2943">
        <v>2204</v>
      </c>
      <c r="O21" s="2943">
        <v>1.8</v>
      </c>
      <c r="P21" s="2943" t="s">
        <v>3104</v>
      </c>
      <c r="Q21" s="2943" t="s">
        <v>3094</v>
      </c>
    </row>
    <row r="22" spans="1:17" s="2943" customFormat="1">
      <c r="A22" s="2943" t="s">
        <v>3098</v>
      </c>
      <c r="B22" s="2943" t="s">
        <v>3099</v>
      </c>
      <c r="C22" s="2943" t="s">
        <v>3088</v>
      </c>
      <c r="D22" s="2943" t="s">
        <v>3142</v>
      </c>
      <c r="E22" s="2943" t="s">
        <v>3101</v>
      </c>
      <c r="F22" s="2943">
        <v>29474</v>
      </c>
      <c r="G22" s="2943">
        <v>64842.8</v>
      </c>
      <c r="H22" s="2943" t="s">
        <v>3133</v>
      </c>
      <c r="I22" s="2943" t="s">
        <v>1327</v>
      </c>
      <c r="J22" s="2943" t="s">
        <v>3102</v>
      </c>
      <c r="K22" s="2943" t="s">
        <v>3103</v>
      </c>
      <c r="L22" s="2943">
        <v>15043.53</v>
      </c>
      <c r="M22" s="2943">
        <v>340.27</v>
      </c>
      <c r="N22" s="2943">
        <v>2320</v>
      </c>
      <c r="O22" s="2943">
        <v>2.72</v>
      </c>
      <c r="P22" s="2943" t="s">
        <v>3104</v>
      </c>
      <c r="Q22" s="2943" t="s">
        <v>3094</v>
      </c>
    </row>
    <row r="23" spans="1:17" s="2943" customFormat="1">
      <c r="A23" s="2943" t="s">
        <v>3098</v>
      </c>
      <c r="B23" s="2943" t="s">
        <v>3099</v>
      </c>
      <c r="C23" s="2943" t="s">
        <v>3088</v>
      </c>
      <c r="D23" s="2943" t="s">
        <v>3143</v>
      </c>
      <c r="E23" s="2943" t="s">
        <v>3101</v>
      </c>
      <c r="F23" s="2943">
        <v>10549</v>
      </c>
      <c r="G23" s="2943">
        <v>18988.2</v>
      </c>
      <c r="H23" s="2943" t="s">
        <v>3136</v>
      </c>
      <c r="I23" s="2943" t="s">
        <v>1327</v>
      </c>
      <c r="J23" s="2943" t="s">
        <v>3102</v>
      </c>
      <c r="K23" s="2943" t="s">
        <v>3103</v>
      </c>
      <c r="L23" s="2943">
        <v>4240.0600000000004</v>
      </c>
      <c r="M23" s="2943">
        <v>267.95999999999998</v>
      </c>
      <c r="N23" s="2943">
        <v>2233</v>
      </c>
      <c r="O23" s="2943">
        <v>3.96</v>
      </c>
      <c r="P23" s="2943" t="s">
        <v>3104</v>
      </c>
      <c r="Q23" s="2943" t="s">
        <v>3114</v>
      </c>
    </row>
    <row r="24" spans="1:17" s="2943" customFormat="1">
      <c r="A24" s="2943" t="s">
        <v>3098</v>
      </c>
      <c r="B24" s="2943" t="s">
        <v>3099</v>
      </c>
      <c r="C24" s="2943" t="s">
        <v>3088</v>
      </c>
      <c r="D24" s="2943" t="s">
        <v>3144</v>
      </c>
      <c r="E24" s="2943" t="s">
        <v>3101</v>
      </c>
      <c r="F24" s="2943">
        <v>13439</v>
      </c>
      <c r="G24" s="2943">
        <v>29565.8</v>
      </c>
      <c r="H24" s="2943" t="s">
        <v>3133</v>
      </c>
      <c r="I24" s="2943" t="s">
        <v>1327</v>
      </c>
      <c r="J24" s="2943" t="s">
        <v>3102</v>
      </c>
      <c r="K24" s="2943" t="s">
        <v>3103</v>
      </c>
      <c r="L24" s="2943">
        <v>6995.27</v>
      </c>
      <c r="M24" s="2943">
        <v>347.01</v>
      </c>
      <c r="N24" s="2943">
        <v>2366</v>
      </c>
      <c r="O24" s="2943">
        <v>3.64</v>
      </c>
      <c r="P24" s="2943" t="s">
        <v>3104</v>
      </c>
      <c r="Q24" s="2943" t="s">
        <v>3094</v>
      </c>
    </row>
    <row r="25" spans="1:17" s="2943" customFormat="1">
      <c r="A25" s="2943" t="s">
        <v>3098</v>
      </c>
      <c r="B25" s="2943" t="s">
        <v>3099</v>
      </c>
      <c r="C25" s="2943" t="s">
        <v>3088</v>
      </c>
      <c r="D25" s="2943" t="s">
        <v>3145</v>
      </c>
      <c r="E25" s="2943" t="s">
        <v>3101</v>
      </c>
      <c r="F25" s="2943">
        <v>60237</v>
      </c>
      <c r="G25" s="2943">
        <v>108426.6</v>
      </c>
      <c r="H25" s="2943" t="s">
        <v>3136</v>
      </c>
      <c r="I25" s="2943" t="s">
        <v>1327</v>
      </c>
      <c r="J25" s="2943" t="s">
        <v>3102</v>
      </c>
      <c r="K25" s="2943" t="s">
        <v>3103</v>
      </c>
      <c r="L25" s="2943">
        <v>19625.2</v>
      </c>
      <c r="M25" s="2943">
        <v>217.2</v>
      </c>
      <c r="N25" s="2943">
        <v>1810</v>
      </c>
      <c r="O25" s="2943">
        <v>2.4300000000000002</v>
      </c>
      <c r="P25" s="2943" t="s">
        <v>3104</v>
      </c>
      <c r="Q25" s="2943" t="s">
        <v>3114</v>
      </c>
    </row>
    <row r="26" spans="1:17" s="2943" customFormat="1">
      <c r="A26" s="2943" t="s">
        <v>3098</v>
      </c>
      <c r="B26" s="2943" t="s">
        <v>3099</v>
      </c>
      <c r="C26" s="2943" t="s">
        <v>3088</v>
      </c>
      <c r="D26" s="2943" t="s">
        <v>3146</v>
      </c>
      <c r="E26" s="2943" t="s">
        <v>3101</v>
      </c>
      <c r="F26" s="2943">
        <v>89357</v>
      </c>
      <c r="G26" s="2943">
        <v>160842.6</v>
      </c>
      <c r="H26" s="2943" t="s">
        <v>3136</v>
      </c>
      <c r="I26" s="2943" t="s">
        <v>1327</v>
      </c>
      <c r="J26" s="2943" t="s">
        <v>3102</v>
      </c>
      <c r="K26" s="2943" t="s">
        <v>3103</v>
      </c>
      <c r="L26" s="2943">
        <v>37363.730000000003</v>
      </c>
      <c r="M26" s="2943">
        <v>278.76</v>
      </c>
      <c r="N26" s="2943">
        <v>2323</v>
      </c>
      <c r="O26" s="2943">
        <v>1.98</v>
      </c>
      <c r="P26" s="2943" t="s">
        <v>3104</v>
      </c>
      <c r="Q26" s="2943" t="s">
        <v>3094</v>
      </c>
    </row>
    <row r="27" spans="1:17" s="2943" customFormat="1">
      <c r="A27" s="2943" t="s">
        <v>3098</v>
      </c>
      <c r="B27" s="2943" t="s">
        <v>3099</v>
      </c>
      <c r="C27" s="2943" t="s">
        <v>3088</v>
      </c>
      <c r="D27" s="2943" t="s">
        <v>3147</v>
      </c>
      <c r="E27" s="2943" t="s">
        <v>3101</v>
      </c>
      <c r="F27" s="2943">
        <v>74634</v>
      </c>
      <c r="G27" s="2943">
        <v>164194.79999999999</v>
      </c>
      <c r="H27" s="2943" t="s">
        <v>3133</v>
      </c>
      <c r="I27" s="2943" t="s">
        <v>1327</v>
      </c>
      <c r="J27" s="2943" t="s">
        <v>3102</v>
      </c>
      <c r="K27" s="2943" t="s">
        <v>3103</v>
      </c>
      <c r="L27" s="2943">
        <v>38240.97</v>
      </c>
      <c r="M27" s="2943">
        <v>341.59</v>
      </c>
      <c r="N27" s="2943">
        <v>2329</v>
      </c>
      <c r="O27" s="2943">
        <v>3.87</v>
      </c>
      <c r="P27" s="2943" t="s">
        <v>3104</v>
      </c>
      <c r="Q27" s="2943" t="s">
        <v>3094</v>
      </c>
    </row>
    <row r="28" spans="1:17" s="2943" customFormat="1">
      <c r="A28" s="2943" t="s">
        <v>3098</v>
      </c>
      <c r="B28" s="2943" t="s">
        <v>3099</v>
      </c>
      <c r="C28" s="2943" t="s">
        <v>3088</v>
      </c>
      <c r="D28" s="2943" t="s">
        <v>3148</v>
      </c>
      <c r="E28" s="2943" t="s">
        <v>3101</v>
      </c>
      <c r="F28" s="2943">
        <v>96402</v>
      </c>
      <c r="G28" s="2943">
        <v>192804</v>
      </c>
      <c r="H28" s="2943" t="s">
        <v>3138</v>
      </c>
      <c r="I28" s="2943" t="s">
        <v>1327</v>
      </c>
      <c r="J28" s="2943" t="s">
        <v>3102</v>
      </c>
      <c r="K28" s="2943" t="s">
        <v>3103</v>
      </c>
      <c r="L28" s="2943">
        <v>35186.730000000003</v>
      </c>
      <c r="M28" s="2943">
        <v>243.33</v>
      </c>
      <c r="N28" s="2943">
        <v>1825</v>
      </c>
      <c r="O28" s="2943">
        <v>2.0099999999999998</v>
      </c>
      <c r="P28" s="2943" t="s">
        <v>3104</v>
      </c>
      <c r="Q28" s="2943" t="s">
        <v>3094</v>
      </c>
    </row>
    <row r="29" spans="1:17" s="1623" customFormat="1">
      <c r="A29" s="1623" t="s">
        <v>3149</v>
      </c>
      <c r="B29" s="1623" t="s">
        <v>3099</v>
      </c>
      <c r="C29" s="1623" t="s">
        <v>3088</v>
      </c>
      <c r="D29" s="1623" t="s">
        <v>3150</v>
      </c>
      <c r="E29" s="1623" t="s">
        <v>3101</v>
      </c>
      <c r="F29" s="1623">
        <v>63089.34</v>
      </c>
      <c r="G29" s="1623">
        <v>126178.7</v>
      </c>
      <c r="H29" s="1623" t="s">
        <v>3151</v>
      </c>
      <c r="I29" s="1623" t="s">
        <v>1327</v>
      </c>
      <c r="J29" s="1623" t="s">
        <v>3152</v>
      </c>
      <c r="K29" s="1623" t="s">
        <v>3153</v>
      </c>
      <c r="L29" s="1623">
        <v>16832.240000000002</v>
      </c>
      <c r="M29" s="1623">
        <v>177.87</v>
      </c>
      <c r="N29" s="1623">
        <v>1334</v>
      </c>
      <c r="O29" s="1623" t="s">
        <v>1327</v>
      </c>
      <c r="P29" s="1623" t="s">
        <v>3104</v>
      </c>
      <c r="Q29" s="1623" t="s">
        <v>3094</v>
      </c>
    </row>
    <row r="30" spans="1:17" s="2944" customFormat="1" ht="12.75">
      <c r="A30" s="2944" t="s">
        <v>3149</v>
      </c>
      <c r="B30" s="2944" t="s">
        <v>3099</v>
      </c>
      <c r="C30" s="2944" t="s">
        <v>3088</v>
      </c>
      <c r="D30" s="2944" t="s">
        <v>3154</v>
      </c>
      <c r="E30" s="2944" t="s">
        <v>3101</v>
      </c>
      <c r="F30" s="2944">
        <v>68921.070000000007</v>
      </c>
      <c r="G30" s="2944">
        <v>192979</v>
      </c>
      <c r="H30" s="2944" t="s">
        <v>3155</v>
      </c>
      <c r="I30" s="2944" t="s">
        <v>1327</v>
      </c>
      <c r="J30" s="2944" t="s">
        <v>3152</v>
      </c>
      <c r="K30" s="2944" t="s">
        <v>3153</v>
      </c>
      <c r="L30" s="2944">
        <v>25724.09</v>
      </c>
      <c r="M30" s="2944">
        <v>248.83</v>
      </c>
      <c r="N30" s="2944">
        <v>1333</v>
      </c>
      <c r="O30" s="2944" t="s">
        <v>1327</v>
      </c>
      <c r="P30" s="2944" t="s">
        <v>3104</v>
      </c>
      <c r="Q30" s="2944" t="s">
        <v>3094</v>
      </c>
    </row>
    <row r="31" spans="1:17" s="2944" customFormat="1" ht="12.75">
      <c r="A31" s="2944" t="s">
        <v>3149</v>
      </c>
      <c r="B31" s="2944" t="s">
        <v>3099</v>
      </c>
      <c r="C31" s="2944" t="s">
        <v>3088</v>
      </c>
      <c r="D31" s="2944" t="s">
        <v>3156</v>
      </c>
      <c r="E31" s="2944" t="s">
        <v>3101</v>
      </c>
      <c r="F31" s="2944">
        <v>153348.9</v>
      </c>
      <c r="G31" s="2944">
        <v>460046.7</v>
      </c>
      <c r="H31" s="2944" t="s">
        <v>3157</v>
      </c>
      <c r="I31" s="2944" t="s">
        <v>1327</v>
      </c>
      <c r="J31" s="2944" t="s">
        <v>3152</v>
      </c>
      <c r="K31" s="2944" t="s">
        <v>3153</v>
      </c>
      <c r="L31" s="2944">
        <v>58793.95</v>
      </c>
      <c r="M31" s="2944">
        <v>255.6</v>
      </c>
      <c r="N31" s="2944">
        <v>1278</v>
      </c>
      <c r="O31" s="2944" t="s">
        <v>1327</v>
      </c>
      <c r="P31" s="2944" t="s">
        <v>3104</v>
      </c>
      <c r="Q31" s="2944" t="s">
        <v>3094</v>
      </c>
    </row>
    <row r="32" spans="1:17" s="2944" customFormat="1" ht="12.75">
      <c r="A32" s="2944" t="s">
        <v>3149</v>
      </c>
      <c r="B32" s="2944" t="s">
        <v>3099</v>
      </c>
      <c r="C32" s="2944" t="s">
        <v>3088</v>
      </c>
      <c r="D32" s="2944" t="s">
        <v>3158</v>
      </c>
      <c r="E32" s="2944" t="s">
        <v>3101</v>
      </c>
      <c r="F32" s="2944">
        <v>36487.96</v>
      </c>
      <c r="G32" s="2944">
        <v>102166.3</v>
      </c>
      <c r="H32" s="2944" t="s">
        <v>3155</v>
      </c>
      <c r="I32" s="2944" t="s">
        <v>1327</v>
      </c>
      <c r="J32" s="2944" t="s">
        <v>3152</v>
      </c>
      <c r="K32" s="2944" t="s">
        <v>3153</v>
      </c>
      <c r="L32" s="2944">
        <v>14752.8</v>
      </c>
      <c r="M32" s="2944">
        <v>269.55</v>
      </c>
      <c r="N32" s="2944">
        <v>1444</v>
      </c>
      <c r="O32" s="2944" t="s">
        <v>1327</v>
      </c>
      <c r="P32" s="2944" t="s">
        <v>3104</v>
      </c>
      <c r="Q32" s="2944" t="s">
        <v>3094</v>
      </c>
    </row>
    <row r="33" spans="1:17" s="1623" customFormat="1">
      <c r="A33" s="1623" t="s">
        <v>3159</v>
      </c>
      <c r="B33" s="1623" t="s">
        <v>3099</v>
      </c>
      <c r="C33" s="1623" t="s">
        <v>3088</v>
      </c>
      <c r="D33" s="1623" t="s">
        <v>3160</v>
      </c>
      <c r="E33" s="1623" t="s">
        <v>3101</v>
      </c>
      <c r="F33" s="1623">
        <v>68505.66</v>
      </c>
      <c r="G33" s="1623">
        <v>137011.29999999999</v>
      </c>
      <c r="H33" s="1623" t="s">
        <v>3151</v>
      </c>
      <c r="I33" s="1623" t="s">
        <v>1327</v>
      </c>
      <c r="J33" s="1623" t="s">
        <v>3161</v>
      </c>
      <c r="K33" s="1623" t="s">
        <v>3153</v>
      </c>
      <c r="L33" s="1623">
        <v>17605.95</v>
      </c>
      <c r="M33" s="1623">
        <v>171.33</v>
      </c>
      <c r="N33" s="1623">
        <v>1285</v>
      </c>
      <c r="O33" s="1623" t="s">
        <v>1327</v>
      </c>
      <c r="P33" s="1623" t="s">
        <v>3104</v>
      </c>
      <c r="Q33" s="1623" t="s">
        <v>3114</v>
      </c>
    </row>
    <row r="34" spans="1:17" s="1623" customFormat="1">
      <c r="A34" s="1623" t="s">
        <v>3159</v>
      </c>
      <c r="B34" s="1623" t="s">
        <v>3099</v>
      </c>
      <c r="C34" s="1623" t="s">
        <v>3088</v>
      </c>
      <c r="D34" s="1623" t="s">
        <v>3162</v>
      </c>
      <c r="E34" s="1623" t="s">
        <v>3101</v>
      </c>
      <c r="F34" s="1623">
        <v>18730.95</v>
      </c>
      <c r="G34" s="1623">
        <v>37461.9</v>
      </c>
      <c r="H34" s="1623" t="s">
        <v>3151</v>
      </c>
      <c r="I34" s="1623" t="s">
        <v>1327</v>
      </c>
      <c r="J34" s="1623" t="s">
        <v>3161</v>
      </c>
      <c r="K34" s="1623" t="s">
        <v>3153</v>
      </c>
      <c r="L34" s="1623">
        <v>5094.8100000000004</v>
      </c>
      <c r="M34" s="1623">
        <v>181.33</v>
      </c>
      <c r="N34" s="1623">
        <v>1360</v>
      </c>
      <c r="O34" s="1623" t="s">
        <v>1327</v>
      </c>
      <c r="P34" s="1623" t="s">
        <v>3104</v>
      </c>
      <c r="Q34" s="1623" t="s">
        <v>3114</v>
      </c>
    </row>
    <row r="35" spans="1:17" s="1623" customFormat="1">
      <c r="A35" s="1623" t="s">
        <v>3159</v>
      </c>
      <c r="B35" s="1623" t="s">
        <v>3099</v>
      </c>
      <c r="C35" s="1623" t="s">
        <v>3088</v>
      </c>
      <c r="D35" s="1623" t="s">
        <v>3163</v>
      </c>
      <c r="E35" s="1623" t="s">
        <v>3101</v>
      </c>
      <c r="F35" s="1623">
        <v>176272</v>
      </c>
      <c r="G35" s="1623">
        <v>352543.9</v>
      </c>
      <c r="H35" s="1623" t="s">
        <v>3151</v>
      </c>
      <c r="I35" s="1623" t="s">
        <v>1327</v>
      </c>
      <c r="J35" s="1623" t="s">
        <v>3161</v>
      </c>
      <c r="K35" s="1623" t="s">
        <v>3153</v>
      </c>
      <c r="L35" s="1623">
        <v>45090.36</v>
      </c>
      <c r="M35" s="1623">
        <v>170.53</v>
      </c>
      <c r="N35" s="1623">
        <v>1279</v>
      </c>
      <c r="O35" s="1623" t="s">
        <v>1327</v>
      </c>
      <c r="P35" s="1623" t="s">
        <v>3104</v>
      </c>
      <c r="Q35" s="1623" t="s">
        <v>3114</v>
      </c>
    </row>
    <row r="36" spans="1:17" s="1623" customFormat="1">
      <c r="A36" s="1623" t="s">
        <v>3164</v>
      </c>
      <c r="B36" s="1623" t="s">
        <v>3087</v>
      </c>
      <c r="C36" s="1623" t="s">
        <v>3088</v>
      </c>
      <c r="D36" s="1623" t="s">
        <v>3165</v>
      </c>
      <c r="E36" s="1623" t="s">
        <v>3166</v>
      </c>
      <c r="F36" s="1623">
        <v>84408</v>
      </c>
      <c r="G36" s="1623">
        <v>211020</v>
      </c>
      <c r="H36" s="1623" t="s">
        <v>3110</v>
      </c>
      <c r="I36" s="1623" t="s">
        <v>3167</v>
      </c>
      <c r="J36" s="1623" t="s">
        <v>3168</v>
      </c>
      <c r="K36" s="1623" t="s">
        <v>3169</v>
      </c>
      <c r="L36" s="1623">
        <v>90147.74</v>
      </c>
      <c r="M36" s="1623">
        <v>712</v>
      </c>
      <c r="N36" s="1623">
        <v>4272</v>
      </c>
      <c r="O36" s="1623" t="s">
        <v>1327</v>
      </c>
      <c r="P36" s="1623" t="s">
        <v>3093</v>
      </c>
      <c r="Q36" s="1623" t="s">
        <v>3114</v>
      </c>
    </row>
    <row r="37" spans="1:17" s="1623" customFormat="1">
      <c r="A37" s="1623" t="s">
        <v>3164</v>
      </c>
      <c r="B37" s="1623" t="s">
        <v>3087</v>
      </c>
      <c r="C37" s="1623" t="s">
        <v>3088</v>
      </c>
      <c r="D37" s="1623" t="s">
        <v>3170</v>
      </c>
      <c r="E37" s="1623" t="s">
        <v>3166</v>
      </c>
      <c r="F37" s="1623">
        <v>11705</v>
      </c>
      <c r="G37" s="1623">
        <v>18728</v>
      </c>
      <c r="H37" s="1623" t="s">
        <v>3171</v>
      </c>
      <c r="I37" s="1623" t="s">
        <v>3167</v>
      </c>
      <c r="J37" s="1623" t="s">
        <v>3168</v>
      </c>
      <c r="K37" s="1623" t="s">
        <v>3169</v>
      </c>
      <c r="L37" s="1623">
        <v>9865.9</v>
      </c>
      <c r="M37" s="1623">
        <v>561.91999999999996</v>
      </c>
      <c r="N37" s="1623">
        <v>5268</v>
      </c>
      <c r="O37" s="1623" t="s">
        <v>1327</v>
      </c>
      <c r="P37" s="1623" t="s">
        <v>3093</v>
      </c>
      <c r="Q37" s="1623" t="s">
        <v>3114</v>
      </c>
    </row>
    <row r="38" spans="1:17" s="2944" customFormat="1" ht="12.75">
      <c r="A38" s="2944" t="s">
        <v>3172</v>
      </c>
      <c r="B38" s="2944" t="s">
        <v>3087</v>
      </c>
      <c r="C38" s="2944" t="s">
        <v>3088</v>
      </c>
      <c r="D38" s="2944" t="s">
        <v>3173</v>
      </c>
      <c r="E38" s="2944" t="s">
        <v>3174</v>
      </c>
      <c r="F38" s="2944">
        <v>120371</v>
      </c>
      <c r="G38" s="2944">
        <v>144445.20000000001</v>
      </c>
      <c r="H38" s="2944" t="s">
        <v>3175</v>
      </c>
      <c r="I38" s="2944" t="s">
        <v>3167</v>
      </c>
      <c r="J38" s="2944" t="s">
        <v>3168</v>
      </c>
      <c r="K38" s="2944" t="s">
        <v>3176</v>
      </c>
      <c r="L38" s="2944">
        <v>47233.58</v>
      </c>
      <c r="M38" s="2944">
        <v>261.60000000000002</v>
      </c>
      <c r="N38" s="2944">
        <v>3270</v>
      </c>
      <c r="O38" s="2944" t="s">
        <v>1327</v>
      </c>
      <c r="P38" s="2944" t="s">
        <v>3093</v>
      </c>
      <c r="Q38" s="2944" t="s">
        <v>3094</v>
      </c>
    </row>
    <row r="39" spans="1:17" s="1623" customFormat="1">
      <c r="A39" s="2942" t="s">
        <v>3177</v>
      </c>
      <c r="B39" s="1623" t="s">
        <v>3087</v>
      </c>
      <c r="C39" s="1623" t="s">
        <v>3088</v>
      </c>
      <c r="D39" s="1623" t="s">
        <v>3178</v>
      </c>
      <c r="E39" s="1623" t="s">
        <v>3101</v>
      </c>
      <c r="F39" s="1623">
        <v>27637.06</v>
      </c>
      <c r="G39" s="1623">
        <v>55274.12</v>
      </c>
      <c r="H39" s="1623" t="s">
        <v>3131</v>
      </c>
      <c r="I39" s="1623" t="s">
        <v>1327</v>
      </c>
      <c r="J39" s="1623" t="s">
        <v>3179</v>
      </c>
      <c r="K39" s="1623" t="s">
        <v>3153</v>
      </c>
      <c r="L39" s="1623">
        <v>14537.09</v>
      </c>
      <c r="M39" s="1623">
        <v>350.67</v>
      </c>
      <c r="N39" s="1623">
        <v>2630</v>
      </c>
      <c r="O39" s="1623">
        <v>147.18</v>
      </c>
      <c r="P39" s="1623" t="s">
        <v>3093</v>
      </c>
      <c r="Q39" s="1623" t="s">
        <v>3180</v>
      </c>
    </row>
    <row r="40" spans="1:17" s="1623" customFormat="1">
      <c r="A40" s="1623" t="s">
        <v>3181</v>
      </c>
      <c r="B40" s="1623" t="s">
        <v>3087</v>
      </c>
      <c r="C40" s="1623" t="s">
        <v>3088</v>
      </c>
      <c r="D40" s="1623" t="s">
        <v>3182</v>
      </c>
      <c r="E40" s="1623" t="s">
        <v>1327</v>
      </c>
      <c r="F40" s="1623">
        <v>15112</v>
      </c>
      <c r="G40" s="1623">
        <v>37780</v>
      </c>
      <c r="H40" s="1623" t="s">
        <v>3183</v>
      </c>
      <c r="I40" s="1623" t="s">
        <v>1327</v>
      </c>
      <c r="J40" s="1623" t="s">
        <v>3184</v>
      </c>
      <c r="K40" s="1623" t="s">
        <v>3185</v>
      </c>
      <c r="L40" s="1623">
        <v>6347.03</v>
      </c>
      <c r="M40" s="1623">
        <v>280</v>
      </c>
      <c r="N40" s="1623">
        <v>1680</v>
      </c>
      <c r="O40" s="1623">
        <v>3.7</v>
      </c>
      <c r="P40" s="1623" t="s">
        <v>3093</v>
      </c>
      <c r="Q40" s="1623" t="s">
        <v>3186</v>
      </c>
    </row>
    <row r="41" spans="1:17" s="1623" customFormat="1">
      <c r="A41" s="1623" t="s">
        <v>3187</v>
      </c>
      <c r="B41" s="1623" t="s">
        <v>3087</v>
      </c>
      <c r="C41" s="1623" t="s">
        <v>3088</v>
      </c>
      <c r="D41" s="1623" t="s">
        <v>3188</v>
      </c>
      <c r="E41" s="1623" t="s">
        <v>3101</v>
      </c>
      <c r="F41" s="1623">
        <v>20163</v>
      </c>
      <c r="G41" s="1623">
        <v>50407.5</v>
      </c>
      <c r="H41" s="1623" t="s">
        <v>3183</v>
      </c>
      <c r="I41" s="1623" t="s">
        <v>1327</v>
      </c>
      <c r="J41" s="1623" t="s">
        <v>3184</v>
      </c>
      <c r="K41" s="1623" t="s">
        <v>3185</v>
      </c>
      <c r="L41" s="1623">
        <v>9073.35</v>
      </c>
      <c r="M41" s="1623">
        <v>300</v>
      </c>
      <c r="N41" s="1623">
        <v>1800</v>
      </c>
      <c r="O41" s="1623">
        <v>3.45</v>
      </c>
      <c r="P41" s="1623" t="s">
        <v>3093</v>
      </c>
      <c r="Q41" s="1623" t="s">
        <v>3186</v>
      </c>
    </row>
    <row r="42" spans="1:17" s="1623" customFormat="1">
      <c r="A42" s="1623" t="s">
        <v>3187</v>
      </c>
      <c r="B42" s="1623" t="s">
        <v>3087</v>
      </c>
      <c r="C42" s="1623" t="s">
        <v>3088</v>
      </c>
      <c r="D42" s="1623" t="s">
        <v>3189</v>
      </c>
      <c r="E42" s="1623" t="s">
        <v>1327</v>
      </c>
      <c r="F42" s="1623">
        <v>17243</v>
      </c>
      <c r="G42" s="1623">
        <v>43107.5</v>
      </c>
      <c r="H42" s="1623" t="s">
        <v>3183</v>
      </c>
      <c r="I42" s="1623" t="s">
        <v>1327</v>
      </c>
      <c r="J42" s="1623" t="s">
        <v>3184</v>
      </c>
      <c r="K42" s="1623" t="s">
        <v>3185</v>
      </c>
      <c r="L42" s="1623">
        <v>6039.35</v>
      </c>
      <c r="M42" s="1623">
        <v>233.5</v>
      </c>
      <c r="N42" s="1623">
        <v>1401</v>
      </c>
      <c r="O42" s="1623">
        <v>3.78</v>
      </c>
      <c r="P42" s="1623" t="s">
        <v>3093</v>
      </c>
      <c r="Q42" s="1623" t="s">
        <v>3186</v>
      </c>
    </row>
    <row r="43" spans="1:17" s="1623" customFormat="1">
      <c r="A43" s="1623" t="s">
        <v>3181</v>
      </c>
      <c r="B43" s="1623" t="s">
        <v>3087</v>
      </c>
      <c r="C43" s="1623" t="s">
        <v>3088</v>
      </c>
      <c r="D43" s="1623" t="s">
        <v>3190</v>
      </c>
      <c r="E43" s="1623" t="s">
        <v>1327</v>
      </c>
      <c r="F43" s="1623">
        <v>13736</v>
      </c>
      <c r="G43" s="1623">
        <v>27472</v>
      </c>
      <c r="H43" s="1623" t="s">
        <v>3191</v>
      </c>
      <c r="I43" s="1623" t="s">
        <v>1327</v>
      </c>
      <c r="J43" s="1623" t="s">
        <v>3184</v>
      </c>
      <c r="K43" s="1623" t="s">
        <v>3185</v>
      </c>
      <c r="L43" s="1623">
        <v>4966.93</v>
      </c>
      <c r="M43" s="1623">
        <v>241.07</v>
      </c>
      <c r="N43" s="1623">
        <v>1808</v>
      </c>
      <c r="O43" s="1623">
        <v>3.91</v>
      </c>
      <c r="P43" s="1623" t="s">
        <v>3093</v>
      </c>
      <c r="Q43" s="1623" t="s">
        <v>3180</v>
      </c>
    </row>
    <row r="44" spans="1:17" s="1623" customFormat="1">
      <c r="A44" s="1623" t="s">
        <v>3192</v>
      </c>
      <c r="B44" s="1623" t="s">
        <v>3087</v>
      </c>
      <c r="C44" s="1623" t="s">
        <v>3088</v>
      </c>
      <c r="D44" s="1623" t="s">
        <v>3193</v>
      </c>
      <c r="E44" s="1623" t="s">
        <v>3194</v>
      </c>
      <c r="F44" s="1623">
        <v>15325</v>
      </c>
      <c r="G44" s="1623">
        <v>38312.5</v>
      </c>
      <c r="H44" s="1623" t="s">
        <v>3183</v>
      </c>
      <c r="I44" s="1623" t="s">
        <v>1327</v>
      </c>
      <c r="J44" s="1623" t="s">
        <v>3184</v>
      </c>
      <c r="K44" s="1623" t="s">
        <v>3185</v>
      </c>
      <c r="L44" s="1623">
        <v>6122.34</v>
      </c>
      <c r="M44" s="1623">
        <v>266.33</v>
      </c>
      <c r="N44" s="1623">
        <v>1598</v>
      </c>
      <c r="O44" s="1623">
        <v>3.77</v>
      </c>
      <c r="P44" s="1623" t="s">
        <v>3104</v>
      </c>
      <c r="Q44" s="1623" t="s">
        <v>3114</v>
      </c>
    </row>
    <row r="45" spans="1:17" s="1623" customFormat="1">
      <c r="A45" s="1623" t="s">
        <v>3187</v>
      </c>
      <c r="B45" s="1623" t="s">
        <v>3087</v>
      </c>
      <c r="C45" s="1623" t="s">
        <v>3088</v>
      </c>
      <c r="D45" s="1623" t="s">
        <v>3195</v>
      </c>
      <c r="E45" s="1623" t="s">
        <v>1327</v>
      </c>
      <c r="F45" s="1623">
        <v>17970</v>
      </c>
      <c r="G45" s="1623">
        <v>35940</v>
      </c>
      <c r="H45" s="1623" t="s">
        <v>3191</v>
      </c>
      <c r="I45" s="1623" t="s">
        <v>1327</v>
      </c>
      <c r="J45" s="1623" t="s">
        <v>3184</v>
      </c>
      <c r="K45" s="1623" t="s">
        <v>3185</v>
      </c>
      <c r="L45" s="1623">
        <v>6487.17</v>
      </c>
      <c r="M45" s="1623">
        <v>240.67</v>
      </c>
      <c r="N45" s="1623">
        <v>1805</v>
      </c>
      <c r="O45" s="1623">
        <v>3.74</v>
      </c>
      <c r="P45" s="1623" t="s">
        <v>3093</v>
      </c>
      <c r="Q45" s="1623" t="s">
        <v>3186</v>
      </c>
    </row>
    <row r="46" spans="1:17" s="1623" customFormat="1">
      <c r="A46" s="1623" t="s">
        <v>3181</v>
      </c>
      <c r="B46" s="1623" t="s">
        <v>3087</v>
      </c>
      <c r="C46" s="1623" t="s">
        <v>3088</v>
      </c>
      <c r="D46" s="1623" t="s">
        <v>3196</v>
      </c>
      <c r="E46" s="1623" t="s">
        <v>1327</v>
      </c>
      <c r="F46" s="1623">
        <v>16047</v>
      </c>
      <c r="G46" s="1623">
        <v>32094</v>
      </c>
      <c r="H46" s="1623" t="s">
        <v>3191</v>
      </c>
      <c r="I46" s="1623" t="s">
        <v>1327</v>
      </c>
      <c r="J46" s="1623" t="s">
        <v>3184</v>
      </c>
      <c r="K46" s="1623" t="s">
        <v>3185</v>
      </c>
      <c r="L46" s="1623">
        <v>6951.56</v>
      </c>
      <c r="M46" s="1623">
        <v>288.8</v>
      </c>
      <c r="N46" s="1623">
        <v>2166</v>
      </c>
      <c r="O46" s="1623">
        <v>3.64</v>
      </c>
      <c r="P46" s="1623" t="s">
        <v>3093</v>
      </c>
      <c r="Q46" s="1623" t="s">
        <v>3186</v>
      </c>
    </row>
    <row r="47" spans="1:17" s="1623" customFormat="1">
      <c r="A47" s="1623" t="s">
        <v>3187</v>
      </c>
      <c r="B47" s="1623" t="s">
        <v>3087</v>
      </c>
      <c r="C47" s="1623" t="s">
        <v>3088</v>
      </c>
      <c r="D47" s="1623" t="s">
        <v>3197</v>
      </c>
      <c r="E47" s="1623" t="s">
        <v>1327</v>
      </c>
      <c r="F47" s="1623">
        <v>15543</v>
      </c>
      <c r="G47" s="1623">
        <v>38857.5</v>
      </c>
      <c r="H47" s="1623" t="s">
        <v>3183</v>
      </c>
      <c r="I47" s="1623" t="s">
        <v>1327</v>
      </c>
      <c r="J47" s="1623" t="s">
        <v>3184</v>
      </c>
      <c r="K47" s="1623" t="s">
        <v>3185</v>
      </c>
      <c r="L47" s="1623">
        <v>5486.68</v>
      </c>
      <c r="M47" s="1623">
        <v>235.33</v>
      </c>
      <c r="N47" s="1623">
        <v>1412</v>
      </c>
      <c r="O47" s="1623">
        <v>3.82</v>
      </c>
      <c r="P47" s="1623" t="s">
        <v>3093</v>
      </c>
      <c r="Q47" s="1623" t="s">
        <v>3186</v>
      </c>
    </row>
    <row r="48" spans="1:17" s="1623" customFormat="1">
      <c r="A48" s="1623" t="s">
        <v>3192</v>
      </c>
      <c r="B48" s="1623" t="s">
        <v>3087</v>
      </c>
      <c r="C48" s="1623" t="s">
        <v>3088</v>
      </c>
      <c r="D48" s="1623" t="s">
        <v>3198</v>
      </c>
      <c r="E48" s="1623" t="s">
        <v>3101</v>
      </c>
      <c r="F48" s="1623">
        <v>15514</v>
      </c>
      <c r="G48" s="1623">
        <v>31028</v>
      </c>
      <c r="H48" s="1623" t="s">
        <v>3191</v>
      </c>
      <c r="I48" s="1623" t="s">
        <v>1327</v>
      </c>
      <c r="J48" s="1623" t="s">
        <v>3199</v>
      </c>
      <c r="K48" s="1623" t="s">
        <v>3185</v>
      </c>
      <c r="L48" s="1623">
        <v>5699.84</v>
      </c>
      <c r="M48" s="1623">
        <v>244.93</v>
      </c>
      <c r="N48" s="1623">
        <v>1837</v>
      </c>
      <c r="O48" s="1623">
        <v>3.79</v>
      </c>
      <c r="P48" s="1623" t="s">
        <v>3093</v>
      </c>
      <c r="Q48" s="1623" t="s">
        <v>3114</v>
      </c>
    </row>
    <row r="49" spans="1:17" s="1623" customFormat="1">
      <c r="A49" s="1623" t="s">
        <v>3192</v>
      </c>
      <c r="B49" s="1623" t="s">
        <v>3087</v>
      </c>
      <c r="C49" s="1623" t="s">
        <v>3088</v>
      </c>
      <c r="D49" s="1623" t="s">
        <v>3200</v>
      </c>
      <c r="E49" s="1623" t="s">
        <v>1327</v>
      </c>
      <c r="F49" s="1623">
        <v>57132</v>
      </c>
      <c r="G49" s="1623">
        <v>142830</v>
      </c>
      <c r="H49" s="1623" t="s">
        <v>3183</v>
      </c>
      <c r="I49" s="1623" t="s">
        <v>1327</v>
      </c>
      <c r="J49" s="1623" t="s">
        <v>3199</v>
      </c>
      <c r="K49" s="1623" t="s">
        <v>3185</v>
      </c>
      <c r="L49" s="1623">
        <v>22510</v>
      </c>
      <c r="M49" s="1623">
        <v>262.67</v>
      </c>
      <c r="N49" s="1623">
        <v>1576</v>
      </c>
      <c r="O49" s="1623">
        <v>2.34</v>
      </c>
      <c r="P49" s="1623" t="s">
        <v>3093</v>
      </c>
      <c r="Q49" s="1623" t="s">
        <v>3186</v>
      </c>
    </row>
    <row r="50" spans="1:17" s="2944" customFormat="1" ht="12.75">
      <c r="A50" s="2944" t="s">
        <v>3181</v>
      </c>
      <c r="B50" s="2944" t="s">
        <v>3087</v>
      </c>
      <c r="C50" s="2944" t="s">
        <v>3088</v>
      </c>
      <c r="D50" s="2944" t="s">
        <v>3201</v>
      </c>
      <c r="E50" s="2944" t="s">
        <v>3101</v>
      </c>
      <c r="F50" s="2944">
        <v>40343</v>
      </c>
      <c r="G50" s="2944">
        <v>48411.6</v>
      </c>
      <c r="H50" s="2944" t="s">
        <v>3202</v>
      </c>
      <c r="I50" s="2944" t="s">
        <v>1327</v>
      </c>
      <c r="J50" s="2944" t="s">
        <v>3199</v>
      </c>
      <c r="K50" s="2944" t="s">
        <v>3185</v>
      </c>
      <c r="L50" s="2944">
        <v>9556.4500000000007</v>
      </c>
      <c r="M50" s="2944">
        <v>157.91999999999999</v>
      </c>
      <c r="N50" s="2944">
        <v>1974</v>
      </c>
      <c r="O50" s="2944">
        <v>3.35</v>
      </c>
      <c r="P50" s="2944" t="s">
        <v>3093</v>
      </c>
      <c r="Q50" s="2944" t="s">
        <v>3186</v>
      </c>
    </row>
    <row r="51" spans="1:17" s="1623" customFormat="1">
      <c r="A51" s="1623" t="s">
        <v>3187</v>
      </c>
      <c r="B51" s="1623" t="s">
        <v>3087</v>
      </c>
      <c r="C51" s="1623" t="s">
        <v>3088</v>
      </c>
      <c r="D51" s="1623" t="s">
        <v>3203</v>
      </c>
      <c r="E51" s="1623" t="s">
        <v>3101</v>
      </c>
      <c r="F51" s="1623">
        <v>13471</v>
      </c>
      <c r="G51" s="1623">
        <v>33677.5</v>
      </c>
      <c r="H51" s="1623" t="s">
        <v>3183</v>
      </c>
      <c r="I51" s="1623" t="s">
        <v>1327</v>
      </c>
      <c r="J51" s="1623" t="s">
        <v>3199</v>
      </c>
      <c r="K51" s="1623" t="s">
        <v>3185</v>
      </c>
      <c r="L51" s="1623">
        <v>6011.43</v>
      </c>
      <c r="M51" s="1623">
        <v>297.5</v>
      </c>
      <c r="N51" s="1623">
        <v>1785</v>
      </c>
      <c r="O51" s="1623">
        <v>3.78</v>
      </c>
      <c r="P51" s="1623" t="s">
        <v>3093</v>
      </c>
      <c r="Q51" s="1623" t="s">
        <v>3186</v>
      </c>
    </row>
    <row r="52" spans="1:17" s="1623" customFormat="1">
      <c r="A52" s="1623" t="s">
        <v>3181</v>
      </c>
      <c r="B52" s="1623" t="s">
        <v>3087</v>
      </c>
      <c r="C52" s="1623" t="s">
        <v>3088</v>
      </c>
      <c r="D52" s="1623" t="s">
        <v>3204</v>
      </c>
      <c r="E52" s="1623" t="s">
        <v>3101</v>
      </c>
      <c r="F52" s="1623">
        <v>21303</v>
      </c>
      <c r="G52" s="1623">
        <v>53257.5</v>
      </c>
      <c r="H52" s="1623" t="s">
        <v>3183</v>
      </c>
      <c r="I52" s="1623" t="s">
        <v>1327</v>
      </c>
      <c r="J52" s="1623" t="s">
        <v>3199</v>
      </c>
      <c r="K52" s="1623" t="s">
        <v>3185</v>
      </c>
      <c r="L52" s="1623">
        <v>9634.2800000000007</v>
      </c>
      <c r="M52" s="1623">
        <v>301.5</v>
      </c>
      <c r="N52" s="1623">
        <v>1809</v>
      </c>
      <c r="O52" s="1623">
        <v>3.37</v>
      </c>
      <c r="P52" s="1623" t="s">
        <v>3093</v>
      </c>
      <c r="Q52" s="1623" t="s">
        <v>3186</v>
      </c>
    </row>
    <row r="53" spans="1:17" s="1623" customFormat="1">
      <c r="A53" s="1623" t="s">
        <v>3181</v>
      </c>
      <c r="B53" s="1623" t="s">
        <v>3087</v>
      </c>
      <c r="C53" s="1623" t="s">
        <v>3088</v>
      </c>
      <c r="D53" s="1623" t="s">
        <v>3205</v>
      </c>
      <c r="E53" s="1623" t="s">
        <v>3101</v>
      </c>
      <c r="F53" s="1623">
        <v>14647</v>
      </c>
      <c r="G53" s="1623">
        <v>29294</v>
      </c>
      <c r="H53" s="1623" t="s">
        <v>3191</v>
      </c>
      <c r="I53" s="1623" t="s">
        <v>1327</v>
      </c>
      <c r="J53" s="1623" t="s">
        <v>3199</v>
      </c>
      <c r="K53" s="1623" t="s">
        <v>3185</v>
      </c>
      <c r="L53" s="1623">
        <v>5264.13</v>
      </c>
      <c r="M53" s="1623">
        <v>239.6</v>
      </c>
      <c r="N53" s="1623">
        <v>1797</v>
      </c>
      <c r="O53" s="1623">
        <v>3.87</v>
      </c>
      <c r="P53" s="1623" t="s">
        <v>3093</v>
      </c>
      <c r="Q53" s="1623" t="s">
        <v>3186</v>
      </c>
    </row>
    <row r="54" spans="1:17" s="1623" customFormat="1">
      <c r="A54" s="1623" t="s">
        <v>3187</v>
      </c>
      <c r="B54" s="1623" t="s">
        <v>3087</v>
      </c>
      <c r="C54" s="1623" t="s">
        <v>3088</v>
      </c>
      <c r="D54" s="1623" t="s">
        <v>3206</v>
      </c>
      <c r="E54" s="1623" t="s">
        <v>3101</v>
      </c>
      <c r="F54" s="1623">
        <v>19881</v>
      </c>
      <c r="G54" s="1623">
        <v>49702.5</v>
      </c>
      <c r="H54" s="1623" t="s">
        <v>3183</v>
      </c>
      <c r="I54" s="1623" t="s">
        <v>1327</v>
      </c>
      <c r="J54" s="1623" t="s">
        <v>3199</v>
      </c>
      <c r="K54" s="1623" t="s">
        <v>3185</v>
      </c>
      <c r="L54" s="1623">
        <v>8792.3700000000008</v>
      </c>
      <c r="M54" s="1623">
        <v>294.83</v>
      </c>
      <c r="N54" s="1623">
        <v>1769</v>
      </c>
      <c r="O54" s="1623">
        <v>3.45</v>
      </c>
      <c r="P54" s="1623" t="s">
        <v>3093</v>
      </c>
      <c r="Q54" s="1623" t="s">
        <v>3114</v>
      </c>
    </row>
    <row r="55" spans="1:17" s="1623" customFormat="1">
      <c r="A55" s="1623" t="s">
        <v>3207</v>
      </c>
      <c r="B55" s="1623" t="s">
        <v>3099</v>
      </c>
      <c r="C55" s="1623" t="s">
        <v>3088</v>
      </c>
      <c r="D55" s="1623" t="s">
        <v>3208</v>
      </c>
      <c r="E55" s="1623" t="s">
        <v>3101</v>
      </c>
      <c r="F55" s="1623">
        <v>83656.509999999995</v>
      </c>
      <c r="G55" s="1623">
        <v>150581.70000000001</v>
      </c>
      <c r="H55" s="1623" t="s">
        <v>3209</v>
      </c>
      <c r="I55" s="1623" t="s">
        <v>1327</v>
      </c>
      <c r="J55" s="1623" t="s">
        <v>3210</v>
      </c>
      <c r="K55" s="1623" t="s">
        <v>3211</v>
      </c>
      <c r="L55" s="1623">
        <v>23882.25</v>
      </c>
      <c r="M55" s="1623">
        <v>190.32</v>
      </c>
      <c r="N55" s="1623">
        <v>1586</v>
      </c>
      <c r="O55" s="1623">
        <v>0</v>
      </c>
      <c r="P55" s="1623" t="s">
        <v>3104</v>
      </c>
      <c r="Q55" s="1623" t="s">
        <v>3114</v>
      </c>
    </row>
    <row r="56" spans="1:17" s="1623" customFormat="1">
      <c r="A56" s="1623" t="s">
        <v>3212</v>
      </c>
      <c r="B56" s="1623" t="s">
        <v>3099</v>
      </c>
      <c r="C56" s="1623" t="s">
        <v>3088</v>
      </c>
      <c r="D56" s="1623" t="s">
        <v>3213</v>
      </c>
      <c r="E56" s="1623" t="s">
        <v>3101</v>
      </c>
      <c r="F56" s="1623">
        <v>42485.06</v>
      </c>
      <c r="G56" s="1623">
        <v>76473.11</v>
      </c>
      <c r="H56" s="1623" t="s">
        <v>3209</v>
      </c>
      <c r="I56" s="1623" t="s">
        <v>1327</v>
      </c>
      <c r="J56" s="1623" t="s">
        <v>3210</v>
      </c>
      <c r="K56" s="1623" t="s">
        <v>3153</v>
      </c>
      <c r="L56" s="1623">
        <v>16533.490000000002</v>
      </c>
      <c r="M56" s="1623">
        <v>259.44</v>
      </c>
      <c r="N56" s="1623">
        <v>2162</v>
      </c>
      <c r="O56" s="1623">
        <v>0</v>
      </c>
      <c r="P56" s="1623" t="s">
        <v>3104</v>
      </c>
      <c r="Q56" s="1623" t="s">
        <v>3114</v>
      </c>
    </row>
    <row r="57" spans="1:17" s="1623" customFormat="1">
      <c r="A57" s="1623" t="s">
        <v>3214</v>
      </c>
      <c r="B57" s="1623" t="s">
        <v>3099</v>
      </c>
      <c r="C57" s="1623" t="s">
        <v>3088</v>
      </c>
      <c r="D57" s="1623" t="s">
        <v>3215</v>
      </c>
      <c r="E57" s="1623" t="s">
        <v>3101</v>
      </c>
      <c r="F57" s="1623">
        <v>36796.160000000003</v>
      </c>
      <c r="G57" s="1623">
        <v>73592.320000000007</v>
      </c>
      <c r="H57" s="1623" t="s">
        <v>3131</v>
      </c>
      <c r="I57" s="1623" t="s">
        <v>1327</v>
      </c>
      <c r="J57" s="1623" t="s">
        <v>3210</v>
      </c>
      <c r="K57" s="1623" t="s">
        <v>3153</v>
      </c>
      <c r="L57" s="1623">
        <v>10207.25</v>
      </c>
      <c r="M57" s="1623">
        <v>184.93</v>
      </c>
      <c r="N57" s="1623">
        <v>1387</v>
      </c>
      <c r="O57" s="1623">
        <v>0</v>
      </c>
      <c r="P57" s="1623" t="s">
        <v>3104</v>
      </c>
      <c r="Q57" s="1623" t="s">
        <v>3114</v>
      </c>
    </row>
    <row r="93" spans="2:2">
      <c r="B93">
        <f ca="1">系统读取表!D14</f>
        <v>27909</v>
      </c>
    </row>
    <row r="94" spans="2:2">
      <c r="B94" s="3008">
        <f ca="1">B93*10000</f>
        <v>279090000</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selection activeCell="H5" sqref="H5"/>
    </sheetView>
  </sheetViews>
  <sheetFormatPr defaultRowHeight="13.5"/>
  <sheetData>
    <row r="1" spans="1:19" s="1623" customFormat="1">
      <c r="A1" s="1623" t="s">
        <v>3069</v>
      </c>
      <c r="B1" s="1623" t="s">
        <v>3070</v>
      </c>
      <c r="C1" s="1623" t="s">
        <v>3071</v>
      </c>
      <c r="D1" s="1623" t="s">
        <v>3105</v>
      </c>
      <c r="E1" s="1623" t="s">
        <v>3073</v>
      </c>
      <c r="F1" s="1623" t="s">
        <v>3074</v>
      </c>
      <c r="G1" s="1623" t="s">
        <v>3075</v>
      </c>
      <c r="H1" s="1623" t="s">
        <v>3076</v>
      </c>
      <c r="I1" s="1623" t="s">
        <v>4542</v>
      </c>
      <c r="J1" s="1623" t="s">
        <v>3078</v>
      </c>
      <c r="K1" s="1623" t="s">
        <v>4543</v>
      </c>
      <c r="L1" s="1623" t="s">
        <v>3079</v>
      </c>
      <c r="M1" s="1623" t="s">
        <v>3080</v>
      </c>
      <c r="N1" s="1623" t="s">
        <v>3081</v>
      </c>
      <c r="O1" s="1623" t="s">
        <v>3082</v>
      </c>
      <c r="P1" s="1623" t="s">
        <v>3083</v>
      </c>
      <c r="Q1" s="1623" t="s">
        <v>3084</v>
      </c>
      <c r="R1" s="1623" t="s">
        <v>3085</v>
      </c>
      <c r="S1" s="2942" t="s">
        <v>4544</v>
      </c>
    </row>
    <row r="2" spans="1:19" s="3013" customFormat="1">
      <c r="A2" s="3013" t="s">
        <v>4584</v>
      </c>
      <c r="B2" s="3013" t="s">
        <v>4546</v>
      </c>
      <c r="C2" s="3013" t="s">
        <v>3088</v>
      </c>
      <c r="D2" s="3013" t="s">
        <v>4585</v>
      </c>
      <c r="E2" s="3013" t="s">
        <v>4586</v>
      </c>
      <c r="F2" s="3013">
        <v>10858</v>
      </c>
      <c r="G2" s="3013">
        <v>21716</v>
      </c>
      <c r="H2" s="3013">
        <v>2</v>
      </c>
      <c r="I2" s="3013" t="s">
        <v>4550</v>
      </c>
      <c r="J2" s="3013" t="s">
        <v>3102</v>
      </c>
      <c r="K2" s="3013" t="s">
        <v>4552</v>
      </c>
      <c r="L2" s="3013" t="s">
        <v>4587</v>
      </c>
      <c r="M2" s="3013">
        <v>5984.93</v>
      </c>
      <c r="N2" s="3013">
        <v>367.47</v>
      </c>
      <c r="O2" s="3013">
        <v>2756</v>
      </c>
      <c r="P2" s="3013">
        <v>3.53</v>
      </c>
      <c r="Q2" s="3013" t="s">
        <v>4554</v>
      </c>
      <c r="R2" s="3013" t="s">
        <v>3114</v>
      </c>
      <c r="S2" s="1623">
        <f t="shared" ref="S2:S4" si="0">ROUND(M2*10000/F2,0)</f>
        <v>5512</v>
      </c>
    </row>
    <row r="3" spans="1:19" s="3013" customFormat="1">
      <c r="A3" s="3013" t="s">
        <v>4584</v>
      </c>
      <c r="B3" s="3013" t="s">
        <v>4546</v>
      </c>
      <c r="C3" s="3013" t="s">
        <v>3088</v>
      </c>
      <c r="D3" s="3013" t="s">
        <v>4588</v>
      </c>
      <c r="E3" s="3013" t="s">
        <v>4586</v>
      </c>
      <c r="F3" s="3013">
        <v>17621</v>
      </c>
      <c r="G3" s="3013">
        <v>61673.5</v>
      </c>
      <c r="H3" s="3013">
        <v>3.5</v>
      </c>
      <c r="I3" s="3013" t="s">
        <v>4550</v>
      </c>
      <c r="J3" s="3013" t="s">
        <v>3102</v>
      </c>
      <c r="K3" s="3013" t="s">
        <v>4552</v>
      </c>
      <c r="L3" s="3013" t="s">
        <v>4590</v>
      </c>
      <c r="M3" s="3013">
        <v>16176.95</v>
      </c>
      <c r="N3" s="3013">
        <v>612.03</v>
      </c>
      <c r="O3" s="3013">
        <v>2623</v>
      </c>
      <c r="P3" s="3013">
        <v>2.62</v>
      </c>
      <c r="Q3" s="3013" t="s">
        <v>4554</v>
      </c>
      <c r="R3" s="3013" t="s">
        <v>3114</v>
      </c>
      <c r="S3" s="1623">
        <f t="shared" si="0"/>
        <v>9180</v>
      </c>
    </row>
    <row r="4" spans="1:19" s="3013" customFormat="1">
      <c r="A4" s="3013" t="s">
        <v>4584</v>
      </c>
      <c r="B4" s="3013" t="s">
        <v>4546</v>
      </c>
      <c r="C4" s="3013" t="s">
        <v>3088</v>
      </c>
      <c r="D4" s="3013" t="s">
        <v>4591</v>
      </c>
      <c r="E4" s="3013" t="s">
        <v>4586</v>
      </c>
      <c r="F4" s="3013">
        <v>3699</v>
      </c>
      <c r="G4" s="3013">
        <v>5548.5</v>
      </c>
      <c r="H4" s="3013">
        <v>1.5</v>
      </c>
      <c r="I4" s="3013" t="s">
        <v>4550</v>
      </c>
      <c r="J4" s="3013" t="s">
        <v>3102</v>
      </c>
      <c r="K4" s="3013" t="s">
        <v>4552</v>
      </c>
      <c r="L4" s="3013" t="s">
        <v>4593</v>
      </c>
      <c r="M4" s="3013">
        <v>1798.81</v>
      </c>
      <c r="N4" s="3013">
        <v>324.2</v>
      </c>
      <c r="O4" s="3013">
        <v>3241.98</v>
      </c>
      <c r="P4" s="3013">
        <v>4.45</v>
      </c>
      <c r="Q4" s="3013" t="s">
        <v>4554</v>
      </c>
      <c r="R4" s="3013" t="s">
        <v>3186</v>
      </c>
      <c r="S4" s="1623">
        <f t="shared" si="0"/>
        <v>4863</v>
      </c>
    </row>
    <row r="7" spans="1:19" s="1623" customFormat="1">
      <c r="A7" s="1623" t="s">
        <v>3069</v>
      </c>
      <c r="B7" s="1623" t="s">
        <v>3070</v>
      </c>
      <c r="C7" s="1623" t="s">
        <v>3071</v>
      </c>
      <c r="D7" s="1623" t="s">
        <v>3105</v>
      </c>
      <c r="E7" s="1623" t="s">
        <v>3073</v>
      </c>
      <c r="F7" s="1623" t="s">
        <v>3074</v>
      </c>
      <c r="G7" s="1623" t="s">
        <v>3075</v>
      </c>
      <c r="H7" s="1623" t="s">
        <v>3076</v>
      </c>
      <c r="I7" s="1623" t="s">
        <v>4542</v>
      </c>
      <c r="J7" s="1623" t="s">
        <v>3078</v>
      </c>
      <c r="K7" s="1623" t="s">
        <v>4543</v>
      </c>
      <c r="L7" s="1623" t="s">
        <v>3079</v>
      </c>
      <c r="M7" s="1623" t="s">
        <v>3080</v>
      </c>
      <c r="N7" s="1623" t="s">
        <v>3081</v>
      </c>
      <c r="O7" s="1623" t="s">
        <v>3082</v>
      </c>
      <c r="P7" s="1623" t="s">
        <v>3083</v>
      </c>
      <c r="Q7" s="1623" t="s">
        <v>3084</v>
      </c>
      <c r="R7" s="1623" t="s">
        <v>3085</v>
      </c>
      <c r="S7" s="2942" t="s">
        <v>4544</v>
      </c>
    </row>
    <row r="8" spans="1:19" s="1623" customFormat="1">
      <c r="A8" s="1623" t="s">
        <v>4545</v>
      </c>
      <c r="B8" s="1623" t="s">
        <v>4546</v>
      </c>
      <c r="C8" s="1623" t="s">
        <v>3088</v>
      </c>
      <c r="D8" s="1623" t="s">
        <v>4547</v>
      </c>
      <c r="E8" s="1623" t="s">
        <v>4548</v>
      </c>
      <c r="F8" s="1623">
        <v>31053</v>
      </c>
      <c r="G8" s="1623">
        <v>31053</v>
      </c>
      <c r="H8" s="1623" t="s">
        <v>4549</v>
      </c>
      <c r="I8" s="1623" t="s">
        <v>4550</v>
      </c>
      <c r="J8" s="1623" t="s">
        <v>4551</v>
      </c>
      <c r="K8" s="1623" t="s">
        <v>4552</v>
      </c>
      <c r="L8" s="1623" t="s">
        <v>4553</v>
      </c>
      <c r="M8" s="1623">
        <v>8201.1</v>
      </c>
      <c r="N8" s="1623">
        <v>176.07</v>
      </c>
      <c r="O8" s="1623">
        <v>2641</v>
      </c>
      <c r="P8" s="1623">
        <v>3.57</v>
      </c>
      <c r="Q8" s="1623" t="s">
        <v>4554</v>
      </c>
      <c r="R8" s="1623" t="s">
        <v>3114</v>
      </c>
      <c r="S8" s="1623">
        <f>ROUND(M8*10000/F8,0)</f>
        <v>2641</v>
      </c>
    </row>
    <row r="9" spans="1:19" s="1623" customFormat="1">
      <c r="A9" s="1623" t="s">
        <v>4555</v>
      </c>
      <c r="B9" s="1623" t="s">
        <v>4546</v>
      </c>
      <c r="C9" s="1623" t="s">
        <v>3088</v>
      </c>
      <c r="D9" s="1623" t="s">
        <v>4556</v>
      </c>
      <c r="E9" s="1623" t="s">
        <v>1373</v>
      </c>
      <c r="F9" s="1623">
        <v>21554</v>
      </c>
      <c r="G9" s="1623">
        <v>17243.2</v>
      </c>
      <c r="H9" s="1623" t="s">
        <v>4557</v>
      </c>
      <c r="I9" s="1623" t="s">
        <v>4550</v>
      </c>
      <c r="J9" s="1623" t="s">
        <v>4558</v>
      </c>
      <c r="K9" s="1623" t="s">
        <v>4552</v>
      </c>
      <c r="L9" s="1623" t="s">
        <v>4559</v>
      </c>
      <c r="M9" s="1623">
        <v>8062.92</v>
      </c>
      <c r="N9" s="1623">
        <v>249.39</v>
      </c>
      <c r="O9" s="1623">
        <v>4676</v>
      </c>
      <c r="P9" s="1623">
        <v>3.57</v>
      </c>
      <c r="Q9" s="1623" t="s">
        <v>4554</v>
      </c>
      <c r="R9" s="1623" t="s">
        <v>3114</v>
      </c>
      <c r="S9" s="1623">
        <f t="shared" ref="S9:S41" si="1">ROUND(M9*10000/F9,0)</f>
        <v>3741</v>
      </c>
    </row>
    <row r="10" spans="1:19" s="1623" customFormat="1">
      <c r="A10" s="1623" t="s">
        <v>4560</v>
      </c>
      <c r="B10" s="1623" t="s">
        <v>4546</v>
      </c>
      <c r="C10" s="1623" t="s">
        <v>3088</v>
      </c>
      <c r="D10" s="1623" t="s">
        <v>4561</v>
      </c>
      <c r="E10" s="1623" t="s">
        <v>1327</v>
      </c>
      <c r="F10" s="1623">
        <v>31554</v>
      </c>
      <c r="G10" s="1623">
        <v>43860.06</v>
      </c>
      <c r="H10" s="1623" t="s">
        <v>4562</v>
      </c>
      <c r="I10" s="1623" t="s">
        <v>4550</v>
      </c>
      <c r="J10" s="1623" t="s">
        <v>4563</v>
      </c>
      <c r="K10" s="1623" t="s">
        <v>4552</v>
      </c>
      <c r="L10" s="1623" t="s">
        <v>4564</v>
      </c>
      <c r="M10" s="1623">
        <v>7599.39</v>
      </c>
      <c r="N10" s="1623">
        <v>160.56</v>
      </c>
      <c r="O10" s="1623">
        <v>1732.65</v>
      </c>
      <c r="P10" s="1623" t="s">
        <v>1327</v>
      </c>
      <c r="Q10" s="1623" t="s">
        <v>4554</v>
      </c>
      <c r="R10" s="1623" t="s">
        <v>3114</v>
      </c>
      <c r="S10" s="1623">
        <f t="shared" si="1"/>
        <v>2408</v>
      </c>
    </row>
    <row r="11" spans="1:19" s="1623" customFormat="1">
      <c r="A11" s="1623" t="s">
        <v>4565</v>
      </c>
      <c r="B11" s="1623" t="s">
        <v>4546</v>
      </c>
      <c r="C11" s="1623" t="s">
        <v>3088</v>
      </c>
      <c r="D11" s="1623" t="s">
        <v>4566</v>
      </c>
      <c r="E11" s="1623" t="s">
        <v>4567</v>
      </c>
      <c r="F11" s="1623">
        <v>22286.47</v>
      </c>
      <c r="G11" s="1623">
        <v>40115.65</v>
      </c>
      <c r="H11" s="1623" t="s">
        <v>4568</v>
      </c>
      <c r="I11" s="1623" t="s">
        <v>4550</v>
      </c>
      <c r="J11" s="1623" t="s">
        <v>3091</v>
      </c>
      <c r="K11" s="1623" t="s">
        <v>4552</v>
      </c>
      <c r="L11" s="1623" t="s">
        <v>3092</v>
      </c>
      <c r="M11" s="1623">
        <v>13924.13</v>
      </c>
      <c r="N11" s="1623">
        <v>416.52</v>
      </c>
      <c r="O11" s="1623">
        <v>3471</v>
      </c>
      <c r="P11" s="1623">
        <v>81.78</v>
      </c>
      <c r="Q11" s="1623" t="s">
        <v>4554</v>
      </c>
      <c r="R11" s="1623" t="s">
        <v>3186</v>
      </c>
      <c r="S11" s="1623">
        <f t="shared" si="1"/>
        <v>6248</v>
      </c>
    </row>
    <row r="12" spans="1:19" s="1623" customFormat="1">
      <c r="A12" s="1623" t="s">
        <v>4569</v>
      </c>
      <c r="B12" s="1623" t="s">
        <v>4546</v>
      </c>
      <c r="C12" s="1623" t="s">
        <v>3088</v>
      </c>
      <c r="D12" s="1623" t="s">
        <v>4570</v>
      </c>
      <c r="E12" s="1623" t="s">
        <v>1373</v>
      </c>
      <c r="F12" s="1623">
        <v>50343</v>
      </c>
      <c r="G12" s="1623">
        <v>151029</v>
      </c>
      <c r="H12" s="1623" t="s">
        <v>4571</v>
      </c>
      <c r="I12" s="1623" t="s">
        <v>4572</v>
      </c>
      <c r="J12" s="1623" t="s">
        <v>4573</v>
      </c>
      <c r="K12" s="1623" t="s">
        <v>4552</v>
      </c>
      <c r="L12" s="1623" t="s">
        <v>4574</v>
      </c>
      <c r="M12" s="1623">
        <v>21189.360000000001</v>
      </c>
      <c r="N12" s="1623">
        <v>280.60000000000002</v>
      </c>
      <c r="O12" s="1623">
        <v>1403</v>
      </c>
      <c r="P12" s="1623">
        <v>2.33</v>
      </c>
      <c r="Q12" s="1623" t="s">
        <v>4554</v>
      </c>
      <c r="R12" s="1623" t="s">
        <v>3186</v>
      </c>
      <c r="S12" s="1623">
        <f t="shared" si="1"/>
        <v>4209</v>
      </c>
    </row>
    <row r="13" spans="1:19" s="1623" customFormat="1">
      <c r="A13" s="1623" t="s">
        <v>4575</v>
      </c>
      <c r="B13" s="1623" t="s">
        <v>4546</v>
      </c>
      <c r="C13" s="1623" t="s">
        <v>3088</v>
      </c>
      <c r="D13" s="1623" t="s">
        <v>4576</v>
      </c>
      <c r="E13" s="1623" t="s">
        <v>1373</v>
      </c>
      <c r="F13" s="1623">
        <v>16266</v>
      </c>
      <c r="G13" s="1623">
        <v>5855.76</v>
      </c>
      <c r="H13" s="1623">
        <v>0.36</v>
      </c>
      <c r="I13" s="1623" t="s">
        <v>4572</v>
      </c>
      <c r="J13" s="1623" t="s">
        <v>3118</v>
      </c>
      <c r="K13" s="1623" t="s">
        <v>4552</v>
      </c>
      <c r="L13" s="1623" t="s">
        <v>4577</v>
      </c>
      <c r="M13" s="1623">
        <v>8916</v>
      </c>
      <c r="N13" s="1623">
        <v>365.42</v>
      </c>
      <c r="O13" s="1623">
        <v>15226.03</v>
      </c>
      <c r="P13" s="1623">
        <v>3.53</v>
      </c>
      <c r="Q13" s="1623" t="s">
        <v>4578</v>
      </c>
      <c r="R13" s="1623" t="s">
        <v>3114</v>
      </c>
      <c r="S13" s="1623">
        <f t="shared" si="1"/>
        <v>5481</v>
      </c>
    </row>
    <row r="14" spans="1:19" s="1623" customFormat="1">
      <c r="A14" s="1623" t="s">
        <v>4579</v>
      </c>
      <c r="B14" s="1623" t="s">
        <v>4546</v>
      </c>
      <c r="C14" s="1623" t="s">
        <v>3088</v>
      </c>
      <c r="D14" s="1623" t="s">
        <v>4580</v>
      </c>
      <c r="E14" s="1623" t="s">
        <v>1373</v>
      </c>
      <c r="F14" s="1623">
        <v>57615</v>
      </c>
      <c r="G14" s="1623">
        <v>115230</v>
      </c>
      <c r="H14" s="1623" t="s">
        <v>4581</v>
      </c>
      <c r="I14" s="1623" t="s">
        <v>4572</v>
      </c>
      <c r="J14" s="1623" t="s">
        <v>3127</v>
      </c>
      <c r="K14" s="1623" t="s">
        <v>4552</v>
      </c>
      <c r="L14" s="1623" t="s">
        <v>4582</v>
      </c>
      <c r="M14" s="1623">
        <v>15221.87</v>
      </c>
      <c r="N14" s="1623">
        <v>176.13</v>
      </c>
      <c r="O14" s="1623">
        <v>1321</v>
      </c>
      <c r="P14" s="1623">
        <v>2.72</v>
      </c>
      <c r="Q14" s="1623" t="s">
        <v>4583</v>
      </c>
      <c r="R14" s="1623" t="s">
        <v>3114</v>
      </c>
      <c r="S14" s="1623">
        <f t="shared" si="1"/>
        <v>2642</v>
      </c>
    </row>
    <row r="15" spans="1:19" s="3013" customFormat="1">
      <c r="A15" s="3013" t="s">
        <v>4584</v>
      </c>
      <c r="B15" s="3013" t="s">
        <v>4546</v>
      </c>
      <c r="C15" s="3013" t="s">
        <v>3088</v>
      </c>
      <c r="D15" s="3013" t="s">
        <v>4585</v>
      </c>
      <c r="E15" s="3013" t="s">
        <v>4586</v>
      </c>
      <c r="F15" s="3013">
        <v>10858</v>
      </c>
      <c r="G15" s="3013">
        <v>21716</v>
      </c>
      <c r="H15" s="3013" t="s">
        <v>4581</v>
      </c>
      <c r="I15" s="3013" t="s">
        <v>4550</v>
      </c>
      <c r="J15" s="3013" t="s">
        <v>3102</v>
      </c>
      <c r="K15" s="3013" t="s">
        <v>4552</v>
      </c>
      <c r="L15" s="3013" t="s">
        <v>4587</v>
      </c>
      <c r="M15" s="3013">
        <v>5984.93</v>
      </c>
      <c r="N15" s="3013">
        <v>367.47</v>
      </c>
      <c r="O15" s="3013">
        <v>2756</v>
      </c>
      <c r="P15" s="3013">
        <v>3.53</v>
      </c>
      <c r="Q15" s="3013" t="s">
        <v>4554</v>
      </c>
      <c r="R15" s="3013" t="s">
        <v>3114</v>
      </c>
      <c r="S15" s="1623">
        <f t="shared" si="1"/>
        <v>5512</v>
      </c>
    </row>
    <row r="16" spans="1:19" s="3013" customFormat="1">
      <c r="A16" s="3013" t="s">
        <v>4584</v>
      </c>
      <c r="B16" s="3013" t="s">
        <v>4546</v>
      </c>
      <c r="C16" s="3013" t="s">
        <v>3088</v>
      </c>
      <c r="D16" s="3013" t="s">
        <v>4588</v>
      </c>
      <c r="E16" s="3013" t="s">
        <v>4586</v>
      </c>
      <c r="F16" s="3013">
        <v>17621</v>
      </c>
      <c r="G16" s="3013">
        <v>61673.5</v>
      </c>
      <c r="H16" s="3013" t="s">
        <v>4589</v>
      </c>
      <c r="I16" s="3013" t="s">
        <v>4550</v>
      </c>
      <c r="J16" s="3013" t="s">
        <v>3102</v>
      </c>
      <c r="K16" s="3013" t="s">
        <v>4552</v>
      </c>
      <c r="L16" s="3013" t="s">
        <v>4590</v>
      </c>
      <c r="M16" s="3013">
        <v>16176.95</v>
      </c>
      <c r="N16" s="3013">
        <v>612.03</v>
      </c>
      <c r="O16" s="3013">
        <v>2623</v>
      </c>
      <c r="P16" s="3013">
        <v>2.62</v>
      </c>
      <c r="Q16" s="3013" t="s">
        <v>4554</v>
      </c>
      <c r="R16" s="3013" t="s">
        <v>3114</v>
      </c>
      <c r="S16" s="1623">
        <f t="shared" si="1"/>
        <v>9180</v>
      </c>
    </row>
    <row r="17" spans="1:19" s="3013" customFormat="1">
      <c r="A17" s="3013" t="s">
        <v>4584</v>
      </c>
      <c r="B17" s="3013" t="s">
        <v>4546</v>
      </c>
      <c r="C17" s="3013" t="s">
        <v>3088</v>
      </c>
      <c r="D17" s="3013" t="s">
        <v>4591</v>
      </c>
      <c r="E17" s="3013" t="s">
        <v>4586</v>
      </c>
      <c r="F17" s="3013">
        <v>3699</v>
      </c>
      <c r="G17" s="3013">
        <v>5548.5</v>
      </c>
      <c r="H17" s="3013" t="s">
        <v>4592</v>
      </c>
      <c r="I17" s="3013" t="s">
        <v>4550</v>
      </c>
      <c r="J17" s="3013" t="s">
        <v>3102</v>
      </c>
      <c r="K17" s="3013" t="s">
        <v>4552</v>
      </c>
      <c r="L17" s="3013" t="s">
        <v>4593</v>
      </c>
      <c r="M17" s="3013">
        <v>1798.81</v>
      </c>
      <c r="N17" s="3013">
        <v>324.2</v>
      </c>
      <c r="O17" s="3013">
        <v>3241.98</v>
      </c>
      <c r="P17" s="3013">
        <v>4.45</v>
      </c>
      <c r="Q17" s="3013" t="s">
        <v>4554</v>
      </c>
      <c r="R17" s="3013" t="s">
        <v>3186</v>
      </c>
      <c r="S17" s="1623">
        <f t="shared" si="1"/>
        <v>4863</v>
      </c>
    </row>
    <row r="18" spans="1:19" s="1623" customFormat="1">
      <c r="A18" s="1623" t="s">
        <v>4594</v>
      </c>
      <c r="B18" s="1623" t="s">
        <v>4546</v>
      </c>
      <c r="C18" s="1623" t="s">
        <v>3088</v>
      </c>
      <c r="D18" s="1623" t="s">
        <v>4595</v>
      </c>
      <c r="E18" s="1623" t="s">
        <v>4596</v>
      </c>
      <c r="F18" s="1623">
        <v>17302.55</v>
      </c>
      <c r="G18" s="1623">
        <v>34605.1</v>
      </c>
      <c r="H18" s="1623" t="s">
        <v>4597</v>
      </c>
      <c r="I18" s="1623" t="s">
        <v>4572</v>
      </c>
      <c r="J18" s="1623" t="s">
        <v>4598</v>
      </c>
      <c r="K18" s="1623" t="s">
        <v>4552</v>
      </c>
      <c r="L18" s="1623" t="s">
        <v>4599</v>
      </c>
      <c r="M18" s="1623">
        <v>7249.77</v>
      </c>
      <c r="N18" s="1623">
        <v>279.33</v>
      </c>
      <c r="O18" s="1623">
        <v>2095</v>
      </c>
      <c r="P18" s="1623">
        <v>0</v>
      </c>
      <c r="Q18" s="1623" t="s">
        <v>4554</v>
      </c>
      <c r="R18" s="1623" t="s">
        <v>3094</v>
      </c>
      <c r="S18" s="1623">
        <f t="shared" si="1"/>
        <v>4190</v>
      </c>
    </row>
    <row r="19" spans="1:19" s="1623" customFormat="1">
      <c r="A19" s="1623" t="s">
        <v>4600</v>
      </c>
      <c r="B19" s="1623" t="s">
        <v>4546</v>
      </c>
      <c r="C19" s="1623" t="s">
        <v>3088</v>
      </c>
      <c r="D19" s="1623" t="s">
        <v>4601</v>
      </c>
      <c r="E19" s="1623" t="s">
        <v>4602</v>
      </c>
      <c r="F19" s="1623">
        <v>4342</v>
      </c>
      <c r="G19" s="1623">
        <v>2171</v>
      </c>
      <c r="H19" s="1623" t="s">
        <v>4603</v>
      </c>
      <c r="I19" s="1623" t="s">
        <v>4572</v>
      </c>
      <c r="J19" s="1623" t="s">
        <v>4604</v>
      </c>
      <c r="K19" s="1623" t="s">
        <v>4552</v>
      </c>
      <c r="L19" s="1623" t="s">
        <v>4605</v>
      </c>
      <c r="M19" s="1623">
        <v>3437</v>
      </c>
      <c r="N19" s="1623">
        <v>527.71</v>
      </c>
      <c r="O19" s="1623">
        <v>15831.4</v>
      </c>
      <c r="P19" s="1623">
        <v>4.09</v>
      </c>
      <c r="Q19" s="1623" t="s">
        <v>4554</v>
      </c>
      <c r="R19" s="1623" t="s">
        <v>3114</v>
      </c>
      <c r="S19" s="1623">
        <f t="shared" si="1"/>
        <v>7916</v>
      </c>
    </row>
    <row r="20" spans="1:19" s="1623" customFormat="1">
      <c r="A20" s="1623" t="s">
        <v>4606</v>
      </c>
      <c r="B20" s="1623" t="s">
        <v>4546</v>
      </c>
      <c r="C20" s="1623" t="s">
        <v>3088</v>
      </c>
      <c r="D20" s="1623" t="s">
        <v>4607</v>
      </c>
      <c r="E20" s="1623" t="s">
        <v>4596</v>
      </c>
      <c r="F20" s="1623">
        <v>714.32</v>
      </c>
      <c r="G20" s="1623">
        <v>2142.96</v>
      </c>
      <c r="H20" s="1623" t="s">
        <v>4608</v>
      </c>
      <c r="I20" s="1623" t="s">
        <v>4572</v>
      </c>
      <c r="J20" s="1623" t="s">
        <v>4609</v>
      </c>
      <c r="K20" s="1623" t="s">
        <v>4552</v>
      </c>
      <c r="L20" s="1623" t="s">
        <v>4610</v>
      </c>
      <c r="M20" s="1623">
        <v>539.37</v>
      </c>
      <c r="N20" s="1623">
        <v>503.39</v>
      </c>
      <c r="O20" s="1623">
        <v>2516.98</v>
      </c>
      <c r="P20" s="1623" t="s">
        <v>1327</v>
      </c>
      <c r="Q20" s="1623" t="s">
        <v>4554</v>
      </c>
      <c r="R20" s="1623" t="s">
        <v>3114</v>
      </c>
      <c r="S20" s="1623">
        <f t="shared" si="1"/>
        <v>7551</v>
      </c>
    </row>
    <row r="21" spans="1:19" s="1623" customFormat="1">
      <c r="A21" s="1623" t="s">
        <v>4611</v>
      </c>
      <c r="B21" s="1623" t="s">
        <v>4546</v>
      </c>
      <c r="C21" s="1623" t="s">
        <v>3088</v>
      </c>
      <c r="D21" s="1623" t="s">
        <v>4612</v>
      </c>
      <c r="E21" s="1623" t="s">
        <v>4596</v>
      </c>
      <c r="F21" s="1623">
        <v>6261.65</v>
      </c>
      <c r="G21" s="1623">
        <v>21915.77</v>
      </c>
      <c r="H21" s="1623" t="s">
        <v>4613</v>
      </c>
      <c r="I21" s="1623" t="s">
        <v>4572</v>
      </c>
      <c r="J21" s="1623" t="s">
        <v>4609</v>
      </c>
      <c r="K21" s="1623" t="s">
        <v>4552</v>
      </c>
      <c r="L21" s="1623" t="s">
        <v>4614</v>
      </c>
      <c r="M21" s="1623">
        <v>3859.36</v>
      </c>
      <c r="N21" s="1623">
        <v>410.9</v>
      </c>
      <c r="O21" s="1623">
        <v>1761</v>
      </c>
      <c r="P21" s="1623" t="s">
        <v>1327</v>
      </c>
      <c r="Q21" s="1623" t="s">
        <v>4554</v>
      </c>
      <c r="R21" s="1623" t="s">
        <v>3114</v>
      </c>
      <c r="S21" s="1623">
        <f t="shared" si="1"/>
        <v>6163</v>
      </c>
    </row>
    <row r="22" spans="1:19" s="1623" customFormat="1">
      <c r="A22" s="1623" t="s">
        <v>4615</v>
      </c>
      <c r="B22" s="1623" t="s">
        <v>4546</v>
      </c>
      <c r="C22" s="1623" t="s">
        <v>3088</v>
      </c>
      <c r="D22" s="1623" t="s">
        <v>4616</v>
      </c>
      <c r="E22" s="1623" t="s">
        <v>4596</v>
      </c>
      <c r="F22" s="1623">
        <v>941.17</v>
      </c>
      <c r="G22" s="1623">
        <v>3294.09</v>
      </c>
      <c r="H22" s="1623" t="s">
        <v>4613</v>
      </c>
      <c r="I22" s="1623" t="s">
        <v>4572</v>
      </c>
      <c r="J22" s="1623" t="s">
        <v>4609</v>
      </c>
      <c r="K22" s="1623" t="s">
        <v>4552</v>
      </c>
      <c r="L22" s="1623" t="s">
        <v>4610</v>
      </c>
      <c r="M22" s="1623">
        <v>875.89</v>
      </c>
      <c r="N22" s="1623">
        <v>620.42999999999995</v>
      </c>
      <c r="O22" s="1623">
        <v>2659</v>
      </c>
      <c r="P22" s="1623" t="s">
        <v>1327</v>
      </c>
      <c r="Q22" s="1623" t="s">
        <v>4554</v>
      </c>
      <c r="R22" s="1623" t="s">
        <v>3094</v>
      </c>
      <c r="S22" s="1623">
        <f t="shared" si="1"/>
        <v>9306</v>
      </c>
    </row>
    <row r="23" spans="1:19" s="1623" customFormat="1">
      <c r="A23" s="1623" t="s">
        <v>4606</v>
      </c>
      <c r="B23" s="1623" t="s">
        <v>4546</v>
      </c>
      <c r="C23" s="1623" t="s">
        <v>3088</v>
      </c>
      <c r="D23" s="1623" t="s">
        <v>4617</v>
      </c>
      <c r="E23" s="1623" t="s">
        <v>4596</v>
      </c>
      <c r="F23" s="1623">
        <v>1700</v>
      </c>
      <c r="G23" s="1623">
        <v>7650</v>
      </c>
      <c r="H23" s="1623" t="s">
        <v>4618</v>
      </c>
      <c r="I23" s="1623" t="s">
        <v>4572</v>
      </c>
      <c r="J23" s="1623" t="s">
        <v>4609</v>
      </c>
      <c r="K23" s="1623" t="s">
        <v>4552</v>
      </c>
      <c r="L23" s="1623" t="s">
        <v>4610</v>
      </c>
      <c r="M23" s="1623">
        <v>1780.92</v>
      </c>
      <c r="N23" s="1623">
        <v>698.4</v>
      </c>
      <c r="O23" s="1623">
        <v>2328</v>
      </c>
      <c r="P23" s="1623">
        <v>0</v>
      </c>
      <c r="Q23" s="1623" t="s">
        <v>4554</v>
      </c>
      <c r="R23" s="1623" t="s">
        <v>3094</v>
      </c>
      <c r="S23" s="1623">
        <f t="shared" si="1"/>
        <v>10476</v>
      </c>
    </row>
    <row r="24" spans="1:19" s="1623" customFormat="1">
      <c r="A24" s="1623" t="s">
        <v>4619</v>
      </c>
      <c r="B24" s="1623" t="s">
        <v>4546</v>
      </c>
      <c r="C24" s="1623" t="s">
        <v>3088</v>
      </c>
      <c r="D24" s="1623" t="s">
        <v>4620</v>
      </c>
      <c r="E24" s="1623" t="s">
        <v>4621</v>
      </c>
      <c r="F24" s="1623">
        <v>144658.70000000001</v>
      </c>
      <c r="G24" s="1623">
        <v>72329.350000000006</v>
      </c>
      <c r="H24" s="1623" t="s">
        <v>4622</v>
      </c>
      <c r="I24" s="1623" t="s">
        <v>4572</v>
      </c>
      <c r="J24" s="1623" t="s">
        <v>4609</v>
      </c>
      <c r="K24" s="1623" t="s">
        <v>4552</v>
      </c>
      <c r="L24" s="1623" t="s">
        <v>3153</v>
      </c>
      <c r="M24" s="1623">
        <v>12823.98</v>
      </c>
      <c r="N24" s="1623">
        <v>59.1</v>
      </c>
      <c r="O24" s="1623">
        <v>1773</v>
      </c>
      <c r="P24" s="1623" t="s">
        <v>1327</v>
      </c>
      <c r="Q24" s="1623" t="s">
        <v>4554</v>
      </c>
      <c r="R24" s="1623" t="s">
        <v>3094</v>
      </c>
      <c r="S24" s="1623">
        <f t="shared" si="1"/>
        <v>886</v>
      </c>
    </row>
    <row r="25" spans="1:19" s="1623" customFormat="1">
      <c r="A25" s="1623" t="s">
        <v>4606</v>
      </c>
      <c r="B25" s="1623" t="s">
        <v>4546</v>
      </c>
      <c r="C25" s="1623" t="s">
        <v>3088</v>
      </c>
      <c r="D25" s="1623" t="s">
        <v>4623</v>
      </c>
      <c r="E25" s="1623" t="s">
        <v>4596</v>
      </c>
      <c r="F25" s="1623">
        <v>741.35</v>
      </c>
      <c r="G25" s="1623">
        <v>741.35</v>
      </c>
      <c r="H25" s="1623" t="s">
        <v>4624</v>
      </c>
      <c r="I25" s="1623" t="s">
        <v>4572</v>
      </c>
      <c r="J25" s="1623" t="s">
        <v>4609</v>
      </c>
      <c r="K25" s="1623" t="s">
        <v>4552</v>
      </c>
      <c r="L25" s="1623" t="s">
        <v>4610</v>
      </c>
      <c r="M25" s="1623">
        <v>278.52</v>
      </c>
      <c r="N25" s="1623">
        <v>250.46</v>
      </c>
      <c r="O25" s="1623">
        <v>3757.05</v>
      </c>
      <c r="P25" s="1623">
        <v>0</v>
      </c>
      <c r="Q25" s="1623" t="s">
        <v>4554</v>
      </c>
      <c r="R25" s="1623" t="s">
        <v>3094</v>
      </c>
      <c r="S25" s="1623">
        <f t="shared" si="1"/>
        <v>3757</v>
      </c>
    </row>
    <row r="26" spans="1:19" s="1623" customFormat="1">
      <c r="A26" s="1623" t="s">
        <v>4606</v>
      </c>
      <c r="B26" s="1623" t="s">
        <v>4546</v>
      </c>
      <c r="C26" s="1623" t="s">
        <v>3088</v>
      </c>
      <c r="D26" s="1623" t="s">
        <v>4625</v>
      </c>
      <c r="E26" s="1623" t="s">
        <v>4596</v>
      </c>
      <c r="F26" s="1623">
        <v>2416.5500000000002</v>
      </c>
      <c r="G26" s="1623">
        <v>9666.2000000000007</v>
      </c>
      <c r="H26" s="1623" t="s">
        <v>4626</v>
      </c>
      <c r="I26" s="1623" t="s">
        <v>4572</v>
      </c>
      <c r="J26" s="1623" t="s">
        <v>4609</v>
      </c>
      <c r="K26" s="1623" t="s">
        <v>4552</v>
      </c>
      <c r="L26" s="1623" t="s">
        <v>4610</v>
      </c>
      <c r="M26" s="1623">
        <v>2331.48</v>
      </c>
      <c r="N26" s="1623">
        <v>643.20000000000005</v>
      </c>
      <c r="O26" s="1623">
        <v>2412</v>
      </c>
      <c r="P26" s="1623">
        <v>0</v>
      </c>
      <c r="Q26" s="1623" t="s">
        <v>4554</v>
      </c>
      <c r="R26" s="1623" t="s">
        <v>3094</v>
      </c>
      <c r="S26" s="1623">
        <f t="shared" si="1"/>
        <v>9648</v>
      </c>
    </row>
    <row r="27" spans="1:19" s="1623" customFormat="1">
      <c r="A27" s="1623" t="s">
        <v>4606</v>
      </c>
      <c r="B27" s="1623" t="s">
        <v>4546</v>
      </c>
      <c r="C27" s="1623" t="s">
        <v>3088</v>
      </c>
      <c r="D27" s="1623" t="s">
        <v>4627</v>
      </c>
      <c r="E27" s="1623" t="s">
        <v>4596</v>
      </c>
      <c r="F27" s="1623">
        <v>2077.33</v>
      </c>
      <c r="G27" s="1623">
        <v>7270.65</v>
      </c>
      <c r="H27" s="1623" t="s">
        <v>4613</v>
      </c>
      <c r="I27" s="1623" t="s">
        <v>4572</v>
      </c>
      <c r="J27" s="1623" t="s">
        <v>4609</v>
      </c>
      <c r="K27" s="1623" t="s">
        <v>4552</v>
      </c>
      <c r="L27" s="1623" t="s">
        <v>4610</v>
      </c>
      <c r="M27" s="1623">
        <v>1967.44</v>
      </c>
      <c r="N27" s="1623">
        <v>631.4</v>
      </c>
      <c r="O27" s="1623">
        <v>2706</v>
      </c>
      <c r="P27" s="1623" t="s">
        <v>1327</v>
      </c>
      <c r="Q27" s="1623" t="s">
        <v>4554</v>
      </c>
      <c r="R27" s="1623" t="s">
        <v>3094</v>
      </c>
      <c r="S27" s="1623">
        <f t="shared" si="1"/>
        <v>9471</v>
      </c>
    </row>
    <row r="28" spans="1:19" s="1623" customFormat="1">
      <c r="A28" s="1623" t="s">
        <v>4606</v>
      </c>
      <c r="B28" s="1623" t="s">
        <v>4546</v>
      </c>
      <c r="C28" s="1623" t="s">
        <v>3088</v>
      </c>
      <c r="D28" s="1623" t="s">
        <v>4628</v>
      </c>
      <c r="E28" s="1623" t="s">
        <v>4596</v>
      </c>
      <c r="F28" s="1623">
        <v>491.32</v>
      </c>
      <c r="G28" s="1623">
        <v>1719.62</v>
      </c>
      <c r="H28" s="1623" t="s">
        <v>4613</v>
      </c>
      <c r="I28" s="1623" t="s">
        <v>4572</v>
      </c>
      <c r="J28" s="1623" t="s">
        <v>4609</v>
      </c>
      <c r="K28" s="1623" t="s">
        <v>4552</v>
      </c>
      <c r="L28" s="1623" t="s">
        <v>4610</v>
      </c>
      <c r="M28" s="1623">
        <v>422.5</v>
      </c>
      <c r="N28" s="1623">
        <v>573.29</v>
      </c>
      <c r="O28" s="1623">
        <v>2457</v>
      </c>
      <c r="P28" s="1623">
        <v>0</v>
      </c>
      <c r="Q28" s="1623" t="s">
        <v>4554</v>
      </c>
      <c r="R28" s="1623" t="s">
        <v>3094</v>
      </c>
      <c r="S28" s="1623">
        <f t="shared" si="1"/>
        <v>8599</v>
      </c>
    </row>
    <row r="29" spans="1:19" s="1623" customFormat="1">
      <c r="A29" s="1623" t="s">
        <v>3149</v>
      </c>
      <c r="B29" s="1623" t="s">
        <v>4546</v>
      </c>
      <c r="C29" s="1623" t="s">
        <v>3088</v>
      </c>
      <c r="D29" s="1623" t="s">
        <v>4629</v>
      </c>
      <c r="E29" s="1623" t="s">
        <v>4596</v>
      </c>
      <c r="F29" s="1623">
        <v>23565.37</v>
      </c>
      <c r="G29" s="1623">
        <v>58913.42</v>
      </c>
      <c r="H29" s="1623" t="s">
        <v>4630</v>
      </c>
      <c r="I29" s="1623" t="s">
        <v>4572</v>
      </c>
      <c r="J29" s="1623" t="s">
        <v>3152</v>
      </c>
      <c r="K29" s="1623" t="s">
        <v>4552</v>
      </c>
      <c r="L29" s="1623" t="s">
        <v>3153</v>
      </c>
      <c r="M29" s="1623">
        <v>17355.900000000001</v>
      </c>
      <c r="N29" s="1623">
        <v>491</v>
      </c>
      <c r="O29" s="1623">
        <v>2946</v>
      </c>
      <c r="P29" s="1623" t="s">
        <v>1327</v>
      </c>
      <c r="Q29" s="1623" t="s">
        <v>4554</v>
      </c>
      <c r="R29" s="1623" t="s">
        <v>3094</v>
      </c>
      <c r="S29" s="1623">
        <f t="shared" si="1"/>
        <v>7365</v>
      </c>
    </row>
    <row r="30" spans="1:19" s="1623" customFormat="1">
      <c r="A30" s="1623" t="s">
        <v>4631</v>
      </c>
      <c r="B30" s="1623" t="s">
        <v>4546</v>
      </c>
      <c r="C30" s="1623" t="s">
        <v>3088</v>
      </c>
      <c r="D30" s="1623" t="s">
        <v>4632</v>
      </c>
      <c r="E30" s="1623" t="s">
        <v>4596</v>
      </c>
      <c r="F30" s="1623">
        <v>22284.17</v>
      </c>
      <c r="G30" s="1623">
        <v>17827.34</v>
      </c>
      <c r="H30" s="1623" t="s">
        <v>4633</v>
      </c>
      <c r="I30" s="1623" t="s">
        <v>4572</v>
      </c>
      <c r="J30" s="1623" t="s">
        <v>3152</v>
      </c>
      <c r="K30" s="1623" t="s">
        <v>4552</v>
      </c>
      <c r="L30" s="1623" t="s">
        <v>4634</v>
      </c>
      <c r="M30" s="1623">
        <v>2814.94</v>
      </c>
      <c r="N30" s="1623">
        <v>84.21</v>
      </c>
      <c r="O30" s="1623">
        <v>1579</v>
      </c>
      <c r="P30" s="1623" t="s">
        <v>1327</v>
      </c>
      <c r="Q30" s="1623" t="s">
        <v>4554</v>
      </c>
      <c r="R30" s="1623" t="s">
        <v>3094</v>
      </c>
      <c r="S30" s="1623">
        <f t="shared" si="1"/>
        <v>1263</v>
      </c>
    </row>
    <row r="31" spans="1:19" s="1623" customFormat="1">
      <c r="A31" s="1623" t="s">
        <v>4631</v>
      </c>
      <c r="B31" s="1623" t="s">
        <v>4546</v>
      </c>
      <c r="C31" s="1623" t="s">
        <v>3088</v>
      </c>
      <c r="D31" s="1623" t="s">
        <v>4635</v>
      </c>
      <c r="E31" s="1623" t="s">
        <v>4596</v>
      </c>
      <c r="F31" s="1623">
        <v>27696.44</v>
      </c>
      <c r="G31" s="1623">
        <v>13848.22</v>
      </c>
      <c r="H31" s="1623" t="s">
        <v>4622</v>
      </c>
      <c r="I31" s="1623" t="s">
        <v>4572</v>
      </c>
      <c r="J31" s="1623" t="s">
        <v>3152</v>
      </c>
      <c r="K31" s="1623" t="s">
        <v>4552</v>
      </c>
      <c r="L31" s="1623" t="s">
        <v>4634</v>
      </c>
      <c r="M31" s="1623">
        <v>2798.73</v>
      </c>
      <c r="N31" s="1623">
        <v>67.37</v>
      </c>
      <c r="O31" s="1623">
        <v>2021</v>
      </c>
      <c r="P31" s="1623" t="s">
        <v>1327</v>
      </c>
      <c r="Q31" s="1623" t="s">
        <v>4554</v>
      </c>
      <c r="R31" s="1623" t="s">
        <v>3114</v>
      </c>
      <c r="S31" s="1623">
        <f t="shared" si="1"/>
        <v>1011</v>
      </c>
    </row>
    <row r="32" spans="1:19" s="1623" customFormat="1">
      <c r="A32" s="1623" t="s">
        <v>3149</v>
      </c>
      <c r="B32" s="1623" t="s">
        <v>4546</v>
      </c>
      <c r="C32" s="1623" t="s">
        <v>3088</v>
      </c>
      <c r="D32" s="1623" t="s">
        <v>4636</v>
      </c>
      <c r="E32" s="1623" t="s">
        <v>4596</v>
      </c>
      <c r="F32" s="1623">
        <v>13935.29</v>
      </c>
      <c r="G32" s="1623">
        <v>27870.58</v>
      </c>
      <c r="H32" s="1623" t="s">
        <v>4597</v>
      </c>
      <c r="I32" s="1623" t="s">
        <v>4572</v>
      </c>
      <c r="J32" s="1623" t="s">
        <v>3152</v>
      </c>
      <c r="K32" s="1623" t="s">
        <v>4552</v>
      </c>
      <c r="L32" s="1623" t="s">
        <v>3153</v>
      </c>
      <c r="M32" s="1623">
        <v>8483.7900000000009</v>
      </c>
      <c r="N32" s="1623">
        <v>405.87</v>
      </c>
      <c r="O32" s="1623">
        <v>3044</v>
      </c>
      <c r="P32" s="1623" t="s">
        <v>1327</v>
      </c>
      <c r="Q32" s="1623" t="s">
        <v>3104</v>
      </c>
      <c r="R32" s="1623" t="s">
        <v>3114</v>
      </c>
      <c r="S32" s="1623">
        <f t="shared" si="1"/>
        <v>6088</v>
      </c>
    </row>
    <row r="33" spans="1:19" s="1623" customFormat="1">
      <c r="A33" s="1623" t="s">
        <v>4637</v>
      </c>
      <c r="B33" s="1623" t="s">
        <v>4546</v>
      </c>
      <c r="C33" s="1623" t="s">
        <v>3088</v>
      </c>
      <c r="D33" s="1623" t="s">
        <v>4638</v>
      </c>
      <c r="E33" s="1623" t="s">
        <v>4586</v>
      </c>
      <c r="F33" s="1623">
        <v>12150</v>
      </c>
      <c r="G33" s="1623">
        <v>15795</v>
      </c>
      <c r="H33" s="1623" t="s">
        <v>4639</v>
      </c>
      <c r="I33" s="1623" t="s">
        <v>4572</v>
      </c>
      <c r="J33" s="1623" t="s">
        <v>3168</v>
      </c>
      <c r="K33" s="1623" t="s">
        <v>4552</v>
      </c>
      <c r="L33" s="1623" t="s">
        <v>4640</v>
      </c>
      <c r="M33" s="1623">
        <v>9162.68</v>
      </c>
      <c r="N33" s="1623">
        <v>502.75</v>
      </c>
      <c r="O33" s="1623">
        <v>5801</v>
      </c>
      <c r="P33" s="1623" t="s">
        <v>1327</v>
      </c>
      <c r="Q33" s="1623" t="s">
        <v>4554</v>
      </c>
      <c r="R33" s="1623" t="s">
        <v>3180</v>
      </c>
      <c r="S33" s="1623">
        <f t="shared" si="1"/>
        <v>7541</v>
      </c>
    </row>
    <row r="34" spans="1:19" s="1623" customFormat="1">
      <c r="A34" s="1623" t="s">
        <v>4641</v>
      </c>
      <c r="B34" s="1623" t="s">
        <v>4546</v>
      </c>
      <c r="C34" s="1623" t="s">
        <v>3088</v>
      </c>
      <c r="D34" s="1623" t="s">
        <v>4642</v>
      </c>
      <c r="E34" s="1623" t="s">
        <v>4643</v>
      </c>
      <c r="F34" s="1623">
        <v>25827.77</v>
      </c>
      <c r="G34" s="1623">
        <v>25827.77</v>
      </c>
      <c r="H34" s="1623" t="s">
        <v>4644</v>
      </c>
      <c r="I34" s="1623" t="s">
        <v>4572</v>
      </c>
      <c r="J34" s="1623" t="s">
        <v>4645</v>
      </c>
      <c r="K34" s="1623" t="s">
        <v>4552</v>
      </c>
      <c r="L34" s="1623" t="s">
        <v>3153</v>
      </c>
      <c r="M34" s="1623">
        <v>7655.35</v>
      </c>
      <c r="N34" s="1623">
        <v>197.6</v>
      </c>
      <c r="O34" s="1623">
        <v>2964</v>
      </c>
      <c r="P34" s="1623">
        <v>0</v>
      </c>
      <c r="Q34" s="1623" t="s">
        <v>4554</v>
      </c>
      <c r="R34" s="1623" t="s">
        <v>3114</v>
      </c>
      <c r="S34" s="1623">
        <f t="shared" si="1"/>
        <v>2964</v>
      </c>
    </row>
    <row r="35" spans="1:19" s="1623" customFormat="1">
      <c r="A35" s="1623" t="s">
        <v>4646</v>
      </c>
      <c r="B35" s="1623" t="s">
        <v>4546</v>
      </c>
      <c r="C35" s="1623" t="s">
        <v>3088</v>
      </c>
      <c r="D35" s="1623" t="s">
        <v>4647</v>
      </c>
      <c r="E35" s="1623" t="s">
        <v>4586</v>
      </c>
      <c r="F35" s="1623">
        <v>7197</v>
      </c>
      <c r="G35" s="1623">
        <v>10795.5</v>
      </c>
      <c r="H35" s="1623">
        <v>1.5</v>
      </c>
      <c r="I35" s="1623" t="s">
        <v>4572</v>
      </c>
      <c r="J35" s="1623" t="s">
        <v>4648</v>
      </c>
      <c r="K35" s="1623" t="s">
        <v>4552</v>
      </c>
      <c r="L35" s="1623" t="s">
        <v>4649</v>
      </c>
      <c r="M35" s="1623">
        <v>2700</v>
      </c>
      <c r="N35" s="1623">
        <v>250.1</v>
      </c>
      <c r="O35" s="1623">
        <v>2501.0300000000002</v>
      </c>
      <c r="P35" s="1623">
        <v>4.25</v>
      </c>
      <c r="Q35" s="1623" t="s">
        <v>4554</v>
      </c>
      <c r="R35" s="1623" t="s">
        <v>3186</v>
      </c>
      <c r="S35" s="1623">
        <f t="shared" si="1"/>
        <v>3752</v>
      </c>
    </row>
    <row r="36" spans="1:19" s="1623" customFormat="1">
      <c r="A36" s="1623" t="s">
        <v>3187</v>
      </c>
      <c r="B36" s="1623" t="s">
        <v>4546</v>
      </c>
      <c r="C36" s="1623" t="s">
        <v>3088</v>
      </c>
      <c r="D36" s="1623" t="s">
        <v>4650</v>
      </c>
      <c r="E36" s="1623" t="s">
        <v>4586</v>
      </c>
      <c r="F36" s="1623">
        <v>16770</v>
      </c>
      <c r="G36" s="1623">
        <v>16770</v>
      </c>
      <c r="H36" s="1623" t="s">
        <v>4651</v>
      </c>
      <c r="I36" s="1623" t="s">
        <v>4572</v>
      </c>
      <c r="J36" s="1623" t="s">
        <v>3184</v>
      </c>
      <c r="K36" s="1623" t="s">
        <v>4552</v>
      </c>
      <c r="L36" s="1623" t="s">
        <v>3185</v>
      </c>
      <c r="M36" s="1623">
        <v>5864.47</v>
      </c>
      <c r="N36" s="1623">
        <v>233.13</v>
      </c>
      <c r="O36" s="1623">
        <v>3497</v>
      </c>
      <c r="P36" s="1623">
        <v>3.77</v>
      </c>
      <c r="Q36" s="1623" t="s">
        <v>4554</v>
      </c>
      <c r="R36" s="1623" t="s">
        <v>3180</v>
      </c>
      <c r="S36" s="1623">
        <f t="shared" si="1"/>
        <v>3497</v>
      </c>
    </row>
    <row r="37" spans="1:19" s="1623" customFormat="1">
      <c r="A37" s="1623" t="s">
        <v>3187</v>
      </c>
      <c r="B37" s="1623" t="s">
        <v>4546</v>
      </c>
      <c r="C37" s="1623" t="s">
        <v>3088</v>
      </c>
      <c r="D37" s="1623" t="s">
        <v>4652</v>
      </c>
      <c r="E37" s="1623" t="s">
        <v>4586</v>
      </c>
      <c r="F37" s="1623">
        <v>6060</v>
      </c>
      <c r="G37" s="1623">
        <v>18180</v>
      </c>
      <c r="H37" s="1623" t="s">
        <v>4571</v>
      </c>
      <c r="I37" s="1623" t="s">
        <v>4572</v>
      </c>
      <c r="J37" s="1623" t="s">
        <v>3184</v>
      </c>
      <c r="K37" s="1623" t="s">
        <v>4552</v>
      </c>
      <c r="L37" s="1623" t="s">
        <v>3185</v>
      </c>
      <c r="M37" s="1623">
        <v>3743.26</v>
      </c>
      <c r="N37" s="1623">
        <v>411.8</v>
      </c>
      <c r="O37" s="1623">
        <v>2059</v>
      </c>
      <c r="P37" s="1623">
        <v>3.99</v>
      </c>
      <c r="Q37" s="1623" t="s">
        <v>4554</v>
      </c>
      <c r="R37" s="1623" t="s">
        <v>3180</v>
      </c>
      <c r="S37" s="1623">
        <f t="shared" si="1"/>
        <v>6177</v>
      </c>
    </row>
    <row r="38" spans="1:19" s="1623" customFormat="1">
      <c r="A38" s="1623" t="s">
        <v>4653</v>
      </c>
      <c r="B38" s="1623" t="s">
        <v>4546</v>
      </c>
      <c r="C38" s="1623" t="s">
        <v>3088</v>
      </c>
      <c r="D38" s="1623" t="s">
        <v>4654</v>
      </c>
      <c r="E38" s="1623" t="s">
        <v>4586</v>
      </c>
      <c r="F38" s="1623">
        <v>8705</v>
      </c>
      <c r="G38" s="1623">
        <v>8705</v>
      </c>
      <c r="H38" s="1623" t="s">
        <v>4651</v>
      </c>
      <c r="I38" s="1623" t="s">
        <v>4572</v>
      </c>
      <c r="J38" s="1623" t="s">
        <v>4655</v>
      </c>
      <c r="K38" s="1623" t="s">
        <v>4552</v>
      </c>
      <c r="L38" s="1623" t="s">
        <v>4656</v>
      </c>
      <c r="M38" s="1623">
        <v>2910</v>
      </c>
      <c r="N38" s="1623">
        <v>222.86</v>
      </c>
      <c r="O38" s="1623">
        <v>3342.9</v>
      </c>
      <c r="P38" s="1623">
        <v>4.3</v>
      </c>
      <c r="Q38" s="1623" t="s">
        <v>4554</v>
      </c>
      <c r="R38" s="1623" t="s">
        <v>3114</v>
      </c>
      <c r="S38" s="1623">
        <f t="shared" si="1"/>
        <v>3343</v>
      </c>
    </row>
    <row r="39" spans="1:19" s="1623" customFormat="1">
      <c r="A39" s="1623" t="s">
        <v>3187</v>
      </c>
      <c r="B39" s="1623" t="s">
        <v>4546</v>
      </c>
      <c r="C39" s="1623" t="s">
        <v>3088</v>
      </c>
      <c r="D39" s="1623" t="s">
        <v>4657</v>
      </c>
      <c r="E39" s="1623" t="s">
        <v>4586</v>
      </c>
      <c r="F39" s="1623">
        <v>18121</v>
      </c>
      <c r="G39" s="1623">
        <v>72484</v>
      </c>
      <c r="H39" s="1623" t="s">
        <v>4658</v>
      </c>
      <c r="I39" s="1623" t="s">
        <v>4572</v>
      </c>
      <c r="J39" s="1623" t="s">
        <v>3199</v>
      </c>
      <c r="K39" s="1623" t="s">
        <v>4552</v>
      </c>
      <c r="L39" s="1623" t="s">
        <v>3185</v>
      </c>
      <c r="M39" s="1623">
        <v>16142.19</v>
      </c>
      <c r="N39" s="1623">
        <v>593.87</v>
      </c>
      <c r="O39" s="1623">
        <v>2227</v>
      </c>
      <c r="P39" s="1623">
        <v>2.63</v>
      </c>
      <c r="Q39" s="1623" t="s">
        <v>4554</v>
      </c>
      <c r="R39" s="1623" t="s">
        <v>3180</v>
      </c>
      <c r="S39" s="1623">
        <f t="shared" si="1"/>
        <v>8908</v>
      </c>
    </row>
    <row r="40" spans="1:19" s="1623" customFormat="1">
      <c r="A40" s="1623" t="s">
        <v>3187</v>
      </c>
      <c r="B40" s="1623" t="s">
        <v>4546</v>
      </c>
      <c r="C40" s="1623" t="s">
        <v>3088</v>
      </c>
      <c r="D40" s="1623" t="s">
        <v>4659</v>
      </c>
      <c r="E40" s="1623" t="s">
        <v>4586</v>
      </c>
      <c r="F40" s="1623">
        <v>22919</v>
      </c>
      <c r="G40" s="1623">
        <v>22919</v>
      </c>
      <c r="H40" s="1623" t="s">
        <v>4660</v>
      </c>
      <c r="I40" s="1623" t="s">
        <v>4572</v>
      </c>
      <c r="J40" s="1623" t="s">
        <v>3199</v>
      </c>
      <c r="K40" s="1623" t="s">
        <v>4552</v>
      </c>
      <c r="L40" s="1623" t="s">
        <v>3185</v>
      </c>
      <c r="M40" s="1623">
        <v>10664.2</v>
      </c>
      <c r="N40" s="1623">
        <v>310.2</v>
      </c>
      <c r="O40" s="1623">
        <v>4653</v>
      </c>
      <c r="P40" s="1623">
        <v>3.17</v>
      </c>
      <c r="Q40" s="1623" t="s">
        <v>4554</v>
      </c>
      <c r="R40" s="1623" t="s">
        <v>3180</v>
      </c>
      <c r="S40" s="1623">
        <f t="shared" si="1"/>
        <v>4653</v>
      </c>
    </row>
    <row r="41" spans="1:19" s="1623" customFormat="1">
      <c r="A41" s="1623" t="s">
        <v>3172</v>
      </c>
      <c r="B41" s="1623" t="s">
        <v>4546</v>
      </c>
      <c r="C41" s="1623" t="s">
        <v>3088</v>
      </c>
      <c r="D41" s="1623" t="s">
        <v>4661</v>
      </c>
      <c r="E41" s="1623" t="s">
        <v>4586</v>
      </c>
      <c r="F41" s="1623">
        <v>13278</v>
      </c>
      <c r="G41" s="1623">
        <v>19917</v>
      </c>
      <c r="H41" s="1623" t="s">
        <v>4592</v>
      </c>
      <c r="I41" s="1623" t="s">
        <v>4572</v>
      </c>
      <c r="J41" s="1623" t="s">
        <v>4662</v>
      </c>
      <c r="K41" s="1623" t="s">
        <v>4552</v>
      </c>
      <c r="L41" s="1623" t="s">
        <v>4663</v>
      </c>
      <c r="M41" s="1623">
        <v>3316.17</v>
      </c>
      <c r="N41" s="1623">
        <v>166.5</v>
      </c>
      <c r="O41" s="1623">
        <v>1665</v>
      </c>
      <c r="P41" s="1623">
        <v>4.0599999999999996</v>
      </c>
      <c r="Q41" s="1623" t="s">
        <v>4554</v>
      </c>
      <c r="R41" s="1623" t="s">
        <v>3114</v>
      </c>
      <c r="S41" s="1623">
        <f t="shared" si="1"/>
        <v>2497</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15:T301"/>
  <sheetViews>
    <sheetView topLeftCell="A274" zoomScaleNormal="100" workbookViewId="0">
      <selection activeCell="T290" sqref="T290"/>
    </sheetView>
  </sheetViews>
  <sheetFormatPr defaultRowHeight="13.5"/>
  <sheetData>
    <row r="115" spans="11:11">
      <c r="K115">
        <f>(9500+12000)/2</f>
        <v>10750</v>
      </c>
    </row>
    <row r="246" spans="15:15">
      <c r="O246">
        <f>1204872/118.5</f>
        <v>10167.696202531646</v>
      </c>
    </row>
    <row r="247" spans="15:15">
      <c r="O247">
        <f>1204872/118.5</f>
        <v>10167.696202531646</v>
      </c>
    </row>
    <row r="250" spans="15:15">
      <c r="O250">
        <f>1217805/114.11</f>
        <v>10672.202260976252</v>
      </c>
    </row>
    <row r="286" spans="20:20">
      <c r="T286">
        <f>1145014/42.2</f>
        <v>27133.033175355449</v>
      </c>
    </row>
    <row r="301" spans="20:20">
      <c r="T301">
        <f>1615730/84.31</f>
        <v>19164.156090617958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1" customWidth="1"/>
    <col min="2" max="9" width="12.125" style="1931" customWidth="1"/>
    <col min="10" max="16384" width="9" style="1931"/>
  </cols>
  <sheetData>
    <row r="1" spans="1:9" ht="18.75" thickBot="1">
      <c r="A1" s="3070" t="str">
        <f>IF(项目基本情况!B9="房地产市场价值","估价结果一览表","结果表-2")</f>
        <v>结果表-2</v>
      </c>
      <c r="B1" s="3070"/>
      <c r="C1" s="3070"/>
      <c r="D1" s="3070"/>
      <c r="E1" s="3070"/>
      <c r="F1" s="3070"/>
      <c r="G1" s="3070"/>
      <c r="H1" s="3070"/>
      <c r="I1" s="3070"/>
    </row>
    <row r="2" spans="1:9" ht="30" customHeight="1" thickTop="1">
      <c r="A2" s="3071" t="s">
        <v>1636</v>
      </c>
      <c r="B2" s="3071" t="s">
        <v>1637</v>
      </c>
      <c r="C2" s="3071" t="s">
        <v>1638</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5">
      <c r="A3" s="3065"/>
      <c r="B3" s="3065"/>
      <c r="C3" s="3065"/>
      <c r="D3" s="1033" t="s">
        <v>1633</v>
      </c>
      <c r="E3" s="1033" t="s">
        <v>1639</v>
      </c>
      <c r="F3" s="1033" t="s">
        <v>1633</v>
      </c>
      <c r="G3" s="1033" t="s">
        <v>1634</v>
      </c>
      <c r="H3" s="1033" t="s">
        <v>1633</v>
      </c>
      <c r="I3" s="1033" t="s">
        <v>1634</v>
      </c>
    </row>
    <row r="4" spans="1:9" ht="45">
      <c r="A4" s="1959" t="str">
        <f>项目基本情况!S2</f>
        <v>贵州省贵阳市花溪区贵筑社区尖山村、马洞村出让国有建设用地使用权</v>
      </c>
      <c r="B4" s="1033">
        <f>项目基本情况!C17</f>
        <v>66687.25</v>
      </c>
      <c r="C4" s="1033">
        <f>项目基本情况!C18</f>
        <v>19053.5</v>
      </c>
      <c r="D4" s="1033">
        <f ca="1">结果表!D118</f>
        <v>27909</v>
      </c>
      <c r="E4" s="1033">
        <f ca="1">结果表!E118</f>
        <v>4185</v>
      </c>
      <c r="F4" s="1033">
        <f ca="1">结果表!F118</f>
        <v>0</v>
      </c>
      <c r="G4" s="1033">
        <f ca="1">结果表!G118</f>
        <v>0</v>
      </c>
      <c r="H4" s="1033">
        <f ca="1">结果表!H118</f>
        <v>27909</v>
      </c>
      <c r="I4" s="1033">
        <f ca="1">结果表!I118</f>
        <v>4185</v>
      </c>
    </row>
    <row r="5" spans="1:9" ht="30" customHeight="1">
      <c r="A5" s="3065" t="s">
        <v>1635</v>
      </c>
      <c r="B5" s="3065"/>
      <c r="C5" s="3065"/>
      <c r="D5" s="3066" t="str">
        <f ca="1">结果表!D119</f>
        <v>贰亿柒仟玖佰零玖万元整</v>
      </c>
      <c r="E5" s="3066"/>
      <c r="F5" s="3066" t="str">
        <f ca="1">结果表!F119</f>
        <v>零元整</v>
      </c>
      <c r="G5" s="3066"/>
      <c r="H5" s="3066" t="str">
        <f ca="1">结果表!H119</f>
        <v>贰亿柒仟玖佰零玖万元整</v>
      </c>
      <c r="I5" s="3066"/>
    </row>
    <row r="6" spans="1:9" ht="15.75">
      <c r="A6" s="3064" t="str">
        <f>结果表!A120</f>
        <v>估价师知悉的法定优先受偿款</v>
      </c>
      <c r="B6" s="3064"/>
      <c r="C6" s="3064"/>
      <c r="D6" s="3064">
        <f>结果表!D120</f>
        <v>0</v>
      </c>
      <c r="E6" s="3064"/>
      <c r="F6" s="3064"/>
      <c r="G6" s="3064"/>
      <c r="H6" s="3064"/>
      <c r="I6" s="3064"/>
    </row>
    <row r="7" spans="1:9" ht="15">
      <c r="A7" s="3065" t="s">
        <v>1635</v>
      </c>
      <c r="B7" s="3065"/>
      <c r="C7" s="3065"/>
      <c r="D7" s="3067" t="str">
        <f>结果表!D121</f>
        <v>零元整</v>
      </c>
      <c r="E7" s="3068"/>
      <c r="F7" s="3068"/>
      <c r="G7" s="3068"/>
      <c r="H7" s="3068"/>
      <c r="I7" s="3069"/>
    </row>
    <row r="8" spans="1:9" ht="15.75">
      <c r="A8" s="3064" t="str">
        <f>结果表!A122</f>
        <v>房地产抵押价值</v>
      </c>
      <c r="B8" s="3064"/>
      <c r="C8" s="3064"/>
      <c r="D8" s="3064">
        <f ca="1">结果表!D122</f>
        <v>27909</v>
      </c>
      <c r="E8" s="3064"/>
      <c r="F8" s="3064"/>
      <c r="G8" s="3064"/>
      <c r="H8" s="3064"/>
      <c r="I8" s="3064"/>
    </row>
    <row r="9" spans="1:9" ht="15">
      <c r="A9" s="3065" t="s">
        <v>1635</v>
      </c>
      <c r="B9" s="3065"/>
      <c r="C9" s="3065"/>
      <c r="D9" s="3066" t="str">
        <f ca="1">结果表!D123</f>
        <v>贰亿柒仟玖佰零玖万元整</v>
      </c>
      <c r="E9" s="3066"/>
      <c r="F9" s="3066"/>
      <c r="G9" s="3066"/>
      <c r="H9" s="3066"/>
      <c r="I9" s="3066"/>
    </row>
    <row r="10" spans="1:9" ht="15.75">
      <c r="A10" s="3064" t="str">
        <f>结果表!A124</f>
        <v/>
      </c>
      <c r="B10" s="3064"/>
      <c r="C10" s="3064"/>
      <c r="D10" s="3064" t="str">
        <f>结果表!D124</f>
        <v>——</v>
      </c>
      <c r="E10" s="3064"/>
      <c r="F10" s="3064"/>
      <c r="G10" s="3064"/>
      <c r="H10" s="3064"/>
      <c r="I10" s="3064"/>
    </row>
    <row r="11" spans="1:9" ht="15">
      <c r="A11" s="3065" t="s">
        <v>1635</v>
      </c>
      <c r="B11" s="3065"/>
      <c r="C11" s="3065"/>
      <c r="D11" s="3066" t="e">
        <f>结果表!D125</f>
        <v>#VALUE!</v>
      </c>
      <c r="E11" s="3066"/>
      <c r="F11" s="3066"/>
      <c r="G11" s="3066"/>
      <c r="H11" s="3066"/>
      <c r="I11" s="3066"/>
    </row>
    <row r="12" spans="1:9" ht="15.75">
      <c r="A12" s="3064" t="str">
        <f>结果表!A126</f>
        <v/>
      </c>
      <c r="B12" s="3064"/>
      <c r="C12" s="3064"/>
      <c r="D12" s="3064" t="str">
        <f>结果表!D126</f>
        <v>——</v>
      </c>
      <c r="E12" s="3064"/>
      <c r="F12" s="3064"/>
      <c r="G12" s="3064"/>
      <c r="H12" s="3064"/>
      <c r="I12" s="3064"/>
    </row>
    <row r="13" spans="1:9" ht="15.75" thickBot="1">
      <c r="A13" s="3061" t="s">
        <v>1635</v>
      </c>
      <c r="B13" s="3061"/>
      <c r="C13" s="3061"/>
      <c r="D13" s="3062" t="e">
        <f>结果表!D127</f>
        <v>#VALUE!</v>
      </c>
      <c r="E13" s="3062"/>
      <c r="F13" s="3062"/>
      <c r="G13" s="3062"/>
      <c r="H13" s="3062"/>
      <c r="I13" s="3062"/>
    </row>
    <row r="14" spans="1:9" ht="15" thickTop="1">
      <c r="A14" s="3063" t="s">
        <v>1640</v>
      </c>
      <c r="B14" s="3063"/>
      <c r="C14" s="3063"/>
      <c r="D14" s="3063"/>
      <c r="E14" s="3063"/>
      <c r="F14" s="3063"/>
      <c r="G14" s="3063"/>
      <c r="H14" s="3063"/>
      <c r="I14" s="3063"/>
    </row>
    <row r="16" spans="1:9" ht="18.75">
      <c r="A16" s="1960" t="s">
        <v>1623</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topLeftCell="A10" zoomScale="90" zoomScaleNormal="90" workbookViewId="0">
      <selection activeCell="O33" sqref="O33"/>
    </sheetView>
  </sheetViews>
  <sheetFormatPr defaultRowHeight="13.5"/>
  <cols>
    <col min="8" max="8" width="9.75" bestFit="1" customWidth="1"/>
    <col min="10" max="10" width="10.5" bestFit="1" customWidth="1"/>
  </cols>
  <sheetData>
    <row r="1" spans="1:11">
      <c r="A1" s="2989" t="s">
        <v>4468</v>
      </c>
      <c r="B1" s="2989" t="s">
        <v>4469</v>
      </c>
      <c r="C1" s="2989" t="s">
        <v>4470</v>
      </c>
      <c r="D1" s="2989" t="s">
        <v>4471</v>
      </c>
      <c r="E1" s="2989" t="s">
        <v>4472</v>
      </c>
      <c r="F1" s="2989" t="s">
        <v>4473</v>
      </c>
      <c r="G1" s="2989" t="s">
        <v>4474</v>
      </c>
      <c r="H1" s="2989" t="s">
        <v>4475</v>
      </c>
      <c r="I1" s="2986" t="s">
        <v>4476</v>
      </c>
      <c r="J1" s="2986" t="s">
        <v>4477</v>
      </c>
      <c r="K1" s="2986" t="s">
        <v>4474</v>
      </c>
    </row>
    <row r="2" spans="1:11">
      <c r="A2" s="2990">
        <v>89</v>
      </c>
      <c r="B2" s="2990">
        <v>89724</v>
      </c>
      <c r="C2" s="2990">
        <v>197392.80000000005</v>
      </c>
      <c r="D2" s="2990">
        <v>2.2000000000000002</v>
      </c>
      <c r="E2" s="2990">
        <v>2479</v>
      </c>
      <c r="F2" s="2990">
        <v>5454</v>
      </c>
      <c r="G2" s="2990">
        <f ca="1">结果表!G19-结果表!D27</f>
        <v>27909</v>
      </c>
      <c r="H2" s="2991" t="s">
        <v>4478</v>
      </c>
      <c r="I2">
        <v>2324</v>
      </c>
      <c r="J2">
        <v>458740867.19999999</v>
      </c>
      <c r="K2">
        <f>ROUND(J2/10000,0)</f>
        <v>45874</v>
      </c>
    </row>
    <row r="3" spans="1:11">
      <c r="A3" s="2990">
        <v>90</v>
      </c>
      <c r="B3" s="2990">
        <v>111891</v>
      </c>
      <c r="C3" s="2990">
        <f>ROUND(B3*D3,3)</f>
        <v>246160.2</v>
      </c>
      <c r="D3" s="2990">
        <v>2.2000000000000002</v>
      </c>
      <c r="E3" s="2990">
        <f>E2</f>
        <v>2479</v>
      </c>
      <c r="F3" s="2990">
        <f>ROUND(G3*10000/B3,0)</f>
        <v>5454</v>
      </c>
      <c r="G3" s="2990">
        <f>ROUND(E3*C3/10000,0)</f>
        <v>61023</v>
      </c>
      <c r="H3" s="2991" t="s">
        <v>4478</v>
      </c>
      <c r="I3">
        <v>2327</v>
      </c>
      <c r="J3">
        <v>572814785.39999998</v>
      </c>
      <c r="K3">
        <f>ROUND(J3/10000,0)</f>
        <v>57281</v>
      </c>
    </row>
    <row r="4" spans="1:11">
      <c r="A4" s="2990">
        <v>91</v>
      </c>
      <c r="B4" s="2990">
        <v>74634</v>
      </c>
      <c r="C4" s="2990">
        <f t="shared" ref="C4:C15" si="0">ROUND(B4*D4,3)</f>
        <v>164194.79999999999</v>
      </c>
      <c r="D4" s="2990">
        <v>2.2000000000000002</v>
      </c>
      <c r="E4" s="2990">
        <f t="shared" ref="E4:E15" si="1">E3</f>
        <v>2479</v>
      </c>
      <c r="F4" s="2990">
        <f t="shared" ref="F4:F15" si="2">ROUND(G4*10000/B4,0)</f>
        <v>5454</v>
      </c>
      <c r="G4" s="2990">
        <f t="shared" ref="G4:G15" si="3">ROUND(E4*C4/10000,0)</f>
        <v>40704</v>
      </c>
      <c r="H4" s="2991" t="s">
        <v>4478</v>
      </c>
      <c r="I4">
        <v>2329</v>
      </c>
      <c r="J4">
        <v>382409689.19999999</v>
      </c>
      <c r="K4">
        <f t="shared" ref="K4:K15" si="4">ROUND(J4/10000,0)</f>
        <v>38241</v>
      </c>
    </row>
    <row r="5" spans="1:11">
      <c r="A5" s="2990">
        <v>92</v>
      </c>
      <c r="B5" s="2990">
        <v>102287</v>
      </c>
      <c r="C5" s="2990">
        <f t="shared" si="0"/>
        <v>225031.4</v>
      </c>
      <c r="D5" s="2990">
        <v>2.2000000000000002</v>
      </c>
      <c r="E5" s="2990">
        <f t="shared" si="1"/>
        <v>2479</v>
      </c>
      <c r="F5" s="2990">
        <f t="shared" si="2"/>
        <v>5454</v>
      </c>
      <c r="G5" s="2990">
        <f t="shared" si="3"/>
        <v>55785</v>
      </c>
      <c r="H5" s="2991" t="s">
        <v>4478</v>
      </c>
      <c r="I5">
        <v>2296</v>
      </c>
      <c r="J5">
        <v>516672094.39999998</v>
      </c>
      <c r="K5">
        <f t="shared" si="4"/>
        <v>51667</v>
      </c>
    </row>
    <row r="6" spans="1:11">
      <c r="A6" s="2990">
        <v>93</v>
      </c>
      <c r="B6" s="2990">
        <v>87447</v>
      </c>
      <c r="C6" s="2990">
        <f t="shared" si="0"/>
        <v>174894</v>
      </c>
      <c r="D6" s="2990">
        <v>2</v>
      </c>
      <c r="E6" s="2990">
        <f t="shared" si="1"/>
        <v>2479</v>
      </c>
      <c r="F6" s="2990">
        <f t="shared" si="2"/>
        <v>4958</v>
      </c>
      <c r="G6" s="2990">
        <f t="shared" si="3"/>
        <v>43356</v>
      </c>
      <c r="H6" s="2991" t="s">
        <v>4478</v>
      </c>
      <c r="I6">
        <v>2130</v>
      </c>
      <c r="J6">
        <v>372524220</v>
      </c>
      <c r="K6">
        <f t="shared" si="4"/>
        <v>37252</v>
      </c>
    </row>
    <row r="7" spans="1:11">
      <c r="A7" s="2990">
        <v>94</v>
      </c>
      <c r="B7" s="2990">
        <v>96402</v>
      </c>
      <c r="C7" s="2990">
        <f t="shared" si="0"/>
        <v>192804</v>
      </c>
      <c r="D7" s="2990">
        <v>2</v>
      </c>
      <c r="E7" s="2990">
        <f t="shared" si="1"/>
        <v>2479</v>
      </c>
      <c r="F7" s="2990">
        <f t="shared" si="2"/>
        <v>4958</v>
      </c>
      <c r="G7" s="2990">
        <f t="shared" si="3"/>
        <v>47796</v>
      </c>
      <c r="H7" s="2991" t="s">
        <v>4478</v>
      </c>
      <c r="I7">
        <v>1825</v>
      </c>
      <c r="J7">
        <v>351867300</v>
      </c>
      <c r="K7">
        <f t="shared" si="4"/>
        <v>35187</v>
      </c>
    </row>
    <row r="8" spans="1:11" s="2987" customFormat="1">
      <c r="A8" s="2990">
        <v>95</v>
      </c>
      <c r="B8" s="2990">
        <v>159501</v>
      </c>
      <c r="C8" s="2990">
        <f t="shared" si="0"/>
        <v>79750.5</v>
      </c>
      <c r="D8" s="2990">
        <v>0.5</v>
      </c>
      <c r="E8" s="2990">
        <f>I8</f>
        <v>4312</v>
      </c>
      <c r="F8" s="2990">
        <f t="shared" si="2"/>
        <v>2156</v>
      </c>
      <c r="G8" s="2990">
        <f>K8</f>
        <v>34388</v>
      </c>
      <c r="H8" s="2991" t="s">
        <v>4479</v>
      </c>
      <c r="I8" s="2987">
        <v>4312</v>
      </c>
      <c r="J8" s="2987">
        <v>343884156</v>
      </c>
      <c r="K8" s="2987">
        <f t="shared" si="4"/>
        <v>34388</v>
      </c>
    </row>
    <row r="9" spans="1:11">
      <c r="A9" s="2990">
        <v>96</v>
      </c>
      <c r="B9" s="2990">
        <v>29474</v>
      </c>
      <c r="C9" s="2990">
        <f t="shared" si="0"/>
        <v>64842.8</v>
      </c>
      <c r="D9" s="2990">
        <v>2.2000000000000002</v>
      </c>
      <c r="E9" s="2990">
        <f>E7</f>
        <v>2479</v>
      </c>
      <c r="F9" s="2990">
        <f t="shared" si="2"/>
        <v>5454</v>
      </c>
      <c r="G9" s="2990">
        <f t="shared" si="3"/>
        <v>16075</v>
      </c>
      <c r="H9" s="2991" t="s">
        <v>4478</v>
      </c>
      <c r="I9">
        <v>2320</v>
      </c>
      <c r="J9">
        <v>150435296</v>
      </c>
      <c r="K9">
        <f t="shared" si="4"/>
        <v>15044</v>
      </c>
    </row>
    <row r="10" spans="1:11">
      <c r="A10" s="2990">
        <v>97</v>
      </c>
      <c r="B10" s="2990">
        <v>13439</v>
      </c>
      <c r="C10" s="2990">
        <f t="shared" si="0"/>
        <v>29565.8</v>
      </c>
      <c r="D10" s="2990">
        <v>2.2000000000000002</v>
      </c>
      <c r="E10" s="2990">
        <f t="shared" si="1"/>
        <v>2479</v>
      </c>
      <c r="F10" s="2990">
        <f t="shared" si="2"/>
        <v>5454</v>
      </c>
      <c r="G10" s="2990">
        <f t="shared" si="3"/>
        <v>7329</v>
      </c>
      <c r="H10" s="2991" t="s">
        <v>4478</v>
      </c>
      <c r="I10">
        <v>2366</v>
      </c>
      <c r="J10">
        <v>69952682.799999997</v>
      </c>
      <c r="K10">
        <f t="shared" si="4"/>
        <v>6995</v>
      </c>
    </row>
    <row r="11" spans="1:11">
      <c r="A11" s="2990">
        <v>98</v>
      </c>
      <c r="B11" s="2990">
        <v>93382</v>
      </c>
      <c r="C11" s="2990">
        <f t="shared" si="0"/>
        <v>168087.6</v>
      </c>
      <c r="D11" s="2990">
        <v>1.8</v>
      </c>
      <c r="E11" s="2990">
        <f t="shared" si="1"/>
        <v>2479</v>
      </c>
      <c r="F11" s="2990">
        <f t="shared" si="2"/>
        <v>4462</v>
      </c>
      <c r="G11" s="2990">
        <f t="shared" si="3"/>
        <v>41669</v>
      </c>
      <c r="H11" s="2991" t="s">
        <v>4478</v>
      </c>
      <c r="I11">
        <v>2325</v>
      </c>
      <c r="J11">
        <v>390803670</v>
      </c>
      <c r="K11">
        <f t="shared" si="4"/>
        <v>39080</v>
      </c>
    </row>
    <row r="12" spans="1:11">
      <c r="A12" s="2990">
        <v>99</v>
      </c>
      <c r="B12" s="2990">
        <v>89357</v>
      </c>
      <c r="C12" s="2990">
        <f t="shared" si="0"/>
        <v>160842.6</v>
      </c>
      <c r="D12" s="2990">
        <v>1.8</v>
      </c>
      <c r="E12" s="2990">
        <f t="shared" si="1"/>
        <v>2479</v>
      </c>
      <c r="F12" s="2990">
        <f t="shared" si="2"/>
        <v>4462</v>
      </c>
      <c r="G12" s="2990">
        <f t="shared" si="3"/>
        <v>39873</v>
      </c>
      <c r="H12" s="2991" t="s">
        <v>4478</v>
      </c>
      <c r="I12">
        <v>2323</v>
      </c>
      <c r="J12">
        <v>373637359.80000001</v>
      </c>
      <c r="K12">
        <f t="shared" si="4"/>
        <v>37364</v>
      </c>
    </row>
    <row r="13" spans="1:11">
      <c r="A13" s="2990">
        <v>100</v>
      </c>
      <c r="B13" s="2990">
        <v>10549</v>
      </c>
      <c r="C13" s="2990">
        <f t="shared" si="0"/>
        <v>18988.2</v>
      </c>
      <c r="D13" s="2990">
        <v>1.8</v>
      </c>
      <c r="E13" s="2990">
        <f t="shared" si="1"/>
        <v>2479</v>
      </c>
      <c r="F13" s="2990">
        <f t="shared" si="2"/>
        <v>4462</v>
      </c>
      <c r="G13" s="2990">
        <f t="shared" si="3"/>
        <v>4707</v>
      </c>
      <c r="H13" s="2991" t="s">
        <v>4478</v>
      </c>
      <c r="I13">
        <v>2233</v>
      </c>
      <c r="J13">
        <v>42400650.600000001</v>
      </c>
      <c r="K13">
        <f t="shared" si="4"/>
        <v>4240</v>
      </c>
    </row>
    <row r="14" spans="1:11">
      <c r="A14" s="2990">
        <v>102</v>
      </c>
      <c r="B14" s="2990">
        <v>35975</v>
      </c>
      <c r="C14" s="2990">
        <f t="shared" si="0"/>
        <v>71950</v>
      </c>
      <c r="D14" s="2990">
        <v>2</v>
      </c>
      <c r="E14" s="2990">
        <f t="shared" si="1"/>
        <v>2479</v>
      </c>
      <c r="F14" s="2990">
        <f t="shared" si="2"/>
        <v>4958</v>
      </c>
      <c r="G14" s="2990">
        <f t="shared" si="3"/>
        <v>17836</v>
      </c>
      <c r="H14" s="2991" t="s">
        <v>4478</v>
      </c>
      <c r="I14">
        <v>2140</v>
      </c>
      <c r="J14">
        <v>153973000</v>
      </c>
      <c r="K14">
        <f t="shared" si="4"/>
        <v>15397</v>
      </c>
    </row>
    <row r="15" spans="1:11">
      <c r="A15" s="2990">
        <v>103</v>
      </c>
      <c r="B15" s="2990">
        <v>134006</v>
      </c>
      <c r="C15" s="2990">
        <f t="shared" si="0"/>
        <v>268012</v>
      </c>
      <c r="D15" s="2990">
        <v>2</v>
      </c>
      <c r="E15" s="2990">
        <f t="shared" si="1"/>
        <v>2479</v>
      </c>
      <c r="F15" s="2990">
        <f t="shared" si="2"/>
        <v>4958</v>
      </c>
      <c r="G15" s="2990">
        <f t="shared" si="3"/>
        <v>66440</v>
      </c>
      <c r="H15" s="2991" t="s">
        <v>4478</v>
      </c>
      <c r="I15">
        <v>2204</v>
      </c>
      <c r="J15">
        <v>590698448</v>
      </c>
      <c r="K15">
        <f t="shared" si="4"/>
        <v>59070</v>
      </c>
    </row>
    <row r="16" spans="1:11">
      <c r="A16" s="2992" t="s">
        <v>4480</v>
      </c>
      <c r="B16" s="2988">
        <f>SUM(B2:B15)</f>
        <v>1128068</v>
      </c>
      <c r="C16" s="2988">
        <f>SUM(C2:C15)</f>
        <v>2062516.7000000004</v>
      </c>
      <c r="D16" s="2992" t="s">
        <v>4481</v>
      </c>
      <c r="E16" s="2992" t="s">
        <v>4481</v>
      </c>
      <c r="F16" s="2992" t="s">
        <v>4481</v>
      </c>
      <c r="G16" s="2988">
        <f ca="1">SUM(G2:G15)</f>
        <v>504890</v>
      </c>
      <c r="H16" s="2992" t="s">
        <v>4481</v>
      </c>
      <c r="K16">
        <f>SUM(K2:K15)</f>
        <v>477080</v>
      </c>
    </row>
    <row r="17" spans="2:12">
      <c r="B17" s="3007">
        <f>B16-B8</f>
        <v>968567</v>
      </c>
      <c r="C17" s="3007">
        <f>C16-C8</f>
        <v>1982766.2000000004</v>
      </c>
      <c r="G17">
        <f ca="1">ROUND((G16-K16)/K16,4)</f>
        <v>5.8299999999999998E-2</v>
      </c>
    </row>
    <row r="18" spans="2:12">
      <c r="G18">
        <f ca="1">G16-G8</f>
        <v>470502</v>
      </c>
    </row>
    <row r="24" spans="2:12" ht="14.25" thickBot="1"/>
    <row r="25" spans="2:12" ht="14.25" thickBot="1">
      <c r="C25" s="3385" t="s">
        <v>4482</v>
      </c>
      <c r="D25" s="3385" t="s">
        <v>3105</v>
      </c>
      <c r="E25" s="3385" t="s">
        <v>4483</v>
      </c>
      <c r="F25" s="2993" t="s">
        <v>4484</v>
      </c>
      <c r="G25" s="3387" t="s">
        <v>4486</v>
      </c>
      <c r="H25" s="3388"/>
      <c r="I25" s="3389"/>
    </row>
    <row r="26" spans="2:12" ht="14.25" thickBot="1">
      <c r="C26" s="3386"/>
      <c r="D26" s="3386"/>
      <c r="E26" s="3386"/>
      <c r="F26" s="2994" t="s">
        <v>4485</v>
      </c>
      <c r="G26" s="2994" t="s">
        <v>40</v>
      </c>
      <c r="H26" s="2994" t="s">
        <v>3046</v>
      </c>
      <c r="I26" s="2994" t="s">
        <v>1373</v>
      </c>
      <c r="K26" s="3003" t="s">
        <v>4535</v>
      </c>
    </row>
    <row r="27" spans="2:12" ht="51.75" thickBot="1">
      <c r="C27" s="2995" t="s">
        <v>4487</v>
      </c>
      <c r="D27" s="2996" t="s">
        <v>4527</v>
      </c>
      <c r="E27" s="2994" t="s">
        <v>4490</v>
      </c>
      <c r="F27" s="2997">
        <v>89724</v>
      </c>
      <c r="G27" s="2996">
        <v>197392.8</v>
      </c>
      <c r="H27" s="2996">
        <f>G27-I27-K27</f>
        <v>167724.64999999997</v>
      </c>
      <c r="I27" s="2996">
        <v>9869.64</v>
      </c>
      <c r="J27" s="2999">
        <v>43791</v>
      </c>
      <c r="K27" s="3004">
        <v>19798.509999999998</v>
      </c>
      <c r="L27" s="3005">
        <f>ROUND(K27/G27,2)</f>
        <v>0.1</v>
      </c>
    </row>
    <row r="28" spans="2:12" ht="51.75" thickBot="1">
      <c r="C28" s="3000" t="s">
        <v>4492</v>
      </c>
      <c r="D28" s="2996" t="s">
        <v>4528</v>
      </c>
      <c r="E28" s="2994" t="s">
        <v>4493</v>
      </c>
      <c r="F28" s="2997">
        <v>111891</v>
      </c>
      <c r="G28" s="2996">
        <v>246160.2</v>
      </c>
      <c r="H28" s="2996">
        <f t="shared" ref="H28:H40" si="5">G28-I28-K28</f>
        <v>196863.82</v>
      </c>
      <c r="I28" s="2996">
        <v>12308.01</v>
      </c>
      <c r="J28" s="2999">
        <v>43791</v>
      </c>
      <c r="K28" s="3004">
        <v>36988.370000000003</v>
      </c>
      <c r="L28" s="3005">
        <f t="shared" ref="L28:L40" si="6">ROUND(K28/G28,2)</f>
        <v>0.15</v>
      </c>
    </row>
    <row r="29" spans="2:12" ht="51.75" thickBot="1">
      <c r="C29" s="3000" t="s">
        <v>4494</v>
      </c>
      <c r="D29" s="2996" t="s">
        <v>4495</v>
      </c>
      <c r="E29" s="2994" t="s">
        <v>4496</v>
      </c>
      <c r="F29" s="2997">
        <v>74634</v>
      </c>
      <c r="G29" s="2996">
        <v>164194.79999999999</v>
      </c>
      <c r="H29" s="2996">
        <f t="shared" si="5"/>
        <v>139516.31</v>
      </c>
      <c r="I29" s="2996">
        <v>8209.74</v>
      </c>
      <c r="J29" s="2999">
        <v>43791</v>
      </c>
      <c r="K29" s="3004">
        <v>16468.75</v>
      </c>
      <c r="L29" s="3005">
        <f t="shared" si="6"/>
        <v>0.1</v>
      </c>
    </row>
    <row r="30" spans="2:12" ht="51.75" thickBot="1">
      <c r="C30" s="3000" t="s">
        <v>4497</v>
      </c>
      <c r="D30" s="2996" t="s">
        <v>4498</v>
      </c>
      <c r="E30" s="2994" t="s">
        <v>4499</v>
      </c>
      <c r="F30" s="2997">
        <v>102287</v>
      </c>
      <c r="G30" s="2996">
        <v>225031.4</v>
      </c>
      <c r="H30" s="2996">
        <f t="shared" si="5"/>
        <v>189638.44999999998</v>
      </c>
      <c r="I30" s="2996">
        <v>11251.57</v>
      </c>
      <c r="J30" s="2999">
        <v>43791</v>
      </c>
      <c r="K30" s="3004">
        <v>24141.38</v>
      </c>
      <c r="L30" s="3005">
        <f t="shared" si="6"/>
        <v>0.11</v>
      </c>
    </row>
    <row r="31" spans="2:12" ht="51.75" thickBot="1">
      <c r="C31" s="3000" t="s">
        <v>4500</v>
      </c>
      <c r="D31" s="2996" t="s">
        <v>4488</v>
      </c>
      <c r="E31" s="2994" t="s">
        <v>4501</v>
      </c>
      <c r="F31" s="2997">
        <v>87447</v>
      </c>
      <c r="G31" s="2996">
        <v>174894</v>
      </c>
      <c r="H31" s="2996">
        <f t="shared" si="5"/>
        <v>146921</v>
      </c>
      <c r="I31" s="2996">
        <v>8744.7000000000007</v>
      </c>
      <c r="J31" s="2999">
        <v>43791</v>
      </c>
      <c r="K31" s="3004">
        <v>19228.3</v>
      </c>
      <c r="L31" s="3005">
        <f t="shared" si="6"/>
        <v>0.11</v>
      </c>
    </row>
    <row r="32" spans="2:12" ht="51.75" thickBot="1">
      <c r="C32" s="3000" t="s">
        <v>4502</v>
      </c>
      <c r="D32" s="2996" t="s">
        <v>4503</v>
      </c>
      <c r="E32" s="2994" t="s">
        <v>4491</v>
      </c>
      <c r="F32" s="2997">
        <v>96402</v>
      </c>
      <c r="G32" s="2996">
        <v>192804</v>
      </c>
      <c r="H32" s="2996">
        <f t="shared" si="5"/>
        <v>163825.56</v>
      </c>
      <c r="I32" s="2996">
        <v>9640.2000000000007</v>
      </c>
      <c r="J32" s="2998">
        <v>43790</v>
      </c>
      <c r="K32" s="3004">
        <v>19338.240000000002</v>
      </c>
      <c r="L32" s="3005">
        <f t="shared" si="6"/>
        <v>0.1</v>
      </c>
    </row>
    <row r="33" spans="3:12" ht="51.75" thickBot="1">
      <c r="C33" s="3009" t="s">
        <v>4504</v>
      </c>
      <c r="D33" s="3010" t="s">
        <v>4505</v>
      </c>
      <c r="E33" s="3011" t="s">
        <v>4506</v>
      </c>
      <c r="F33" s="3010">
        <v>159501</v>
      </c>
      <c r="G33" s="3010">
        <v>79750.5</v>
      </c>
      <c r="H33" s="3010">
        <v>0</v>
      </c>
      <c r="I33" s="3010">
        <f>G33</f>
        <v>79750.5</v>
      </c>
      <c r="J33" s="2998">
        <v>43790</v>
      </c>
      <c r="K33" s="3004">
        <f>'数据-基础表'!AL13</f>
        <v>0</v>
      </c>
      <c r="L33" s="3005">
        <f>ROUND(K33/G33,2)</f>
        <v>0</v>
      </c>
    </row>
    <row r="34" spans="3:12" ht="51.75" thickBot="1">
      <c r="C34" s="3000" t="s">
        <v>4507</v>
      </c>
      <c r="D34" s="2996" t="s">
        <v>4508</v>
      </c>
      <c r="E34" s="2994" t="s">
        <v>4509</v>
      </c>
      <c r="F34" s="2997">
        <v>29474</v>
      </c>
      <c r="G34" s="2996">
        <v>64842.8</v>
      </c>
      <c r="H34" s="2996">
        <f t="shared" si="5"/>
        <v>55096.920000000006</v>
      </c>
      <c r="I34" s="2996">
        <v>3242.14</v>
      </c>
      <c r="J34" s="2999">
        <v>43791</v>
      </c>
      <c r="K34" s="3004">
        <v>6503.74</v>
      </c>
      <c r="L34" s="3005">
        <f t="shared" si="6"/>
        <v>0.1</v>
      </c>
    </row>
    <row r="35" spans="3:12" ht="51.75" thickBot="1">
      <c r="C35" s="3000" t="s">
        <v>4510</v>
      </c>
      <c r="D35" s="2996" t="s">
        <v>4511</v>
      </c>
      <c r="E35" s="2994" t="s">
        <v>4512</v>
      </c>
      <c r="F35" s="2997">
        <v>13439</v>
      </c>
      <c r="G35" s="2996">
        <v>29565.8</v>
      </c>
      <c r="H35" s="2996">
        <f t="shared" si="5"/>
        <v>25122.07</v>
      </c>
      <c r="I35" s="2996">
        <v>1478.29</v>
      </c>
      <c r="J35" s="2998">
        <v>43790</v>
      </c>
      <c r="K35" s="3004">
        <v>2965.44</v>
      </c>
      <c r="L35" s="3005">
        <f t="shared" si="6"/>
        <v>0.1</v>
      </c>
    </row>
    <row r="36" spans="3:12" ht="51.75" thickBot="1">
      <c r="C36" s="3000" t="s">
        <v>4513</v>
      </c>
      <c r="D36" s="2996" t="s">
        <v>4514</v>
      </c>
      <c r="E36" s="2994" t="s">
        <v>4515</v>
      </c>
      <c r="F36" s="2997">
        <v>93382</v>
      </c>
      <c r="G36" s="2996">
        <v>168087.6</v>
      </c>
      <c r="H36" s="2996">
        <f t="shared" si="5"/>
        <v>140614.03</v>
      </c>
      <c r="I36" s="2996">
        <v>8404.3799999999992</v>
      </c>
      <c r="J36" s="2998">
        <v>43790</v>
      </c>
      <c r="K36" s="3004">
        <v>19069.189999999999</v>
      </c>
      <c r="L36" s="3005">
        <f t="shared" si="6"/>
        <v>0.11</v>
      </c>
    </row>
    <row r="37" spans="3:12" ht="51.75" thickBot="1">
      <c r="C37" s="3000" t="s">
        <v>4516</v>
      </c>
      <c r="D37" s="2996" t="s">
        <v>4517</v>
      </c>
      <c r="E37" s="2994" t="s">
        <v>4518</v>
      </c>
      <c r="F37" s="2997">
        <v>89357</v>
      </c>
      <c r="G37" s="2996">
        <v>160842.6</v>
      </c>
      <c r="H37" s="2996">
        <f t="shared" si="5"/>
        <v>134457.95000000001</v>
      </c>
      <c r="I37" s="2996">
        <v>8042.13</v>
      </c>
      <c r="J37" s="2998">
        <v>43790</v>
      </c>
      <c r="K37" s="3004">
        <v>18342.52</v>
      </c>
      <c r="L37" s="3005">
        <f t="shared" si="6"/>
        <v>0.11</v>
      </c>
    </row>
    <row r="38" spans="3:12" ht="51.75" thickBot="1">
      <c r="C38" s="3000" t="s">
        <v>4519</v>
      </c>
      <c r="D38" s="2996" t="s">
        <v>4520</v>
      </c>
      <c r="E38" s="2994" t="s">
        <v>4521</v>
      </c>
      <c r="F38" s="2997">
        <v>10549</v>
      </c>
      <c r="G38" s="2996">
        <v>18988.2</v>
      </c>
      <c r="H38" s="2996">
        <f t="shared" si="5"/>
        <v>16134.26</v>
      </c>
      <c r="I38" s="2996">
        <v>949.41</v>
      </c>
      <c r="J38" s="2998">
        <v>43790</v>
      </c>
      <c r="K38" s="3004">
        <v>1904.53</v>
      </c>
      <c r="L38" s="3005">
        <f t="shared" si="6"/>
        <v>0.1</v>
      </c>
    </row>
    <row r="39" spans="3:12" ht="51.75" thickBot="1">
      <c r="C39" s="3000" t="s">
        <v>4522</v>
      </c>
      <c r="D39" s="2996" t="s">
        <v>4523</v>
      </c>
      <c r="E39" s="2994" t="s">
        <v>4524</v>
      </c>
      <c r="F39" s="2997">
        <v>35975</v>
      </c>
      <c r="G39" s="2996">
        <v>71950</v>
      </c>
      <c r="H39" s="2996">
        <f t="shared" si="5"/>
        <v>61135.9</v>
      </c>
      <c r="I39" s="2996">
        <v>3597.5</v>
      </c>
      <c r="J39" s="2998">
        <v>43790</v>
      </c>
      <c r="K39" s="3004">
        <v>7216.6</v>
      </c>
      <c r="L39" s="3005">
        <f t="shared" si="6"/>
        <v>0.1</v>
      </c>
    </row>
    <row r="40" spans="3:12" ht="51.75" thickBot="1">
      <c r="C40" s="2995" t="s">
        <v>4489</v>
      </c>
      <c r="D40" s="2996" t="s">
        <v>4525</v>
      </c>
      <c r="E40" s="2994" t="s">
        <v>4526</v>
      </c>
      <c r="F40" s="2997">
        <v>134006</v>
      </c>
      <c r="G40" s="2996">
        <v>268012</v>
      </c>
      <c r="H40" s="2996">
        <f t="shared" si="5"/>
        <v>215829.78999999998</v>
      </c>
      <c r="I40" s="2996">
        <v>13400.6</v>
      </c>
      <c r="J40" s="2998">
        <v>43790</v>
      </c>
      <c r="K40" s="3004">
        <v>38781.61</v>
      </c>
      <c r="L40" s="3005">
        <f t="shared" si="6"/>
        <v>0.14000000000000001</v>
      </c>
    </row>
    <row r="41" spans="3:12" ht="14.25" thickBot="1">
      <c r="C41" s="3387" t="s">
        <v>37</v>
      </c>
      <c r="D41" s="3388"/>
      <c r="E41" s="3389"/>
      <c r="F41" s="2996">
        <v>1128068</v>
      </c>
      <c r="G41" s="3001">
        <v>2062516.7</v>
      </c>
      <c r="H41" s="2996">
        <f>SUM(H27:H40)</f>
        <v>1652880.71</v>
      </c>
      <c r="I41" s="2996">
        <f>SUM(I27:I40)</f>
        <v>178888.81000000003</v>
      </c>
      <c r="K41">
        <f>SUM(K27:K40)</f>
        <v>230747.18</v>
      </c>
    </row>
    <row r="42" spans="3:12">
      <c r="F42">
        <f>F41-F33</f>
        <v>968567</v>
      </c>
      <c r="G42">
        <f>G41-G33</f>
        <v>1982766.2</v>
      </c>
      <c r="H42">
        <f>H41-H33</f>
        <v>1652880.71</v>
      </c>
      <c r="I42">
        <f>I41-I33</f>
        <v>99138.310000000027</v>
      </c>
      <c r="K42">
        <f>K41-K33</f>
        <v>230747.18</v>
      </c>
    </row>
  </sheetData>
  <mergeCells count="5">
    <mergeCell ref="C25:C26"/>
    <mergeCell ref="D25:D26"/>
    <mergeCell ref="E25:E26"/>
    <mergeCell ref="G25:I25"/>
    <mergeCell ref="C41:E41"/>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1" customWidth="1"/>
    <col min="2" max="3" width="22.375" style="1931" customWidth="1"/>
    <col min="4" max="4" width="23" style="1931" customWidth="1"/>
    <col min="5" max="16384" width="9" style="1931"/>
  </cols>
  <sheetData>
    <row r="1" spans="1:4" ht="18.75">
      <c r="A1" s="3078" t="s">
        <v>1657</v>
      </c>
      <c r="B1" s="3078"/>
      <c r="C1" s="3078"/>
      <c r="D1" s="3078"/>
    </row>
    <row r="2" spans="1:4" ht="18">
      <c r="A2" s="3079" t="s">
        <v>1641</v>
      </c>
      <c r="B2" s="3079"/>
      <c r="C2" s="3079"/>
      <c r="D2" s="3079"/>
    </row>
    <row r="3" spans="1:4" ht="18.75">
      <c r="A3" s="1963" t="s">
        <v>1642</v>
      </c>
      <c r="B3" s="1963" t="s">
        <v>1643</v>
      </c>
      <c r="C3" s="1963" t="s">
        <v>1644</v>
      </c>
      <c r="D3" s="1963" t="s">
        <v>1645</v>
      </c>
    </row>
    <row r="4" spans="1:4" ht="56.25" customHeight="1">
      <c r="A4" s="1964" t="str">
        <f>项目基本情况!B4</f>
        <v>王鹏</v>
      </c>
      <c r="B4" s="1965">
        <f ca="1">项目基本情况!C4</f>
        <v>1120050019</v>
      </c>
      <c r="C4" s="1966"/>
      <c r="D4" s="1967" t="s">
        <v>1646</v>
      </c>
    </row>
    <row r="5" spans="1:4" ht="56.25" customHeight="1">
      <c r="A5" s="1964" t="str">
        <f>项目基本情况!D4</f>
        <v>崔锴</v>
      </c>
      <c r="B5" s="1965">
        <f ca="1">项目基本情况!E4</f>
        <v>1120100036</v>
      </c>
      <c r="C5" s="1968"/>
      <c r="D5" s="1967" t="s">
        <v>1646</v>
      </c>
    </row>
    <row r="6" spans="1:4" ht="18">
      <c r="A6" s="3079" t="s">
        <v>1647</v>
      </c>
      <c r="B6" s="3079"/>
      <c r="C6" s="3079"/>
      <c r="D6" s="3079"/>
    </row>
    <row r="7" spans="1:4" ht="18.75">
      <c r="A7" s="1963" t="s">
        <v>1642</v>
      </c>
      <c r="B7" s="1965" t="s">
        <v>1648</v>
      </c>
      <c r="C7" s="1963" t="s">
        <v>1644</v>
      </c>
      <c r="D7" s="1963" t="s">
        <v>1645</v>
      </c>
    </row>
    <row r="8" spans="1:4" ht="56.25" customHeight="1">
      <c r="A8" s="1969" t="s">
        <v>866</v>
      </c>
      <c r="B8" s="1969" t="s">
        <v>1</v>
      </c>
      <c r="C8" s="1966"/>
      <c r="D8" s="1967" t="s">
        <v>1646</v>
      </c>
    </row>
    <row r="9" spans="1:4">
      <c r="A9" s="725"/>
      <c r="B9" s="725"/>
      <c r="C9" s="725"/>
      <c r="D9" s="725"/>
    </row>
    <row r="10" spans="1:4" ht="18.75">
      <c r="A10" s="1970" t="s">
        <v>1649</v>
      </c>
      <c r="B10" s="725"/>
      <c r="C10" s="725"/>
      <c r="D10" s="725"/>
    </row>
    <row r="11" spans="1:4" ht="30" customHeight="1">
      <c r="A11" s="3080" t="s">
        <v>1650</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2" t="str">
        <f>IF(项目基本情况!B8="抵押","4.本次评估估价师所知悉的法定优先受偿款情况说明如下：","——")</f>
        <v>4.本次评估估价师所知悉的法定优先受偿款情况说明如下：</v>
      </c>
      <c r="B14" s="3077"/>
      <c r="C14" s="3077"/>
      <c r="D14" s="3077"/>
    </row>
    <row r="15" spans="1:4" ht="42" customHeight="1">
      <c r="A15" s="307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根据不动产权利人出具的，估价对象已抵押给，权利范围为，权利价值为。</v>
      </c>
      <c r="B15" s="3072"/>
      <c r="C15" s="3072"/>
      <c r="D15" s="3072"/>
    </row>
    <row r="16" spans="1:4" ht="30" customHeight="1">
      <c r="A16" s="3074" t="s">
        <v>1651</v>
      </c>
      <c r="B16" s="3074"/>
      <c r="C16" s="3074"/>
      <c r="D16" s="3074"/>
    </row>
    <row r="17" spans="1:4" ht="144" customHeight="1">
      <c r="A17" s="3074" t="s">
        <v>1652</v>
      </c>
      <c r="B17" s="3074"/>
      <c r="C17" s="3074"/>
      <c r="D17" s="3074"/>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2"/>
      <c r="C20" s="3072"/>
      <c r="D20" s="3072"/>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5"/>
      <c r="C21" s="3075"/>
      <c r="D21" s="3075"/>
    </row>
    <row r="22" spans="1:4" ht="18.75" customHeight="1">
      <c r="A22" s="3076" t="s">
        <v>1653</v>
      </c>
      <c r="B22" s="3076"/>
      <c r="C22" s="3076"/>
      <c r="D22" s="3076"/>
    </row>
    <row r="23" spans="1:4">
      <c r="A23" s="1971"/>
      <c r="B23" s="1943"/>
      <c r="C23" s="1943"/>
      <c r="D23" s="1943"/>
    </row>
    <row r="24" spans="1:4">
      <c r="A24" s="1971"/>
      <c r="B24" s="1943"/>
      <c r="C24" s="1943"/>
      <c r="D24" s="1943"/>
    </row>
    <row r="25" spans="1:4" ht="18.75">
      <c r="A25" s="1972" t="s">
        <v>1654</v>
      </c>
    </row>
    <row r="26" spans="1:4" ht="18">
      <c r="A26" s="1941"/>
    </row>
    <row r="27" spans="1:4" ht="18.75">
      <c r="A27" s="1941" t="s">
        <v>1655</v>
      </c>
    </row>
    <row r="30" spans="1:4" ht="18.75">
      <c r="D30" s="1972" t="s">
        <v>1656</v>
      </c>
    </row>
    <row r="31" spans="1:4" ht="13.5" customHeight="1">
      <c r="C31" s="3073">
        <v>42551</v>
      </c>
      <c r="D31" s="30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9" customWidth="1"/>
    <col min="3" max="10" width="12.5" style="1929" customWidth="1"/>
    <col min="11" max="16384" width="9" style="1929"/>
  </cols>
  <sheetData>
    <row r="1" spans="1:10" ht="18.75">
      <c r="A1" s="1962" t="s">
        <v>867</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9" customWidth="1"/>
    <col min="2" max="16384" width="14.5" style="1961"/>
  </cols>
  <sheetData>
    <row r="1" spans="1:7" s="1976" customFormat="1" ht="18.75">
      <c r="A1" s="1975" t="s">
        <v>1658</v>
      </c>
    </row>
    <row r="3" spans="1:7">
      <c r="A3" s="1977" t="s">
        <v>82</v>
      </c>
      <c r="B3" s="1961" t="s">
        <v>1659</v>
      </c>
      <c r="G3" s="1978"/>
    </row>
    <row r="4" spans="1:7">
      <c r="G4" s="1978"/>
    </row>
    <row r="5" spans="1:7">
      <c r="A5" s="1980" t="s">
        <v>73</v>
      </c>
      <c r="B5" s="1961" t="s">
        <v>1660</v>
      </c>
      <c r="G5" s="1978"/>
    </row>
    <row r="6" spans="1:7">
      <c r="G6" s="1978"/>
    </row>
    <row r="7" spans="1:7">
      <c r="A7" s="1981" t="s">
        <v>135</v>
      </c>
      <c r="B7" s="1961" t="s">
        <v>1661</v>
      </c>
      <c r="G7" s="1978"/>
    </row>
    <row r="8" spans="1:7">
      <c r="G8" s="1978"/>
    </row>
    <row r="9" spans="1:7">
      <c r="A9" s="1982" t="s">
        <v>74</v>
      </c>
      <c r="B9" s="1961" t="s">
        <v>1662</v>
      </c>
    </row>
    <row r="11" spans="1:7">
      <c r="A11" s="1983" t="s">
        <v>75</v>
      </c>
      <c r="B11" s="1984" t="s">
        <v>72</v>
      </c>
    </row>
    <row r="13" spans="1:7">
      <c r="A13" s="1985" t="s">
        <v>1663</v>
      </c>
    </row>
    <row r="15" spans="1:7" ht="13.5">
      <c r="A15" s="3086" t="s">
        <v>1664</v>
      </c>
      <c r="B15" s="3081" t="s">
        <v>136</v>
      </c>
      <c r="C15" s="3082"/>
    </row>
    <row r="16" spans="1:7" ht="13.5">
      <c r="A16" s="3087"/>
      <c r="B16" s="3081" t="s">
        <v>69</v>
      </c>
      <c r="C16" s="3082"/>
    </row>
    <row r="17" spans="1:3" ht="13.5">
      <c r="A17" s="3087"/>
      <c r="B17" s="3084" t="s">
        <v>1665</v>
      </c>
      <c r="C17" s="1986" t="s">
        <v>1664</v>
      </c>
    </row>
    <row r="18" spans="1:3" ht="13.5">
      <c r="A18" s="3087"/>
      <c r="B18" s="3084"/>
      <c r="C18" s="1986" t="s">
        <v>1666</v>
      </c>
    </row>
    <row r="19" spans="1:3" ht="13.5">
      <c r="A19" s="3087"/>
      <c r="B19" s="3084"/>
      <c r="C19" s="1986" t="s">
        <v>1667</v>
      </c>
    </row>
    <row r="20" spans="1:3" ht="13.5">
      <c r="A20" s="3088"/>
      <c r="B20" s="3083" t="s">
        <v>1668</v>
      </c>
      <c r="C20" s="3082"/>
    </row>
    <row r="21" spans="1:3" ht="13.5">
      <c r="A21" s="1987" t="s">
        <v>1669</v>
      </c>
      <c r="B21" s="1988"/>
      <c r="C21" s="1989"/>
    </row>
    <row r="22" spans="1:3" ht="13.5">
      <c r="A22" s="3085" t="s">
        <v>1670</v>
      </c>
      <c r="B22" s="3083" t="s">
        <v>1671</v>
      </c>
      <c r="C22" s="3082"/>
    </row>
    <row r="23" spans="1:3" ht="13.5">
      <c r="A23" s="3085"/>
      <c r="B23" s="3083" t="s">
        <v>1672</v>
      </c>
      <c r="C23" s="3082"/>
    </row>
    <row r="24" spans="1:3" ht="13.5">
      <c r="A24" s="3085"/>
      <c r="B24" s="3083" t="s">
        <v>1673</v>
      </c>
      <c r="C24" s="3082"/>
    </row>
    <row r="25" spans="1:3" ht="13.5">
      <c r="A25" s="3085"/>
      <c r="B25" s="3084" t="s">
        <v>1674</v>
      </c>
      <c r="C25" s="1986" t="s">
        <v>1675</v>
      </c>
    </row>
    <row r="26" spans="1:3" ht="13.5">
      <c r="A26" s="3085"/>
      <c r="B26" s="3084"/>
      <c r="C26" s="1986" t="s">
        <v>1676</v>
      </c>
    </row>
    <row r="27" spans="1:3" ht="13.5">
      <c r="A27" s="3085"/>
      <c r="B27" s="3084"/>
      <c r="C27" s="1986" t="s">
        <v>1677</v>
      </c>
    </row>
    <row r="28" spans="1:3" ht="13.5">
      <c r="A28" s="3085"/>
      <c r="B28" s="3084"/>
      <c r="C28" s="1986" t="s">
        <v>1678</v>
      </c>
    </row>
    <row r="29" spans="1:3" ht="13.5">
      <c r="A29" s="3085"/>
      <c r="B29" s="3084"/>
      <c r="C29" s="1986" t="s">
        <v>1679</v>
      </c>
    </row>
    <row r="30" spans="1:3" ht="13.5">
      <c r="A30" s="3085"/>
      <c r="B30" s="3084"/>
      <c r="C30" s="1986" t="s">
        <v>1680</v>
      </c>
    </row>
    <row r="31" spans="1:3" ht="13.5">
      <c r="A31" s="3085"/>
      <c r="B31" s="3084"/>
      <c r="C31" s="1986" t="s">
        <v>1681</v>
      </c>
    </row>
    <row r="32" spans="1:3" ht="13.5">
      <c r="A32" s="3085"/>
      <c r="B32" s="3084"/>
      <c r="C32" s="1986" t="s">
        <v>1682</v>
      </c>
    </row>
    <row r="33" spans="1:3" ht="13.5">
      <c r="A33" s="3085"/>
      <c r="B33" s="3084"/>
      <c r="C33" s="1986" t="s">
        <v>1683</v>
      </c>
    </row>
    <row r="34" spans="1:3">
      <c r="A34" s="1990" t="s">
        <v>76</v>
      </c>
    </row>
    <row r="37" spans="1:3">
      <c r="A37" s="1990" t="s">
        <v>1684</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43970</v>
      </c>
      <c r="C2" s="1009" t="s">
        <v>826</v>
      </c>
      <c r="D2" s="1009"/>
    </row>
    <row r="3" spans="1:6" ht="24" customHeight="1">
      <c r="A3" s="1010" t="s">
        <v>827</v>
      </c>
      <c r="B3" s="1011" t="s">
        <v>828</v>
      </c>
      <c r="C3" s="2327" t="s">
        <v>829</v>
      </c>
      <c r="D3" s="2330" t="s">
        <v>830</v>
      </c>
      <c r="E3" s="1012" t="s">
        <v>831</v>
      </c>
      <c r="F3" s="1011" t="s">
        <v>829</v>
      </c>
    </row>
    <row r="4" spans="1:6" ht="24" customHeight="1">
      <c r="A4" s="1690" t="s">
        <v>832</v>
      </c>
      <c r="B4" s="1012" t="str">
        <f ca="1">IF(C4&lt;B2,"已过期",1119970066)</f>
        <v>已过期</v>
      </c>
      <c r="C4" s="2328">
        <v>43849</v>
      </c>
      <c r="D4" s="2331" t="s">
        <v>832</v>
      </c>
      <c r="E4" s="1012">
        <f ca="1">IF(F4&lt;B2,"已过期",96010014)</f>
        <v>96010014</v>
      </c>
      <c r="F4" s="1020">
        <v>47118</v>
      </c>
    </row>
    <row r="5" spans="1:6" ht="24" customHeight="1">
      <c r="A5" s="1690" t="s">
        <v>833</v>
      </c>
      <c r="B5" s="1012" t="str">
        <f ca="1">IF(C5&lt;B2,"已过期",1119970074)</f>
        <v>已过期</v>
      </c>
      <c r="C5" s="2328">
        <v>43849</v>
      </c>
      <c r="D5" s="2331" t="s">
        <v>833</v>
      </c>
      <c r="E5" s="1012">
        <f ca="1">IF(F5&lt;B2,"已过期",2002110027)</f>
        <v>2002110027</v>
      </c>
      <c r="F5" s="1020">
        <v>46752</v>
      </c>
    </row>
    <row r="6" spans="1:6" ht="24" customHeight="1">
      <c r="A6" s="1690" t="s">
        <v>834</v>
      </c>
      <c r="B6" s="1012" t="str">
        <f ca="1">IF(C6&lt;B2,"已过期",1119970111)</f>
        <v>已过期</v>
      </c>
      <c r="C6" s="2328">
        <v>43849</v>
      </c>
      <c r="D6" s="2331" t="s">
        <v>834</v>
      </c>
      <c r="E6" s="1012">
        <f ca="1">IF(F6&lt;B2,"已过期",94010078)</f>
        <v>94010078</v>
      </c>
      <c r="F6" s="1020">
        <v>46387</v>
      </c>
    </row>
    <row r="7" spans="1:6" ht="24" customHeight="1">
      <c r="A7" s="1690" t="s">
        <v>835</v>
      </c>
      <c r="B7" s="1012">
        <f ca="1">IF(C7&lt;B2,"已过期",1120050019)</f>
        <v>1120050019</v>
      </c>
      <c r="C7" s="2328">
        <v>44395</v>
      </c>
      <c r="D7" s="2331" t="s">
        <v>835</v>
      </c>
      <c r="E7" s="1012">
        <f ca="1">IF(F7&lt;B2,"已过期",2002110030)</f>
        <v>2002110030</v>
      </c>
      <c r="F7" s="1020">
        <v>46387</v>
      </c>
    </row>
    <row r="8" spans="1:6" ht="24" customHeight="1">
      <c r="A8" s="1690" t="s">
        <v>836</v>
      </c>
      <c r="B8" s="1012" t="str">
        <f ca="1">IF(C8&lt;B2,"已过期",1120000080)</f>
        <v>已过期</v>
      </c>
      <c r="C8" s="2328">
        <v>43849</v>
      </c>
      <c r="D8" s="2331" t="s">
        <v>836</v>
      </c>
      <c r="E8" s="1012">
        <f ca="1">IF(F8&lt;B2,"已过期",2000110082)</f>
        <v>2000110082</v>
      </c>
      <c r="F8" s="1020">
        <v>46387</v>
      </c>
    </row>
    <row r="9" spans="1:6" ht="24" customHeight="1">
      <c r="A9" s="1690" t="s">
        <v>837</v>
      </c>
      <c r="B9" s="1012" t="str">
        <f ca="1">IF(C9&lt;B2,"已过期",1419970001)</f>
        <v>已过期</v>
      </c>
      <c r="C9" s="2328">
        <v>43867</v>
      </c>
      <c r="D9" s="2331" t="s">
        <v>837</v>
      </c>
      <c r="E9" s="1012">
        <f ca="1">IF(F9&lt;B2,"已过期",2002110125)</f>
        <v>2002110125</v>
      </c>
      <c r="F9" s="1020">
        <v>47118</v>
      </c>
    </row>
    <row r="10" spans="1:6" ht="24" customHeight="1">
      <c r="A10" s="1690" t="s">
        <v>838</v>
      </c>
      <c r="B10" s="1012">
        <f ca="1">IF(C10&lt;B2,"已过期",1120060040)</f>
        <v>1120060040</v>
      </c>
      <c r="C10" s="2328">
        <v>44554</v>
      </c>
      <c r="D10" s="2331" t="s">
        <v>838</v>
      </c>
      <c r="E10" s="1012">
        <f ca="1">IF(F10&lt;B2,"已过期",2004110096)</f>
        <v>2004110096</v>
      </c>
      <c r="F10" s="1020">
        <v>47118</v>
      </c>
    </row>
    <row r="11" spans="1:6" ht="24" customHeight="1">
      <c r="A11" s="1690" t="s">
        <v>839</v>
      </c>
      <c r="B11" s="1012">
        <f ca="1">IF(C11&lt;B2,"已过期",1120100036)</f>
        <v>1120100036</v>
      </c>
      <c r="C11" s="2328">
        <v>44675</v>
      </c>
      <c r="D11" s="2331" t="s">
        <v>839</v>
      </c>
      <c r="E11" s="1012">
        <f ca="1">IF(F11&lt;B2,"已过期",2010110070)</f>
        <v>2010110070</v>
      </c>
      <c r="F11" s="1020">
        <v>47907</v>
      </c>
    </row>
    <row r="12" spans="1:6" ht="24" customHeight="1">
      <c r="A12" s="1690"/>
      <c r="B12" s="1012"/>
      <c r="C12" s="2906"/>
      <c r="D12" s="1690"/>
      <c r="E12" s="1012"/>
      <c r="F12" s="1020"/>
    </row>
    <row r="13" spans="1:6" ht="24" customHeight="1">
      <c r="A13" s="1690" t="s">
        <v>840</v>
      </c>
      <c r="B13" s="1012" t="str">
        <f ca="1">IF(C13&lt;B2,"已过期",1120070131)</f>
        <v>已过期</v>
      </c>
      <c r="C13" s="2328">
        <v>43814</v>
      </c>
      <c r="D13" s="2331" t="s">
        <v>840</v>
      </c>
      <c r="E13" s="1012">
        <f ca="1">IF(F13&lt;B2,"已过期",2014110011)</f>
        <v>2014110011</v>
      </c>
      <c r="F13" s="1020">
        <v>49302</v>
      </c>
    </row>
    <row r="14" spans="1:6" ht="24" customHeight="1">
      <c r="A14" s="1690" t="s">
        <v>3026</v>
      </c>
      <c r="B14" s="1012" t="str">
        <f ca="1">IF(C14&lt;B2,"已过期",1120040230)</f>
        <v>已过期</v>
      </c>
      <c r="C14" s="2328">
        <v>43835</v>
      </c>
      <c r="D14" s="2331" t="s">
        <v>3026</v>
      </c>
      <c r="E14" s="1012">
        <f ca="1">IF(F14&lt;B2,"已过期",98030020)</f>
        <v>98030020</v>
      </c>
      <c r="F14" s="1020">
        <v>47118</v>
      </c>
    </row>
    <row r="15" spans="1:6" ht="24" customHeight="1">
      <c r="A15" s="1691" t="s">
        <v>3027</v>
      </c>
      <c r="B15" s="1012" t="str">
        <f ca="1">IF(C15&lt;B2,"已过期",1120070085)</f>
        <v>已过期</v>
      </c>
      <c r="C15" s="2328">
        <v>43814</v>
      </c>
      <c r="D15" s="2332" t="s">
        <v>3027</v>
      </c>
      <c r="E15" s="1012">
        <f ca="1">IF(F15&lt;B2,"已过期",2004110128)</f>
        <v>2004110128</v>
      </c>
      <c r="F15" s="1013">
        <v>47118</v>
      </c>
    </row>
    <row r="16" spans="1:6" ht="24" customHeight="1">
      <c r="A16" s="1690" t="s">
        <v>3028</v>
      </c>
      <c r="B16" s="1012">
        <f ca="1">IF(C16&lt;B2,"已过期",1120140022)</f>
        <v>1120140022</v>
      </c>
      <c r="C16" s="2906">
        <v>44029</v>
      </c>
      <c r="D16" s="2331" t="s">
        <v>3028</v>
      </c>
      <c r="E16" s="1012">
        <f ca="1">IF(F16&lt;B2,"已过期",2008110059)</f>
        <v>2008110059</v>
      </c>
      <c r="F16" s="1020">
        <v>47177</v>
      </c>
    </row>
    <row r="17" spans="1:7" ht="24" customHeight="1">
      <c r="A17" s="1690"/>
      <c r="B17" s="1012"/>
      <c r="C17" s="2328"/>
      <c r="D17" s="2331" t="s">
        <v>3029</v>
      </c>
      <c r="E17" s="1012">
        <f ca="1">IF(F17&lt;B2,"已过期",2014110076)</f>
        <v>2014110076</v>
      </c>
      <c r="F17" s="1020">
        <v>49302</v>
      </c>
    </row>
    <row r="18" spans="1:7" ht="24" customHeight="1">
      <c r="A18" s="1690"/>
      <c r="B18" s="1012"/>
      <c r="C18" s="2328"/>
      <c r="D18" s="2331"/>
      <c r="E18" s="1012"/>
      <c r="F18" s="1020"/>
    </row>
    <row r="19" spans="1:7" ht="24" customHeight="1">
      <c r="A19" s="1690"/>
      <c r="B19" s="1012"/>
      <c r="C19" s="2328"/>
      <c r="D19" s="2331"/>
      <c r="E19" s="1012"/>
      <c r="F19" s="1012"/>
    </row>
    <row r="20" spans="1:7" ht="24" customHeight="1">
      <c r="A20" s="1690"/>
      <c r="B20" s="1012"/>
      <c r="C20" s="2328"/>
      <c r="D20" s="2331"/>
      <c r="E20" s="1012"/>
      <c r="F20" s="1012"/>
    </row>
    <row r="21" spans="1:7" ht="24" customHeight="1">
      <c r="A21" s="1690"/>
      <c r="B21" s="1012"/>
      <c r="C21" s="2328"/>
      <c r="D21" s="2331" t="s">
        <v>841</v>
      </c>
      <c r="E21" s="1012">
        <f ca="1">IF(F21&lt;B2,"已过期",2011110090)</f>
        <v>2011110090</v>
      </c>
      <c r="F21" s="1020">
        <v>48302</v>
      </c>
    </row>
    <row r="22" spans="1:7" ht="24" customHeight="1">
      <c r="A22" s="1690" t="s">
        <v>842</v>
      </c>
      <c r="B22" s="1012">
        <f ca="1">IF(C22&lt;B2,"已过期",1120020033)</f>
        <v>1120020033</v>
      </c>
      <c r="C22" s="2906">
        <v>44339</v>
      </c>
      <c r="D22" s="2331" t="s">
        <v>842</v>
      </c>
      <c r="E22" s="1012">
        <f ca="1">IF(F22&lt;B2,"已过期",2000110137)</f>
        <v>2000110137</v>
      </c>
      <c r="F22" s="1020">
        <v>46387</v>
      </c>
    </row>
    <row r="23" spans="1:7" ht="24" customHeight="1">
      <c r="A23" s="1690"/>
      <c r="B23" s="1012"/>
      <c r="C23" s="2328"/>
      <c r="D23" s="2331"/>
      <c r="E23" s="1012"/>
      <c r="F23" s="1012"/>
    </row>
    <row r="24" spans="1:7" s="1014" customFormat="1" ht="24" customHeight="1">
      <c r="A24" s="1691" t="s">
        <v>1329</v>
      </c>
      <c r="B24" s="1691" t="s">
        <v>1329</v>
      </c>
      <c r="C24" s="2329" t="s">
        <v>1329</v>
      </c>
      <c r="D24" s="2332" t="s">
        <v>1329</v>
      </c>
      <c r="E24" s="1691" t="s">
        <v>1329</v>
      </c>
      <c r="F24" s="1691" t="s">
        <v>1329</v>
      </c>
    </row>
    <row r="25" spans="1:7" ht="24" customHeight="1">
      <c r="A25" s="3089" t="s">
        <v>843</v>
      </c>
      <c r="B25" s="3089"/>
      <c r="C25" s="3089"/>
      <c r="D25" s="3089"/>
      <c r="E25" s="3089"/>
      <c r="F25" s="3089"/>
      <c r="G25" s="3089"/>
    </row>
    <row r="26" spans="1:7" s="1015" customFormat="1" ht="24" customHeight="1">
      <c r="A26" s="3090" t="s">
        <v>844</v>
      </c>
      <c r="B26" s="3090"/>
      <c r="C26" s="3091"/>
      <c r="D26" s="3092" t="s">
        <v>845</v>
      </c>
      <c r="E26" s="3090"/>
      <c r="F26" s="3090"/>
    </row>
    <row r="27" spans="1:7" s="1017" customFormat="1" ht="24" customHeight="1">
      <c r="A27" s="1016" t="s">
        <v>846</v>
      </c>
      <c r="B27" s="1011" t="s">
        <v>847</v>
      </c>
      <c r="C27" s="2327" t="s">
        <v>848</v>
      </c>
      <c r="D27" s="2335" t="s">
        <v>846</v>
      </c>
      <c r="E27" s="1011" t="s">
        <v>847</v>
      </c>
      <c r="F27" s="1011" t="s">
        <v>848</v>
      </c>
    </row>
    <row r="28" spans="1:7" s="1017" customFormat="1" ht="24" customHeight="1">
      <c r="A28" s="1018" t="s">
        <v>849</v>
      </c>
      <c r="B28" s="1019" t="s">
        <v>850</v>
      </c>
      <c r="C28" s="2333">
        <v>43725</v>
      </c>
      <c r="D28" s="2336" t="s">
        <v>851</v>
      </c>
      <c r="E28" s="1018" t="s">
        <v>852</v>
      </c>
      <c r="F28" s="1047">
        <v>44377</v>
      </c>
    </row>
    <row r="29" spans="1:7" s="1017" customFormat="1" ht="24" customHeight="1">
      <c r="A29" s="1018"/>
      <c r="B29" s="1018"/>
      <c r="C29" s="2334"/>
      <c r="D29" s="2336" t="s">
        <v>853</v>
      </c>
      <c r="E29" s="1191" t="s">
        <v>3033</v>
      </c>
      <c r="F29" s="1192">
        <v>43646</v>
      </c>
    </row>
    <row r="30" spans="1:7" ht="24" customHeight="1">
      <c r="C30" s="1021"/>
      <c r="D30" s="102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20200214地块划分明细表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未售清单</vt:lpstr>
      <vt:lpstr>土地案例</vt:lpstr>
      <vt:lpstr>土地案例-商业</vt:lpstr>
      <vt:lpstr>案例</vt:lpstr>
      <vt:lpstr>结果汇总</vt:lpstr>
      <vt:lpstr>'20200214地块划分明细表'!Print_Area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2020-05-19T03:18:24Z</dcterms:modified>
</cp:coreProperties>
</file>