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677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租金" sheetId="81" r:id="rId46"/>
    <sheet name="案例" sheetId="80"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45"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5">'比较法-租金'!$A$1:$K$55,'比较法-租金'!$A$58:$M$132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'比较法-租金'!$B$119:$M$119</definedName>
    <definedName name="办公层高">'比较法-办公'!$B$119:$M$119</definedName>
    <definedName name="办公朝向" localSheetId="45">'比较法-租金'!$B$91:$M$91</definedName>
    <definedName name="办公朝向">'比较法-办公'!$B$91:$M$91</definedName>
    <definedName name="办公道路级别" localSheetId="45">'比较法-租金'!$B$87:$M$87</definedName>
    <definedName name="办公道路级别">'比较法-办公'!$B$87:$M$87</definedName>
    <definedName name="办公公共部分装修" localSheetId="45">'比较法-租金'!$B$108:$M$108</definedName>
    <definedName name="办公公共部分装修">'比较法-办公'!$B$108:$M$108</definedName>
    <definedName name="办公基础设施水平" localSheetId="45">'比较法-租金'!$B$117:$M$117</definedName>
    <definedName name="办公基础设施水平">'比较法-办公'!$B$117:$M$117</definedName>
    <definedName name="办公集聚程度">定义!$M$1:$M$6</definedName>
    <definedName name="办公建筑结构" localSheetId="45">'比较法-租金'!$B$106:$M$106</definedName>
    <definedName name="办公建筑结构">'比较法-办公'!$B$106:$M$106</definedName>
    <definedName name="办公建筑类型" localSheetId="45">'比较法-租金'!$B$101:$M$101</definedName>
    <definedName name="办公建筑类型">'比较法-办公'!$B$101:$M$101</definedName>
    <definedName name="办公交易情况" localSheetId="45">'比较法-租金'!$A$62:$M$62</definedName>
    <definedName name="办公交易情况">'比较法-办公'!$A$62:$M$62</definedName>
    <definedName name="办公楼层" localSheetId="45">'比较法-租金'!$B$89:$M$89</definedName>
    <definedName name="办公楼层">'比较法-办公'!$B$89:$M$89</definedName>
    <definedName name="办公内部装修" localSheetId="45">'比较法-租金'!$B$123:$M$123</definedName>
    <definedName name="办公内部装修">'比较法-办公'!$B$123:$M$123</definedName>
    <definedName name="办公物业管理" localSheetId="45">'比较法-租金'!$B$115:$M$115</definedName>
    <definedName name="办公物业管理">'比较法-办公'!$B$115:$M$115</definedName>
    <definedName name="办公用途" localSheetId="45">'比较法-租金'!$B$64:$M$64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94" i="34" l="1"/>
  <c r="D94" i="34"/>
  <c r="D14" i="9" l="1"/>
  <c r="I48" i="81" l="1"/>
  <c r="G48" i="81"/>
  <c r="E48" i="81"/>
  <c r="I5" i="81"/>
  <c r="G5" i="81"/>
  <c r="E5" i="81"/>
  <c r="B131" i="8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E105" i="81"/>
  <c r="F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E94" i="81"/>
  <c r="D94"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P50" i="81"/>
  <c r="P49" i="81"/>
  <c r="K49" i="81"/>
  <c r="P48" i="81"/>
  <c r="I55" i="81"/>
  <c r="J55" i="81" s="1"/>
  <c r="G55" i="81"/>
  <c r="H55" i="81" s="1"/>
  <c r="E55" i="81"/>
  <c r="F55"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F37" i="81" s="1"/>
  <c r="Q36" i="81"/>
  <c r="Z36" i="81" s="1"/>
  <c r="J36" i="81"/>
  <c r="AC36" i="81" s="1"/>
  <c r="H36" i="81"/>
  <c r="AB36" i="81" s="1"/>
  <c r="F36" i="81"/>
  <c r="AA36" i="81" s="1"/>
  <c r="Q35" i="81"/>
  <c r="Z35" i="81" s="1"/>
  <c r="J35" i="81"/>
  <c r="AC35" i="81" s="1"/>
  <c r="H35" i="81"/>
  <c r="AB35" i="81" s="1"/>
  <c r="F35" i="81"/>
  <c r="AA35" i="81" s="1"/>
  <c r="Q34" i="81"/>
  <c r="Z34" i="81" s="1"/>
  <c r="J34" i="81"/>
  <c r="F34" i="81"/>
  <c r="H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Z25" i="81"/>
  <c r="Q25" i="81"/>
  <c r="J25" i="81"/>
  <c r="AC25" i="81" s="1"/>
  <c r="H25" i="81"/>
  <c r="F25" i="81"/>
  <c r="AA25" i="81" s="1"/>
  <c r="Q23" i="81"/>
  <c r="Z23" i="81" s="1"/>
  <c r="J23" i="81"/>
  <c r="W23" i="81" s="1"/>
  <c r="H23" i="81"/>
  <c r="U23" i="81" s="1"/>
  <c r="F23" i="81"/>
  <c r="AA23" i="81" s="1"/>
  <c r="C23" i="81"/>
  <c r="Q21" i="81"/>
  <c r="Z21" i="81" s="1"/>
  <c r="J21" i="81"/>
  <c r="W21" i="81" s="1"/>
  <c r="H21" i="81"/>
  <c r="U21" i="81" s="1"/>
  <c r="F21" i="81"/>
  <c r="S21" i="81" s="1"/>
  <c r="C21" i="81"/>
  <c r="AC19" i="81"/>
  <c r="Q19" i="81"/>
  <c r="Z19" i="81" s="1"/>
  <c r="J19" i="81"/>
  <c r="W19" i="81" s="1"/>
  <c r="H19" i="81"/>
  <c r="U19" i="81" s="1"/>
  <c r="F19" i="81"/>
  <c r="S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I48" i="34"/>
  <c r="G48" i="34"/>
  <c r="E48" i="34"/>
  <c r="I34" i="34"/>
  <c r="G34" i="34"/>
  <c r="E34" i="34"/>
  <c r="C37" i="34"/>
  <c r="D2" i="81"/>
  <c r="AA8" i="81" l="1"/>
  <c r="U9" i="81"/>
  <c r="W10" i="81"/>
  <c r="S12" i="81"/>
  <c r="U13" i="81"/>
  <c r="W14" i="81"/>
  <c r="W15" i="81"/>
  <c r="W17" i="81"/>
  <c r="AA21" i="81"/>
  <c r="S23" i="81"/>
  <c r="AB23" i="81"/>
  <c r="AA34" i="81"/>
  <c r="S34" i="81"/>
  <c r="AA37" i="81"/>
  <c r="S37" i="81"/>
  <c r="W8" i="81"/>
  <c r="AB8" i="81"/>
  <c r="W9" i="81"/>
  <c r="S11" i="81"/>
  <c r="U12" i="81"/>
  <c r="W13" i="81"/>
  <c r="AA19" i="81"/>
  <c r="AB21" i="81"/>
  <c r="AC23" i="81"/>
  <c r="S10" i="81"/>
  <c r="U11" i="81"/>
  <c r="W12" i="81"/>
  <c r="S14" i="81"/>
  <c r="S15" i="81"/>
  <c r="S17" i="81"/>
  <c r="AB19" i="81"/>
  <c r="AC21" i="81"/>
  <c r="AC34" i="81"/>
  <c r="W34" i="81"/>
  <c r="S9" i="81"/>
  <c r="U10" i="81"/>
  <c r="W11" i="81"/>
  <c r="S13" i="81"/>
  <c r="U14" i="81"/>
  <c r="U15" i="81"/>
  <c r="U17" i="81"/>
  <c r="AB25" i="81"/>
  <c r="U25" i="81"/>
  <c r="AB34" i="81"/>
  <c r="U34" i="81"/>
  <c r="S27" i="81"/>
  <c r="U28" i="81"/>
  <c r="W29" i="81"/>
  <c r="S31" i="81"/>
  <c r="U32" i="81"/>
  <c r="W33" i="81"/>
  <c r="S35" i="81"/>
  <c r="U36" i="81"/>
  <c r="H37" i="81"/>
  <c r="W38" i="81"/>
  <c r="S40" i="81"/>
  <c r="U41" i="81"/>
  <c r="W42" i="81"/>
  <c r="S44" i="81"/>
  <c r="U45" i="81"/>
  <c r="W46" i="81"/>
  <c r="R48" i="81"/>
  <c r="S25" i="81"/>
  <c r="U27" i="81"/>
  <c r="W28" i="81"/>
  <c r="S30" i="81"/>
  <c r="U31" i="81"/>
  <c r="W32" i="81"/>
  <c r="U35" i="81"/>
  <c r="W36" i="81"/>
  <c r="J37" i="81"/>
  <c r="S39" i="81"/>
  <c r="U40" i="81"/>
  <c r="W41" i="81"/>
  <c r="S43" i="81"/>
  <c r="U44" i="81"/>
  <c r="W45" i="81"/>
  <c r="S47" i="81"/>
  <c r="T48" i="81"/>
  <c r="W27" i="81"/>
  <c r="S29" i="81"/>
  <c r="U30" i="81"/>
  <c r="W31" i="81"/>
  <c r="S33" i="81"/>
  <c r="W35" i="81"/>
  <c r="S38" i="81"/>
  <c r="U39" i="81"/>
  <c r="W40" i="81"/>
  <c r="S42" i="81"/>
  <c r="U43" i="81"/>
  <c r="W44" i="81"/>
  <c r="S46" i="81"/>
  <c r="U47" i="81"/>
  <c r="V48" i="81"/>
  <c r="W25" i="81"/>
  <c r="S28" i="81"/>
  <c r="U29" i="81"/>
  <c r="W30" i="81"/>
  <c r="S32" i="81"/>
  <c r="U33" i="81"/>
  <c r="S36" i="81"/>
  <c r="U38" i="81"/>
  <c r="W39" i="81"/>
  <c r="S41" i="81"/>
  <c r="U42" i="81"/>
  <c r="W43" i="81"/>
  <c r="S45" i="81"/>
  <c r="U46" i="81"/>
  <c r="W47" i="81"/>
  <c r="AC37" i="81" l="1"/>
  <c r="W37" i="81"/>
  <c r="AB37" i="81"/>
  <c r="U37" i="81"/>
  <c r="G117" i="34" l="1"/>
  <c r="F117" i="34"/>
  <c r="E117" i="34"/>
  <c r="D117" i="34"/>
  <c r="C117" i="34"/>
  <c r="I5" i="34"/>
  <c r="G5" i="34"/>
  <c r="E5" i="34"/>
  <c r="A4" i="80"/>
  <c r="J52" i="67"/>
  <c r="J49" i="67"/>
  <c r="B35" i="1"/>
  <c r="B21" i="1"/>
  <c r="Y6" i="1"/>
  <c r="N6" i="1"/>
  <c r="N20" i="1"/>
  <c r="C11" i="4" l="1"/>
  <c r="B6"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F19" i="6" s="1"/>
  <c r="C34" i="34" s="1"/>
  <c r="F34" i="34" s="1"/>
  <c r="AA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J32" i="34" s="1"/>
  <c r="B97" i="34"/>
  <c r="B95" i="34"/>
  <c r="B93" i="34"/>
  <c r="B75" i="34"/>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s="1"/>
  <c r="H34" i="34"/>
  <c r="AB34" i="34" s="1"/>
  <c r="Q33" i="34"/>
  <c r="Z33" i="34"/>
  <c r="Q32" i="34"/>
  <c r="Z32" i="34" s="1"/>
  <c r="Q31" i="34"/>
  <c r="Z31" i="34" s="1"/>
  <c r="Q30" i="34"/>
  <c r="Z30" i="34"/>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S28" i="34" s="1"/>
  <c r="F27" i="34"/>
  <c r="AA27" i="34" s="1"/>
  <c r="F25" i="34"/>
  <c r="S25" i="34" s="1"/>
  <c r="H23" i="34"/>
  <c r="U23" i="34" s="1"/>
  <c r="J23" i="34"/>
  <c r="AC23" i="34" s="1"/>
  <c r="F19" i="34"/>
  <c r="S19" i="34" s="1"/>
  <c r="H17" i="34"/>
  <c r="U17"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s="1"/>
  <c r="J25" i="34"/>
  <c r="AC25" i="34" s="1"/>
  <c r="F23" i="34"/>
  <c r="S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AB30" i="34" s="1"/>
  <c r="F30" i="34"/>
  <c r="S30" i="34" s="1"/>
  <c r="J30" i="34"/>
  <c r="W30" i="34" s="1"/>
  <c r="H32" i="34"/>
  <c r="U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F29" i="34"/>
  <c r="S29" i="34" s="1"/>
  <c r="H29" i="34"/>
  <c r="AB29" i="34" s="1"/>
  <c r="J31" i="34"/>
  <c r="AC31" i="34" s="1"/>
  <c r="H31" i="34"/>
  <c r="U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W41" i="34"/>
  <c r="AC42" i="34"/>
  <c r="U39" i="34"/>
  <c r="AB41" i="34"/>
  <c r="AA45" i="34"/>
  <c r="AA25" i="34"/>
  <c r="U27"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W46" i="34"/>
  <c r="AC46" i="34"/>
  <c r="U30" i="34"/>
  <c r="U38" i="34"/>
  <c r="AA19" i="34"/>
  <c r="AA36" i="34"/>
  <c r="AB9" i="34"/>
  <c r="U9" i="34"/>
  <c r="S46" i="34"/>
  <c r="AA46"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7" i="76"/>
  <c r="F13" i="67"/>
  <c r="E9" i="76"/>
  <c r="B13" i="76"/>
  <c r="D35" i="9"/>
  <c r="F16" i="15"/>
  <c r="E7" i="76"/>
  <c r="F36" i="67"/>
  <c r="F40" i="15"/>
  <c r="E2" i="69"/>
  <c r="F7" i="15"/>
  <c r="F8" i="15"/>
  <c r="D7" i="73"/>
  <c r="M22" i="67"/>
  <c r="F26" i="15"/>
  <c r="B9" i="76"/>
  <c r="M26" i="15"/>
  <c r="M29" i="15"/>
  <c r="J15" i="67"/>
  <c r="J15" i="15"/>
  <c r="AO13" i="1"/>
  <c r="F38" i="15"/>
  <c r="M8" i="15"/>
  <c r="F40" i="67"/>
  <c r="E2" i="68"/>
  <c r="L47" i="15"/>
  <c r="F13" i="15"/>
  <c r="F3" i="73"/>
  <c r="D34" i="9"/>
  <c r="F43" i="15"/>
  <c r="F26" i="67"/>
  <c r="B10" i="76"/>
  <c r="F6" i="73"/>
  <c r="B8" i="76"/>
  <c r="F4" i="73"/>
  <c r="F16" i="67"/>
  <c r="M28" i="67"/>
  <c r="M24" i="67"/>
  <c r="F9" i="15"/>
  <c r="M24" i="15"/>
  <c r="B11" i="76"/>
  <c r="F38" i="67"/>
  <c r="F5" i="73"/>
  <c r="M23" i="67"/>
  <c r="M6" i="67"/>
  <c r="M23" i="15"/>
  <c r="M26" i="67"/>
  <c r="F20" i="31"/>
  <c r="M9" i="15"/>
  <c r="E12" i="76"/>
  <c r="D5" i="73"/>
  <c r="C76" i="67"/>
  <c r="M22" i="15"/>
  <c r="F37" i="67"/>
  <c r="F37" i="15"/>
  <c r="D3" i="73"/>
  <c r="F36" i="15"/>
  <c r="B12" i="76"/>
  <c r="M8" i="67"/>
  <c r="F9" i="67"/>
  <c r="F42" i="67"/>
  <c r="F8" i="67"/>
  <c r="L48" i="15"/>
  <c r="F6" i="15"/>
  <c r="M6" i="15"/>
  <c r="M9" i="67"/>
  <c r="E10" i="76"/>
  <c r="D4" i="73"/>
  <c r="D6" i="73"/>
  <c r="E8" i="76"/>
  <c r="L47" i="67"/>
  <c r="C76" i="15"/>
  <c r="M28" i="15"/>
  <c r="E13" i="76"/>
  <c r="F7" i="73"/>
  <c r="F42" i="15"/>
  <c r="E11" i="76"/>
  <c r="H5" i="3" l="1"/>
  <c r="J34" i="34"/>
  <c r="AC34" i="34" s="1"/>
  <c r="U34" i="34"/>
  <c r="C18" i="9"/>
  <c r="D18" i="9" s="1"/>
  <c r="AB8" i="34"/>
  <c r="BA13" i="3"/>
  <c r="BA5" i="3" s="1"/>
  <c r="BB5" i="3"/>
  <c r="G5" i="3"/>
  <c r="B3" i="3" s="1"/>
  <c r="E13" i="3"/>
  <c r="E19" i="6"/>
  <c r="C59" i="81"/>
  <c r="D59" i="81" s="1"/>
  <c r="E59" i="81" s="1"/>
  <c r="F59" i="81" s="1"/>
  <c r="G59" i="81" s="1"/>
  <c r="H59" i="81" s="1"/>
  <c r="I59" i="81" s="1"/>
  <c r="J59" i="81" s="1"/>
  <c r="K59" i="81" s="1"/>
  <c r="L59" i="81" s="1"/>
  <c r="M59" i="81" s="1"/>
  <c r="N59" i="81" s="1"/>
  <c r="O59" i="81" s="1"/>
  <c r="E7" i="81"/>
  <c r="F7" i="81" s="1"/>
  <c r="G7" i="81"/>
  <c r="H7" i="81" s="1"/>
  <c r="I7" i="81"/>
  <c r="J7" i="81" s="1"/>
  <c r="G7" i="34"/>
  <c r="I7" i="34"/>
  <c r="E7" i="34"/>
  <c r="F6" i="1"/>
  <c r="S8" i="34"/>
  <c r="F37" i="34"/>
  <c r="G112" i="34"/>
  <c r="H112" i="34" s="1"/>
  <c r="I112" i="34" s="1"/>
  <c r="J112" i="34" s="1"/>
  <c r="K112" i="34" s="1"/>
  <c r="L112" i="34" s="1"/>
  <c r="M112" i="34" s="1"/>
  <c r="H37" i="34"/>
  <c r="U37" i="34" s="1"/>
  <c r="J37" i="34"/>
  <c r="AC37" i="34" s="1"/>
  <c r="S44" i="34"/>
  <c r="AA41" i="34"/>
  <c r="U44" i="34"/>
  <c r="S40" i="34"/>
  <c r="AC36" i="34"/>
  <c r="W32" i="34"/>
  <c r="AC32" i="34"/>
  <c r="AB31" i="34"/>
  <c r="F32" i="34"/>
  <c r="AB32" i="34"/>
  <c r="U28" i="34"/>
  <c r="W29" i="34"/>
  <c r="AA29" i="34"/>
  <c r="AA33" i="34"/>
  <c r="AB33" i="34"/>
  <c r="W33" i="34"/>
  <c r="AA28" i="34"/>
  <c r="U21" i="34"/>
  <c r="AC15" i="34"/>
  <c r="W9" i="34"/>
  <c r="W8" i="34"/>
  <c r="AB19" i="34"/>
  <c r="AB23" i="34"/>
  <c r="AA15" i="34"/>
  <c r="AA23" i="34"/>
  <c r="AA21" i="34"/>
  <c r="AC17" i="34"/>
  <c r="S17" i="34"/>
  <c r="AB17" i="34"/>
  <c r="U15" i="34"/>
  <c r="W43" i="34"/>
  <c r="U43" i="34"/>
  <c r="S43" i="34"/>
  <c r="W40" i="34"/>
  <c r="AB40" i="34"/>
  <c r="AC39" i="34"/>
  <c r="AA39" i="34"/>
  <c r="AB36" i="34"/>
  <c r="S35" i="34"/>
  <c r="AB35" i="34"/>
  <c r="U29" i="34"/>
  <c r="W47" i="34"/>
  <c r="AC13" i="34"/>
  <c r="W13" i="34"/>
  <c r="F13" i="34"/>
  <c r="H13" i="34"/>
  <c r="AC12" i="34"/>
  <c r="B58" i="43"/>
  <c r="C25" i="39"/>
  <c r="B79" i="43"/>
  <c r="B68" i="43"/>
  <c r="B57" i="43"/>
  <c r="C29" i="39"/>
  <c r="B77" i="43"/>
  <c r="B76" i="43"/>
  <c r="C24" i="12"/>
  <c r="C40" i="69"/>
  <c r="C21" i="68"/>
  <c r="G28" i="6"/>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G1" i="73"/>
  <c r="C16" i="15"/>
  <c r="L48" i="67"/>
  <c r="E510" i="3" l="1"/>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43" i="3"/>
  <c r="E440" i="3"/>
  <c r="AH6" i="3"/>
  <c r="E498" i="3"/>
  <c r="E483" i="3"/>
  <c r="E40" i="3"/>
  <c r="E178" i="3"/>
  <c r="E202" i="3"/>
  <c r="E242" i="3"/>
  <c r="E34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88" i="3"/>
  <c r="E25" i="3"/>
  <c r="E276" i="3"/>
  <c r="E372" i="3"/>
  <c r="E329" i="3"/>
  <c r="E16" i="3"/>
  <c r="E223" i="3"/>
  <c r="E116" i="3"/>
  <c r="E105" i="3"/>
  <c r="E393" i="3"/>
  <c r="E493" i="3"/>
  <c r="E564" i="3"/>
  <c r="E427" i="3"/>
  <c r="E486" i="3"/>
  <c r="E507" i="3"/>
  <c r="E422" i="3"/>
  <c r="E490" i="3"/>
  <c r="E376" i="3"/>
  <c r="J6" i="3"/>
  <c r="E419" i="3"/>
  <c r="E401" i="3"/>
  <c r="E463" i="3"/>
  <c r="E108" i="3"/>
  <c r="E119" i="3"/>
  <c r="E226" i="3"/>
  <c r="E333" i="3"/>
  <c r="E212" i="3"/>
  <c r="E499" i="3"/>
  <c r="E466" i="3"/>
  <c r="E255" i="3"/>
  <c r="E517" i="3"/>
  <c r="E479" i="3"/>
  <c r="E152" i="3"/>
  <c r="E241" i="3"/>
  <c r="E389" i="3"/>
  <c r="E76" i="3"/>
  <c r="E409" i="3"/>
  <c r="E425" i="3"/>
  <c r="E64" i="3"/>
  <c r="E103" i="3"/>
  <c r="E142" i="3"/>
  <c r="E267" i="3"/>
  <c r="E300" i="3"/>
  <c r="E310" i="3"/>
  <c r="E23" i="3"/>
  <c r="E67" i="3"/>
  <c r="E144" i="3"/>
  <c r="E233" i="3"/>
  <c r="E381" i="3"/>
  <c r="E63" i="3"/>
  <c r="E118" i="3"/>
  <c r="E283" i="3"/>
  <c r="E513" i="3"/>
  <c r="E199" i="3"/>
  <c r="E435" i="3"/>
  <c r="E132" i="3"/>
  <c r="L6" i="3"/>
  <c r="E473" i="3"/>
  <c r="E38" i="3"/>
  <c r="E194" i="3"/>
  <c r="E339" i="3"/>
  <c r="E52" i="3"/>
  <c r="E147" i="3"/>
  <c r="E50" i="3"/>
  <c r="E218" i="3"/>
  <c r="E365" i="3"/>
  <c r="E148" i="3"/>
  <c r="E575" i="3"/>
  <c r="E442" i="3"/>
  <c r="E449" i="3"/>
  <c r="E554" i="3"/>
  <c r="E417" i="3"/>
  <c r="E95" i="3"/>
  <c r="E258" i="3"/>
  <c r="E349" i="3"/>
  <c r="E60" i="3"/>
  <c r="E540" i="3"/>
  <c r="E15" i="3"/>
  <c r="E79" i="3"/>
  <c r="E100" i="3"/>
  <c r="E137" i="3"/>
  <c r="E234" i="3"/>
  <c r="E299" i="3"/>
  <c r="E325" i="3"/>
  <c r="AQ6" i="3"/>
  <c r="E36" i="3"/>
  <c r="E123" i="3"/>
  <c r="E289" i="3"/>
  <c r="E364" i="3"/>
  <c r="E20" i="3"/>
  <c r="E176" i="3"/>
  <c r="E265" i="3"/>
  <c r="E524" i="3"/>
  <c r="E539" i="3"/>
  <c r="R6" i="3"/>
  <c r="E541" i="3"/>
  <c r="I3" i="6"/>
  <c r="E56" i="3"/>
  <c r="E292" i="3"/>
  <c r="E43" i="3"/>
  <c r="E455" i="3"/>
  <c r="E170" i="3"/>
  <c r="E219" i="3"/>
  <c r="E392" i="3"/>
  <c r="E112" i="3"/>
  <c r="E340" i="3"/>
  <c r="E62" i="3"/>
  <c r="E101" i="3"/>
  <c r="E536" i="3"/>
  <c r="E286" i="3"/>
  <c r="E502" i="3"/>
  <c r="E430" i="3"/>
  <c r="AP6" i="3"/>
  <c r="E491" i="3"/>
  <c r="E37" i="3"/>
  <c r="E192" i="3"/>
  <c r="E363" i="3"/>
  <c r="E544" i="3"/>
  <c r="E59" i="3"/>
  <c r="E484" i="3"/>
  <c r="E467" i="3"/>
  <c r="E46" i="3"/>
  <c r="E160" i="3"/>
  <c r="E200" i="3"/>
  <c r="E249" i="3"/>
  <c r="E371" i="3"/>
  <c r="E492" i="3"/>
  <c r="E84" i="3"/>
  <c r="E33" i="3"/>
  <c r="E184" i="3"/>
  <c r="E355" i="3"/>
  <c r="E68" i="3"/>
  <c r="E81" i="3"/>
  <c r="E264" i="3"/>
  <c r="E309" i="3"/>
  <c r="E21" i="3"/>
  <c r="E59" i="40"/>
  <c r="D3" i="81"/>
  <c r="K6" i="1"/>
  <c r="I54" i="67"/>
  <c r="L58" i="67"/>
  <c r="Q60" i="67" s="1"/>
  <c r="J53" i="67"/>
  <c r="Q52" i="67" s="1"/>
  <c r="J57" i="67"/>
  <c r="J55" i="67" s="1"/>
  <c r="J58" i="67" s="1"/>
  <c r="Q50" i="67" s="1"/>
  <c r="L56" i="67"/>
  <c r="G6" i="1"/>
  <c r="W7" i="81"/>
  <c r="AC7" i="81"/>
  <c r="V49" i="81" s="1"/>
  <c r="I49" i="81" s="1"/>
  <c r="J7" i="37"/>
  <c r="U7" i="81"/>
  <c r="AB7" i="81"/>
  <c r="T49" i="81" s="1"/>
  <c r="G49" i="81" s="1"/>
  <c r="S7" i="81"/>
  <c r="AA7" i="81"/>
  <c r="R49" i="81" s="1"/>
  <c r="F7" i="36"/>
  <c r="H7" i="36"/>
  <c r="AB37" i="34"/>
  <c r="AA37" i="34"/>
  <c r="S37" i="34"/>
  <c r="S32" i="34"/>
  <c r="AA32" i="34"/>
  <c r="U13" i="34"/>
  <c r="AB13" i="34"/>
  <c r="AA13" i="34"/>
  <c r="S13" i="34"/>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F7" i="67"/>
  <c r="F43" i="67"/>
  <c r="M29" i="67"/>
  <c r="G16" i="1" l="1"/>
  <c r="J10" i="39" s="1"/>
  <c r="F71" i="67"/>
  <c r="M7" i="67"/>
  <c r="F50" i="67"/>
  <c r="AP6" i="1"/>
  <c r="C36" i="69" s="1"/>
  <c r="Q16" i="1"/>
  <c r="M6" i="1"/>
  <c r="O6" i="1" s="1"/>
  <c r="H16" i="1"/>
  <c r="E65" i="39"/>
  <c r="K16" i="1"/>
  <c r="B29" i="1" s="1"/>
  <c r="C8" i="68" s="1"/>
  <c r="C5" i="68" s="1"/>
  <c r="F1" i="67"/>
  <c r="H10" i="40"/>
  <c r="AB10" i="40" s="1"/>
  <c r="Q73" i="67"/>
  <c r="I53" i="81"/>
  <c r="J53" i="81" s="1"/>
  <c r="G53" i="81"/>
  <c r="H53" i="81" s="1"/>
  <c r="G54" i="81"/>
  <c r="H54" i="81" s="1"/>
  <c r="E49" i="81"/>
  <c r="R50" i="8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C48" i="15" s="1"/>
  <c r="C66" i="15" s="1"/>
  <c r="C10" i="15"/>
  <c r="C5" i="15" s="1"/>
  <c r="C38" i="15" s="1"/>
  <c r="F25" i="12"/>
  <c r="F22" i="69"/>
  <c r="F41" i="69" s="1"/>
  <c r="F24" i="67"/>
  <c r="C24" i="67" s="1"/>
  <c r="F22" i="11"/>
  <c r="F22" i="68"/>
  <c r="F24" i="15"/>
  <c r="C24" i="15" s="1"/>
  <c r="AE6" i="1"/>
  <c r="M27" i="67"/>
  <c r="M27" i="15"/>
  <c r="F41" i="15"/>
  <c r="C16" i="67"/>
  <c r="W10" i="39" l="1"/>
  <c r="AC10" i="39"/>
  <c r="J10" i="40"/>
  <c r="AC10" i="40" s="1"/>
  <c r="F10" i="39"/>
  <c r="F10" i="40"/>
  <c r="H10" i="39"/>
  <c r="B14" i="74"/>
  <c r="B1" i="74" s="1"/>
  <c r="C49" i="67"/>
  <c r="C48" i="67" s="1"/>
  <c r="C66" i="67" s="1"/>
  <c r="F59" i="67"/>
  <c r="J6" i="67"/>
  <c r="M17" i="67"/>
  <c r="F27" i="69"/>
  <c r="F27" i="11"/>
  <c r="F28" i="12"/>
  <c r="C29" i="12" s="1"/>
  <c r="D28" i="12" s="1"/>
  <c r="F27" i="68"/>
  <c r="W10" i="40"/>
  <c r="C50" i="81"/>
  <c r="U6" i="1" s="1"/>
  <c r="C49" i="81"/>
  <c r="E54" i="81"/>
  <c r="F54" i="81" s="1"/>
  <c r="E53" i="81"/>
  <c r="F53" i="81" s="1"/>
  <c r="I54" i="81"/>
  <c r="J54" i="81"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0" i="67"/>
  <c r="D10" i="69"/>
  <c r="C34" i="69"/>
  <c r="D10" i="68"/>
  <c r="F41" i="67"/>
  <c r="C14" i="67"/>
  <c r="C17" i="67"/>
  <c r="C17" i="15"/>
  <c r="U10" i="39" l="1"/>
  <c r="AB10" i="39"/>
  <c r="S10" i="40"/>
  <c r="AA10" i="40"/>
  <c r="D30" i="6"/>
  <c r="AA10" i="39"/>
  <c r="S10" i="39"/>
  <c r="F69" i="67"/>
  <c r="C29" i="68"/>
  <c r="D27" i="68" s="1"/>
  <c r="C47" i="68"/>
  <c r="D45" i="68" s="1"/>
  <c r="F45" i="68"/>
  <c r="F45" i="69"/>
  <c r="C47" i="69"/>
  <c r="D45" i="69" s="1"/>
  <c r="C29" i="69"/>
  <c r="D27" i="69" s="1"/>
  <c r="H25" i="6"/>
  <c r="J18" i="67"/>
  <c r="J5" i="67"/>
  <c r="J24" i="67" s="1"/>
  <c r="C29" i="11"/>
  <c r="D27" i="11" s="1"/>
  <c r="C47" i="11"/>
  <c r="D45" i="11" s="1"/>
  <c r="B2" i="81"/>
  <c r="B3" i="8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C14" i="15"/>
  <c r="E6" i="76"/>
  <c r="B6" i="76"/>
  <c r="F6" i="67"/>
  <c r="F31" i="67" l="1"/>
  <c r="C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2" i="67" l="1"/>
  <c r="C10" i="67"/>
  <c r="C5" i="67" s="1"/>
  <c r="C38" i="67" s="1"/>
  <c r="C33" i="67"/>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C19" i="9"/>
  <c r="AO6" i="1"/>
  <c r="AO7" i="1"/>
  <c r="AO8" i="1"/>
  <c r="D19" i="9"/>
  <c r="AO10" i="1"/>
  <c r="AO9" i="1"/>
  <c r="C102" i="9" l="1"/>
  <c r="C21" i="9"/>
  <c r="B3" i="34"/>
  <c r="D22" i="9"/>
  <c r="G19" i="9"/>
  <c r="G21" i="9" s="1"/>
  <c r="D10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02" i="9" s="1"/>
  <c r="D7" i="53" l="1"/>
  <c r="B21" i="72" s="1"/>
  <c r="I4" i="52"/>
  <c r="H118" i="9"/>
  <c r="C105" i="9"/>
  <c r="E118" i="9"/>
  <c r="F118" i="9"/>
  <c r="C104" i="9" l="1"/>
  <c r="H119" i="9"/>
  <c r="H5" i="52" s="1"/>
  <c r="H101" i="9"/>
  <c r="D14" i="74" s="1"/>
  <c r="H4" i="52"/>
  <c r="F4" i="52"/>
  <c r="B51" i="72" s="1"/>
  <c r="F119" i="9"/>
  <c r="F5" i="52" s="1"/>
  <c r="B53" i="72" s="1"/>
  <c r="E4" i="52"/>
  <c r="B48" i="72" s="1"/>
  <c r="D118" i="9"/>
  <c r="E14" i="74" l="1"/>
  <c r="F14" i="74"/>
  <c r="B5" i="74"/>
  <c r="M48" i="9"/>
  <c r="H107" i="9"/>
  <c r="G14" i="74" s="1"/>
  <c r="B6" i="74" s="1"/>
  <c r="D6" i="74" s="1"/>
  <c r="D5" i="53"/>
  <c r="D45" i="9"/>
  <c r="D4" i="52"/>
  <c r="B47" i="72" s="1"/>
  <c r="D119" i="9"/>
  <c r="D5" i="52" s="1"/>
  <c r="B49" i="72" s="1"/>
  <c r="D5" i="74" l="1"/>
  <c r="C5" i="74"/>
  <c r="B20" i="72"/>
  <c r="D6" i="53"/>
  <c r="B22" i="72" s="1"/>
  <c r="D53" i="9"/>
  <c r="C78" i="9"/>
  <c r="C73" i="9" s="1"/>
  <c r="C85" i="9"/>
  <c r="D52" i="9"/>
  <c r="D55" i="9"/>
  <c r="M53" i="9" s="1"/>
  <c r="C72" i="9"/>
  <c r="C64" i="9"/>
  <c r="C63" i="9" s="1"/>
  <c r="C67" i="9" s="1"/>
  <c r="C93" i="9"/>
  <c r="C86" i="9" s="1"/>
  <c r="H108" i="9"/>
  <c r="D122" i="9"/>
  <c r="M49" i="9"/>
  <c r="D13" i="53"/>
  <c r="C79" i="9" l="1"/>
  <c r="C80" i="9" s="1"/>
  <c r="E80" i="9" s="1"/>
  <c r="E81" i="9" s="1"/>
  <c r="D8" i="52"/>
  <c r="D123" i="9"/>
  <c r="D9" i="52" s="1"/>
  <c r="D15" i="53"/>
  <c r="B31" i="72" s="1"/>
  <c r="C6" i="74"/>
  <c r="B30" i="72"/>
  <c r="D14" i="53"/>
  <c r="B32" i="72" s="1"/>
  <c r="L63" i="9"/>
  <c r="M63" i="9" s="1"/>
  <c r="L67" i="9"/>
  <c r="M67" i="9" s="1"/>
  <c r="L66" i="9"/>
  <c r="M66" i="9" s="1"/>
  <c r="L64" i="9"/>
  <c r="M64" i="9" s="1"/>
  <c r="L68" i="9"/>
  <c r="M68" i="9" s="1"/>
  <c r="L65" i="9"/>
  <c r="M65" i="9" s="1"/>
  <c r="D59" i="9"/>
  <c r="M55" i="9" s="1"/>
  <c r="C68" i="9"/>
  <c r="D54" i="9" s="1"/>
  <c r="C95" i="9"/>
  <c r="C81" i="9" l="1"/>
  <c r="C96" i="9"/>
  <c r="E96" i="9" s="1"/>
  <c r="E97" i="9" s="1"/>
  <c r="M69" i="9"/>
  <c r="N69"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<sst xmlns="http://schemas.openxmlformats.org/spreadsheetml/2006/main" count="8245" uniqueCount="3454">
  <si>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</si>
  <si>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</si>
  <si>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</si>
  <si>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</si>
  <si>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</si>
  <si>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</si>
  <si>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</si>
  <si>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</si>
  <si>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</si>
  <si>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</si>
  <si>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</si>
  <si>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</si>
  <si>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</si>
  <si>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</si>
  <si>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</si>
  <si>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</si>
  <si>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</si>
  <si>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</si>
  <si>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</si>
  <si>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</si>
  <si>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</si>
  <si>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</si>
  <si>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</si>
  <si>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</si>
  <si>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</si>
  <si>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</si>
  <si>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</si>
  <si>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</si>
  <si>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</si>
  <si>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</si>
  <si>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</si>
  <si>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</si>
  <si>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</si>
  <si>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</si>
  <si>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</si>
  <si>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</si>
  <si>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</si>
  <si>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</si>
  <si>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</si>
  <si>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</si>
  <si>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</si>
  <si>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</si>
  <si>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</si>
  <si>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</si>
  <si>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</si>
  <si>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</si>
  <si>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</si>
  <si>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</si>
  <si>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</si>
  <si>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</si>
  <si>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</si>
  <si>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</si>
  <si>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</si>
  <si>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</si>
  <si>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</si>
  <si>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</si>
  <si>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</si>
  <si>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</si>
  <si>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</si>
  <si>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</si>
  <si>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</si>
  <si>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</si>
  <si>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</si>
  <si>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</si>
  <si>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</si>
  <si>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</si>
  <si>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</si>
  <si>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</si>
  <si>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</si>
  <si>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</si>
  <si>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</si>
  <si>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</si>
  <si>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</si>
  <si>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</si>
  <si>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</si>
  <si>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</si>
  <si>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</si>
  <si>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</si>
  <si>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</si>
  <si>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</si>
  <si>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</si>
  <si>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</si>
  <si>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</si>
  <si>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</si>
  <si>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</si>
  <si>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</si>
  <si>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</si>
  <si>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</si>
  <si>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</si>
  <si>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</si>
  <si>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</si>
  <si>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</si>
  <si>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</si>
  <si>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</si>
  <si>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</si>
  <si>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</si>
  <si>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</si>
  <si>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</si>
  <si>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</si>
  <si>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</si>
  <si>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</si>
  <si>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</si>
  <si>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</si>
  <si>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</si>
  <si>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</si>
  <si>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</si>
  <si>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</si>
  <si>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</si>
  <si>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</si>
  <si>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</si>
  <si>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</si>
  <si>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</si>
  <si>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</si>
  <si>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</si>
  <si>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</si>
  <si>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</si>
  <si>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</si>
  <si>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</si>
  <si>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</si>
  <si>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</si>
  <si>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</si>
  <si>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</si>
  <si>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</si>
  <si>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</si>
  <si>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</si>
  <si>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</si>
  <si>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</si>
  <si>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</si>
  <si>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</si>
  <si>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</si>
  <si>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</si>
  <si>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</si>
  <si>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</si>
  <si>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</si>
  <si>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</si>
  <si>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</si>
  <si>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</si>
  <si>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</si>
  <si>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</si>
  <si>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</si>
  <si>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</si>
  <si>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</si>
  <si>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</si>
  <si>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</si>
  <si>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</si>
  <si>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</si>
  <si>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</si>
  <si>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</si>
  <si>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</si>
  <si>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</si>
  <si>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</si>
  <si>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</si>
  <si>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</si>
  <si>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</si>
  <si>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</si>
  <si>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</si>
  <si>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</si>
  <si>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</si>
  <si>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</si>
  <si>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</si>
  <si>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</si>
  <si>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</si>
  <si>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</si>
  <si>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</si>
  <si>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</si>
  <si>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</si>
  <si>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</si>
  <si>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</si>
  <si>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</si>
  <si>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</si>
  <si>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</si>
  <si>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</si>
  <si>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</si>
  <si>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</si>
  <si>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</si>
  <si>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</si>
  <si>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</si>
  <si>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</si>
  <si>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</si>
  <si>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</si>
  <si>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</si>
  <si>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</si>
  <si>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</si>
  <si>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</si>
  <si>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</si>
  <si>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</si>
  <si>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</si>
  <si>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</si>
  <si>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</si>
  <si>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</si>
  <si>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</si>
  <si>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</si>
  <si>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</si>
  <si>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</si>
  <si>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</si>
  <si>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</si>
  <si>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</si>
  <si>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</si>
  <si>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</si>
  <si>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</si>
  <si>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</si>
  <si>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</si>
  <si>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</si>
  <si>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</si>
  <si>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</si>
  <si>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</si>
  <si>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</si>
  <si>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</si>
  <si>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</si>
  <si>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</si>
  <si>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</si>
  <si>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</si>
  <si>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</si>
  <si>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</si>
  <si>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</si>
  <si>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</si>
  <si>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</si>
  <si>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</si>
  <si>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</si>
  <si>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</si>
  <si>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</si>
  <si>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</si>
  <si>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</si>
  <si>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</si>
  <si>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</si>
  <si>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</si>
  <si>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</si>
  <si>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</si>
  <si>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</si>
  <si>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</si>
  <si>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</si>
  <si>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</si>
  <si>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</si>
  <si>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</si>
  <si>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</si>
  <si>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</si>
  <si>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</si>
  <si>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</si>
  <si>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</si>
  <si>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</si>
  <si>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</si>
  <si>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</si>
  <si>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</si>
  <si>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</si>
  <si>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</si>
  <si>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</si>
  <si>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</si>
  <si>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</si>
  <si>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</si>
  <si>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</si>
  <si>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</si>
  <si>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</si>
  <si>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</si>
  <si>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</si>
  <si>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</si>
  <si>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</si>
  <si>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</si>
  <si>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</si>
  <si>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</si>
  <si>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</si>
  <si>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</si>
  <si>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</si>
  <si>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</si>
  <si>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</si>
  <si>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</si>
  <si>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</si>
  <si>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</si>
  <si>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</si>
  <si>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</si>
  <si>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</si>
  <si>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</si>
  <si>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</si>
  <si>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</si>
  <si>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</si>
  <si>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</si>
  <si>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</si>
  <si>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</si>
  <si>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</si>
  <si>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</si>
  <si>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</si>
  <si>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</si>
  <si>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</si>
  <si>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</si>
  <si>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</si>
  <si>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</si>
  <si>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</si>
  <si>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</si>
  <si>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</si>
  <si>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</si>
  <si>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</si>
  <si>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</si>
  <si>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</si>
  <si>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</si>
  <si>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</si>
  <si>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</si>
  <si>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</si>
  <si>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</si>
  <si>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</si>
  <si>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</si>
  <si>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</si>
  <si>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</si>
  <si>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</si>
  <si>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</si>
  <si>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</si>
  <si>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</si>
  <si>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</si>
  <si>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</si>
  <si>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</si>
  <si>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</si>
  <si>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</si>
  <si>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</si>
  <si>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</si>
  <si>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</si>
  <si>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</si>
  <si>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</si>
  <si>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</si>
  <si>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</si>
  <si>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</si>
  <si>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</si>
  <si>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</si>
  <si>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</si>
  <si>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</si>
  <si>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</si>
  <si>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</si>
  <si>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</si>
  <si>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</si>
  <si>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</si>
  <si>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</si>
  <si>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</si>
  <si>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</si>
  <si>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</si>
  <si>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</si>
  <si>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</si>
  <si>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</si>
  <si>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</si>
  <si>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</si>
  <si>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</si>
  <si>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</si>
  <si>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</si>
  <si>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</si>
  <si>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</si>
  <si>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</si>
  <si>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</si>
  <si>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</si>
  <si>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</si>
  <si>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</si>
  <si>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</si>
  <si>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</si>
  <si>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</si>
  <si>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</si>
  <si>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</si>
  <si>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</si>
  <si>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</si>
  <si>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</si>
  <si>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</si>
  <si>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</si>
  <si>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</si>
  <si>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</si>
  <si>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</si>
  <si>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</si>
  <si>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</si>
  <si>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</si>
  <si>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</si>
  <si>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</si>
  <si>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</si>
  <si>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</si>
  <si>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</si>
  <si>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</si>
  <si>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</si>
  <si>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</si>
  <si>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</si>
  <si>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</si>
  <si>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</si>
  <si>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</si>
  <si>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</si>
  <si>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</si>
  <si>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</si>
  <si>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</si>
  <si>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</si>
  <si>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</si>
  <si>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</si>
  <si>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</si>
  <si>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</si>
  <si>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</si>
  <si>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</si>
  <si>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</si>
  <si>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</si>
  <si>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</si>
  <si>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</si>
  <si>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</si>
  <si>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</si>
  <si>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</si>
  <si>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</si>
  <si>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</si>
  <si>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</si>
  <si>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</si>
  <si>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</si>
  <si>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</si>
  <si>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</si>
  <si>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</si>
  <si>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</si>
  <si>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</si>
  <si>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</si>
  <si>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</si>
  <si>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</si>
  <si>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</si>
  <si>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</si>
  <si>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</si>
  <si>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</si>
  <si>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</si>
  <si>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</si>
  <si>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</si>
  <si>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</si>
  <si>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</si>
  <si>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</si>
  <si>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</si>
  <si>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</si>
  <si>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</si>
  <si>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</si>
  <si>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</si>
  <si>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</si>
  <si>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</si>
  <si>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</si>
  <si>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</si>
  <si>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</si>
  <si>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</si>
  <si>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</si>
  <si>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</si>
  <si>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</si>
  <si>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</si>
  <si>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</si>
  <si>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</si>
  <si>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</si>
  <si>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</si>
  <si>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</si>
  <si>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</si>
  <si>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</si>
  <si>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</si>
  <si>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</si>
  <si>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</si>
  <si>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</si>
  <si>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</si>
  <si>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</si>
  <si>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</si>
  <si>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</si>
  <si>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</si>
  <si>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</si>
  <si>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</si>
  <si>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</si>
  <si>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</si>
  <si>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</si>
  <si>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</si>
  <si>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</si>
  <si>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</si>
  <si>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</si>
  <si>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</si>
  <si>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</si>
  <si>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</si>
  <si>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</si>
  <si>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</si>
  <si>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</si>
  <si>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</si>
  <si>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</si>
  <si>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</si>
  <si>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</si>
  <si>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</si>
  <si>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</si>
  <si>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</si>
  <si>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</si>
  <si>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</si>
  <si>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</si>
  <si>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</si>
  <si>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</si>
  <si>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</si>
  <si>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</si>
  <si>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</si>
  <si>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</si>
  <si>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</si>
  <si>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</si>
  <si>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</si>
  <si>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</si>
  <si>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</si>
  <si>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</si>
  <si>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</si>
  <si>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</si>
  <si>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</si>
  <si>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</si>
  <si>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</si>
  <si>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</si>
  <si>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</si>
  <si>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</si>
  <si>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</si>
  <si>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</si>
  <si>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</si>
  <si>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</si>
  <si>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</si>
  <si>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</si>
  <si>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</si>
  <si>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</si>
  <si>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</si>
  <si>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</si>
  <si>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</si>
  <si>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</si>
  <si>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</si>
  <si>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</si>
  <si>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</si>
  <si>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</si>
  <si>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</si>
  <si>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</si>
  <si>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</si>
  <si>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</si>
  <si>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</si>
  <si>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</si>
  <si>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</si>
  <si>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</si>
  <si>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</si>
  <si>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</si>
  <si>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</si>
  <si>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</si>
  <si>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</si>
  <si>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</si>
  <si>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</si>
  <si>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</si>
  <si>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</si>
  <si>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</si>
  <si>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</si>
  <si>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</si>
  <si>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</si>
  <si>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</si>
  <si>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</si>
  <si>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</si>
  <si>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</si>
  <si>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</si>
  <si>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</si>
  <si>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</si>
  <si>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</si>
  <si>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</si>
  <si>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</si>
  <si>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</si>
  <si>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</si>
  <si>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</si>
  <si>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</si>
  <si>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</si>
  <si>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</si>
  <si>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</si>
  <si>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</si>
  <si>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</si>
  <si>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</si>
  <si>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</si>
  <si>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</si>
  <si>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</si>
  <si>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</si>
  <si>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</si>
  <si>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</si>
  <si>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</si>
  <si>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</si>
  <si>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</si>
  <si>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</si>
  <si>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</si>
  <si>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</si>
  <si>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</si>
  <si>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</si>
  <si>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</si>
  <si>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</si>
  <si>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</si>
  <si>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</si>
  <si>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</si>
  <si>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</si>
  <si>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</si>
  <si>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</si>
  <si>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</si>
  <si>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</si>
  <si>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</si>
  <si>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</si>
  <si>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</si>
  <si>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</si>
  <si>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</si>
  <si>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</si>
  <si>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</si>
  <si>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</si>
  <si>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</si>
  <si>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</si>
  <si>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</si>
  <si>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</si>
  <si>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</si>
  <si>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</si>
  <si>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</si>
  <si>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</si>
  <si>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</si>
  <si>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</si>
  <si>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</si>
  <si>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</si>
  <si>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</si>
  <si>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</si>
  <si>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</si>
  <si>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</si>
  <si>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</si>
  <si>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</si>
  <si>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</si>
  <si>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</si>
  <si>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</si>
  <si>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</si>
  <si>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</si>
  <si>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</si>
  <si>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</si>
  <si>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</si>
  <si>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</si>
  <si>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</si>
  <si>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</si>
  <si>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</si>
  <si>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</si>
  <si>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</si>
  <si>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</si>
  <si>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</si>
  <si>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</si>
  <si>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</si>
  <si>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</si>
  <si>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</si>
  <si>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</si>
  <si>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</si>
  <si>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</si>
  <si>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</si>
  <si>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</si>
  <si>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</si>
  <si>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</si>
  <si>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</si>
  <si>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</si>
  <si>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</si>
  <si>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</si>
  <si>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</si>
  <si>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</si>
  <si>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</si>
  <si>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</si>
  <si>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</si>
  <si>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</si>
  <si>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</si>
  <si>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</si>
  <si>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</si>
  <si>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</si>
  <si>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</si>
  <si>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</si>
  <si>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</si>
  <si>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</si>
  <si>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</si>
  <si>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</si>
  <si>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</si>
  <si>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</si>
  <si>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</si>
  <si>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</si>
  <si>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</si>
  <si>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</si>
  <si>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</si>
  <si>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</si>
  <si>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</si>
  <si>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</si>
  <si>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</si>
  <si>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</si>
  <si>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</si>
  <si>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</si>
  <si>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</si>
  <si>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</si>
  <si>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</si>
  <si>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</si>
  <si>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</si>
  <si>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</si>
  <si>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</si>
  <si>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</si>
  <si>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</si>
  <si>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</si>
  <si>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</si>
  <si>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</si>
  <si>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</si>
  <si>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</si>
  <si>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</si>
  <si>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</si>
  <si>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</si>
  <si>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</si>
  <si>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</si>
  <si>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</si>
  <si>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</si>
  <si>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</si>
  <si>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</si>
  <si>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</si>
  <si>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</si>
  <si>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</si>
  <si>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</si>
  <si>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</si>
  <si>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</si>
  <si>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</si>
  <si>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</si>
  <si>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</si>
  <si>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</si>
  <si>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</si>
  <si>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</si>
  <si>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</si>
  <si>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</si>
  <si>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</si>
  <si>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</si>
  <si>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</si>
  <si>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</si>
  <si>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</si>
  <si>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</si>
  <si>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</si>
  <si>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</si>
  <si>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</si>
  <si>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</si>
  <si>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</si>
  <si>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</si>
  <si>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</si>
  <si>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</si>
  <si>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</si>
  <si>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</si>
  <si>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</si>
  <si>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</si>
  <si>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</si>
  <si>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</si>
  <si>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</si>
  <si>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</si>
  <si>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</si>
  <si>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</si>
  <si>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</si>
  <si>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</si>
  <si>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</si>
  <si>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</si>
  <si>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</si>
  <si>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</si>
  <si>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</si>
  <si>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</si>
  <si>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</si>
  <si>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</si>
  <si>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</si>
  <si>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</si>
  <si>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</si>
  <si>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</si>
  <si>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</si>
  <si>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</si>
  <si>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</si>
  <si>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</si>
  <si>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</si>
  <si>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</si>
  <si>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</si>
  <si>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</si>
  <si>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</si>
  <si>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</si>
  <si>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</si>
  <si>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</si>
  <si>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</si>
  <si>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</si>
  <si>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</si>
  <si>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</si>
  <si>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</si>
  <si>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</si>
  <si>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</si>
  <si>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</si>
  <si>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</si>
  <si>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</si>
  <si>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</si>
  <si>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</si>
  <si>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</si>
  <si>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</si>
  <si>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</si>
  <si>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</si>
  <si>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</si>
  <si>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</si>
  <si>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</si>
  <si>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</si>
  <si>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</si>
  <si>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</si>
  <si>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</si>
  <si>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</si>
  <si>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</si>
  <si>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</si>
  <si>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</si>
  <si>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</si>
  <si>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</si>
  <si>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</si>
  <si>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</si>
  <si>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</si>
  <si>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</si>
  <si>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</si>
  <si>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</si>
  <si>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</si>
  <si>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</si>
  <si>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</si>
  <si>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</si>
  <si>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</si>
  <si>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</si>
  <si>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</si>
  <si>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</si>
  <si>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</si>
  <si>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</si>
  <si>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</si>
  <si>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</si>
  <si>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</si>
  <si>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</si>
  <si>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</si>
  <si>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</si>
  <si>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</si>
  <si>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</si>
  <si>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</si>
  <si>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</si>
  <si>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</si>
  <si>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</si>
  <si>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</si>
  <si>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</si>
  <si>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</si>
  <si>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</si>
  <si>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</si>
  <si>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</si>
  <si>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</si>
  <si>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</si>
  <si>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</si>
  <si>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</si>
  <si>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</si>
  <si>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</si>
  <si>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</si>
  <si>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</si>
  <si>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</si>
  <si>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</si>
  <si>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</si>
  <si>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</si>
  <si>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</si>
  <si>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</si>
  <si>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</si>
  <si>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</si>
  <si>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</si>
  <si>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</si>
  <si>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</si>
  <si>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</si>
  <si>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</si>
  <si>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</si>
  <si>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</si>
  <si>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</si>
  <si>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</si>
  <si>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</si>
  <si>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</si>
  <si>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</si>
  <si>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</si>
  <si>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</si>
  <si>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</si>
  <si>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</si>
  <si>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</si>
  <si>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</si>
  <si>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</si>
  <si>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</si>
  <si>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</si>
  <si>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</si>
  <si>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</si>
  <si>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</si>
  <si>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</si>
  <si>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</si>
  <si>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</si>
  <si>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</si>
  <si>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</si>
  <si>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</si>
  <si>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</si>
  <si>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</si>
  <si>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</si>
  <si>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</si>
  <si>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</si>
  <si>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</si>
  <si>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</si>
  <si>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</si>
  <si>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</si>
  <si>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</si>
  <si>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</si>
  <si>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</si>
  <si>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</si>
  <si>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</si>
  <si>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</si>
  <si>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</si>
  <si>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</si>
  <si>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</si>
  <si>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</si>
  <si>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</si>
  <si>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</si>
  <si>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</si>
  <si>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</si>
  <si>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</si>
  <si>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</si>
  <si>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</si>
  <si>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</si>
  <si>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</si>
  <si>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</si>
  <si>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</si>
  <si>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</si>
  <si>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</si>
  <si>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</si>
  <si>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</si>
  <si>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</si>
  <si>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</si>
  <si>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</si>
  <si>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</si>
  <si>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</si>
  <si>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</si>
  <si>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</si>
  <si>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</si>
  <si>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</si>
  <si>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</si>
  <si>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</si>
  <si>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</si>
  <si>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</si>
  <si>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</si>
  <si>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</si>
  <si>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</si>
  <si>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</si>
  <si>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</si>
  <si>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</si>
  <si>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</si>
  <si>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</si>
  <si>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</si>
  <si>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</si>
  <si>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</si>
  <si>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</si>
  <si>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</si>
  <si>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</si>
  <si>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</si>
  <si>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</si>
  <si>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</si>
  <si>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</si>
  <si>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</si>
  <si>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</si>
  <si>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</si>
  <si>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</si>
  <si>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</si>
  <si>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</si>
  <si>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</si>
  <si>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</si>
  <si>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</si>
  <si>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</si>
  <si>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</si>
  <si>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</si>
  <si>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</si>
  <si>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</si>
  <si>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</si>
  <si>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</si>
  <si>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</si>
  <si>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</si>
  <si>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</si>
  <si>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</si>
  <si>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</si>
  <si>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</si>
  <si>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</si>
  <si>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</si>
  <si>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</si>
  <si>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</si>
  <si>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</si>
  <si>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</si>
  <si>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</si>
  <si>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</si>
  <si>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</si>
  <si>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</si>
  <si>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</si>
  <si>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</si>
  <si>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</si>
  <si>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</si>
  <si>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</si>
  <si>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</si>
  <si>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</si>
  <si>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</si>
  <si>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</si>
  <si>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</si>
  <si>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</si>
  <si>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</si>
  <si>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</si>
  <si>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</si>
  <si>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</si>
  <si>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</si>
  <si>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</si>
  <si>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</si>
  <si>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</si>
  <si>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</si>
  <si>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</si>
  <si>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</si>
  <si>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</si>
  <si>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</si>
  <si>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</si>
  <si>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</si>
  <si>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</si>
  <si>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</si>
  <si>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</si>
  <si>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</si>
  <si>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</si>
  <si>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</si>
  <si>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</si>
  <si>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</si>
  <si>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</si>
  <si>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</si>
  <si>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</si>
  <si>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</si>
  <si>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</si>
  <si>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</si>
  <si>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</si>
  <si>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</si>
  <si>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</si>
  <si>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</si>
  <si>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</si>
  <si>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</si>
  <si>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</si>
  <si>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</si>
  <si>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</si>
  <si>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</si>
  <si>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</si>
  <si>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</si>
  <si>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</si>
  <si>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</si>
  <si>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</si>
  <si>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</si>
  <si>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</si>
  <si>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</si>
  <si>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</si>
  <si>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</si>
  <si>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</si>
  <si>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</si>
  <si>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</si>
  <si>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</si>
  <si>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</si>
  <si>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</si>
  <si>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</si>
  <si>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</si>
  <si>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</si>
  <si>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</si>
  <si>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</si>
  <si>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</si>
  <si>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</si>
  <si>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</si>
  <si>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</si>
  <si>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</si>
  <si>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</si>
  <si>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</si>
  <si>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</si>
  <si>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</si>
  <si>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</si>
  <si>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</si>
  <si>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</si>
  <si>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</si>
  <si>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</si>
  <si>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</si>
  <si>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</si>
  <si>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</si>
  <si>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</si>
  <si>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</si>
  <si>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</si>
  <si>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</si>
  <si>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</si>
  <si>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</si>
  <si>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</si>
  <si>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</si>
  <si>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</si>
  <si>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</si>
  <si>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</si>
  <si>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</si>
  <si>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</si>
  <si>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</si>
  <si>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</si>
  <si>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</si>
  <si>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</si>
  <si>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</si>
  <si>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</si>
  <si>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</si>
  <si>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</si>
  <si>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</si>
  <si>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</si>
  <si>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</si>
  <si>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</si>
  <si>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</si>
  <si>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</si>
  <si>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</si>
  <si>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</si>
  <si>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</si>
  <si>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</si>
  <si>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</si>
  <si>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</si>
  <si>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</si>
  <si>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</si>
  <si>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</si>
  <si>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</si>
  <si>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</si>
  <si>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</si>
  <si>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</si>
  <si>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</si>
  <si>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</si>
  <si>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</si>
  <si>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</si>
  <si>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</si>
  <si>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</si>
  <si>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</si>
  <si>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</si>
  <si>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</si>
  <si>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</si>
  <si>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</si>
  <si>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</si>
  <si>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</si>
  <si>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</si>
  <si>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</si>
  <si>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</si>
  <si>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</si>
  <si>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</si>
  <si>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</si>
  <si>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</si>
  <si>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</si>
  <si>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</si>
  <si>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</si>
  <si>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</si>
  <si>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</si>
  <si>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</si>
  <si>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</si>
  <si>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</si>
  <si>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</si>
  <si>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</si>
  <si>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</si>
  <si>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</si>
  <si>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</si>
  <si>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</si>
  <si>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</si>
  <si>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</si>
  <si>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</si>
  <si>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</si>
  <si>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</si>
  <si>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</si>
  <si>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</si>
  <si>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</si>
  <si>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</si>
  <si>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</si>
  <si>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</si>
  <si>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</si>
  <si>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</si>
  <si>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</si>
  <si>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</si>
  <si>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</si>
  <si>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</si>
  <si>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</si>
  <si>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</si>
  <si>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</si>
  <si>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</si>
  <si>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</si>
  <si>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</si>
  <si>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</si>
  <si>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</si>
  <si>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</si>
  <si>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</si>
  <si>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</si>
  <si>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</si>
  <si>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</si>
  <si>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</si>
  <si>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</si>
  <si>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</si>
  <si>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</si>
  <si>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</si>
  <si>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</si>
  <si>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</si>
  <si>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</si>
  <si>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</si>
  <si>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</si>
  <si>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</si>
  <si>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</si>
  <si>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</si>
  <si>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</si>
  <si>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</si>
  <si>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</si>
  <si>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</si>
  <si>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</si>
  <si>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</si>
  <si>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</si>
  <si>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</si>
  <si>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</si>
  <si>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</si>
  <si>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</si>
  <si>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</si>
  <si>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</si>
  <si>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</si>
  <si>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</si>
  <si>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</si>
  <si>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</si>
  <si>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</si>
  <si>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</si>
  <si>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</si>
  <si>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</si>
  <si>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</si>
  <si>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</si>
  <si>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</si>
  <si>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</si>
  <si>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</si>
  <si>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</si>
  <si>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</si>
  <si>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</si>
  <si>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</si>
  <si>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</si>
  <si>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</si>
  <si>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</si>
  <si>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</si>
  <si>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</si>
  <si>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</si>
  <si>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</si>
  <si>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</si>
  <si>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</si>
  <si>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</si>
  <si>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</si>
  <si>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</si>
  <si>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</si>
  <si>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</si>
  <si>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</si>
  <si>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</si>
  <si>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</si>
  <si>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</si>
  <si>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</si>
  <si>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</si>
  <si>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</si>
  <si>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</si>
  <si>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</si>
  <si>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</si>
  <si>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</si>
  <si>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</si>
  <si>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</si>
  <si>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</si>
  <si>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</si>
  <si>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</si>
  <si>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</si>
  <si>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</si>
  <si>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</si>
  <si>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</si>
  <si>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</si>
  <si>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</si>
  <si>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</si>
  <si>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</si>
  <si>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</si>
  <si>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</si>
  <si>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</si>
  <si>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</si>
  <si>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</si>
  <si>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</si>
  <si>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</si>
  <si>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</si>
  <si>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</si>
  <si>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</si>
  <si>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</si>
  <si>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</si>
  <si>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</si>
  <si>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</si>
  <si>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</si>
  <si>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</si>
  <si>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</si>
  <si>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</si>
  <si>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</si>
  <si>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</si>
  <si>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</si>
  <si>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</si>
  <si>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</si>
  <si>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</si>
  <si>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</si>
  <si>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</si>
  <si>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</si>
  <si>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</si>
  <si>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</si>
  <si>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</si>
  <si>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</si>
  <si>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</si>
  <si>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</si>
  <si>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</si>
  <si>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</si>
  <si>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</si>
  <si>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</si>
  <si>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</si>
  <si>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</si>
  <si>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</si>
  <si>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</si>
  <si>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</si>
  <si>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</si>
  <si>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</si>
  <si>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</si>
  <si>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</si>
  <si>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</si>
  <si>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</si>
  <si>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</si>
  <si>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</si>
  <si>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</si>
  <si>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</si>
  <si>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</si>
  <si>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</si>
  <si>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</si>
  <si>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</si>
  <si>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</si>
  <si>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</si>
  <si>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</si>
  <si>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</si>
  <si>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</si>
  <si>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</si>
  <si>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</si>
  <si>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</si>
  <si>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</si>
  <si>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</si>
  <si>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</si>
  <si>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</si>
  <si>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</si>
  <si>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</si>
  <si>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</si>
  <si>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</si>
  <si>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</si>
  <si>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</si>
  <si>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</si>
  <si>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</si>
  <si>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</si>
  <si>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</si>
  <si>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</si>
  <si>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</si>
  <si>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</si>
  <si>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</si>
  <si>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</si>
  <si>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</si>
  <si>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</si>
  <si>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</si>
  <si>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</si>
  <si>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</si>
  <si>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</si>
  <si>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</si>
  <si>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</si>
  <si>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</si>
  <si>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</si>
  <si>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</si>
  <si>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</si>
  <si>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</si>
  <si>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</si>
  <si>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</si>
  <si>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</si>
  <si>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</si>
  <si>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</si>
  <si>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</si>
  <si>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</si>
  <si>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</si>
  <si>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</si>
  <si>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</si>
  <si>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</si>
  <si>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</si>
  <si>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</si>
  <si>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</si>
  <si>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</si>
  <si>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</si>
  <si>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</si>
  <si>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</si>
  <si>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</si>
  <si>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</si>
  <si>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</si>
  <si>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</si>
  <si>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</si>
  <si>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</si>
  <si>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</si>
  <si>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</si>
  <si>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</si>
  <si>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</si>
  <si>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</si>
  <si>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</si>
  <si>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</si>
  <si>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</si>
  <si>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</si>
  <si>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</si>
  <si>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</si>
  <si>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</si>
  <si>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</si>
  <si>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</si>
  <si>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</si>
  <si>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</si>
  <si>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</si>
  <si>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</si>
  <si>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</si>
  <si>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</si>
  <si>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</si>
  <si>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</si>
  <si>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</si>
  <si>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</si>
  <si>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</si>
  <si>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</si>
  <si>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</si>
  <si>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</si>
  <si>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</si>
  <si>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</si>
  <si>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</si>
  <si>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</si>
  <si>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</si>
  <si>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</si>
  <si>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</si>
  <si>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</si>
  <si>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</si>
  <si>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</si>
  <si>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</si>
  <si>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</si>
  <si>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</si>
  <si>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</si>
  <si>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</si>
  <si>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</si>
  <si>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</si>
  <si>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</si>
  <si>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</si>
  <si>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</si>
  <si>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</si>
  <si>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</si>
  <si>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</si>
  <si>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</si>
  <si>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</si>
  <si>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</si>
  <si>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</si>
  <si>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</si>
  <si>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</si>
  <si>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</si>
  <si>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</si>
  <si>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</si>
  <si>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</si>
  <si>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</si>
  <si>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</si>
  <si>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</si>
  <si>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</si>
  <si>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</si>
  <si>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</si>
  <si>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</si>
  <si>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</si>
  <si>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</si>
  <si>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</si>
  <si>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</si>
  <si>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</si>
  <si>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</si>
  <si>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</si>
  <si>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</si>
  <si>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</si>
  <si>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</si>
  <si>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</si>
  <si>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</si>
  <si>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</si>
  <si>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</si>
  <si>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</si>
  <si>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</si>
  <si>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</si>
  <si>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</si>
  <si>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</si>
  <si>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</si>
  <si>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</si>
  <si>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</si>
  <si>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</si>
  <si>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</si>
  <si>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</si>
  <si>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</si>
  <si>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</si>
  <si>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</si>
  <si>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</si>
  <si>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</si>
  <si>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</si>
  <si>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</si>
  <si>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</si>
  <si>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</si>
  <si>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</si>
  <si>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</si>
  <si>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</si>
  <si>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</si>
  <si>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</si>
  <si>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</si>
  <si>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</si>
  <si>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</si>
  <si>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</si>
  <si>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</si>
  <si>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</si>
  <si>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</si>
  <si>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</si>
  <si>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</si>
  <si>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</si>
  <si>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</si>
  <si>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</si>
  <si>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</si>
  <si>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</si>
  <si>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</si>
  <si>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</si>
  <si>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</si>
  <si>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</si>
  <si>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</si>
  <si>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</si>
  <si>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</si>
  <si>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</si>
  <si>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</si>
  <si>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</si>
  <si>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</si>
  <si>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</si>
  <si>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</si>
  <si>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</si>
  <si>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</si>
  <si>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</si>
  <si>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</si>
  <si>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</si>
  <si>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</si>
  <si>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</si>
  <si>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</si>
  <si>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</si>
  <si>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</si>
  <si>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</si>
  <si>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</si>
  <si>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</si>
  <si>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</si>
  <si>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</si>
  <si>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</si>
  <si>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</si>
  <si>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</si>
  <si>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</si>
  <si>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</si>
  <si>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</si>
  <si>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</si>
  <si>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</si>
  <si>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</si>
  <si>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</si>
  <si>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</si>
  <si>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</si>
  <si>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</si>
  <si>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</si>
  <si>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</si>
  <si>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</si>
  <si>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</si>
  <si>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</si>
  <si>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</si>
  <si>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</si>
  <si>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</si>
  <si>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</si>
  <si>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</si>
  <si>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</si>
  <si>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</si>
  <si>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</si>
  <si>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</si>
  <si>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</si>
  <si>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</si>
  <si>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</si>
  <si>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</si>
  <si>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</si>
  <si>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</si>
  <si>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</si>
  <si>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</si>
  <si>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</si>
  <si>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</si>
  <si>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</si>
  <si>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</si>
  <si>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</si>
  <si>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</si>
  <si>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</si>
  <si>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</si>
  <si>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</si>
  <si>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</si>
  <si>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</si>
  <si>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</si>
  <si>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</si>
  <si>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</si>
  <si>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</si>
  <si>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</si>
  <si>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</si>
  <si>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</si>
  <si>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</si>
  <si>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</si>
  <si>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</si>
  <si>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</si>
  <si>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</si>
  <si>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</si>
  <si>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</si>
  <si>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</si>
  <si>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</si>
  <si>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</si>
  <si>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</si>
  <si>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</si>
  <si>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</si>
  <si>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</si>
  <si>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</si>
  <si>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</si>
  <si>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</si>
  <si>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</si>
  <si>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</si>
  <si>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</si>
  <si>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</si>
  <si>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</si>
  <si>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</si>
  <si>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</si>
  <si>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</si>
  <si>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</si>
  <si>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</si>
  <si>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</si>
  <si>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</si>
  <si>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</si>
  <si>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</si>
  <si>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</si>
  <si>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</si>
  <si>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</si>
  <si>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</si>
  <si>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</si>
  <si>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</si>
  <si>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</si>
  <si>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</si>
  <si>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</si>
  <si>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</si>
  <si>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</si>
  <si>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</si>
  <si>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</si>
  <si>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</si>
  <si>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</si>
  <si>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</si>
  <si>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</si>
  <si>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</si>
  <si>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</si>
  <si>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</si>
  <si>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</si>
  <si>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</si>
  <si>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</si>
  <si>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</si>
  <si>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</si>
  <si>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</si>
  <si>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</si>
  <si>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</si>
  <si>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</si>
  <si>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</si>
  <si>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</si>
  <si>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</si>
  <si>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</si>
  <si>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</si>
  <si>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</si>
  <si>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</si>
  <si>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</si>
  <si>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</si>
  <si>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</si>
  <si>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</si>
  <si>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</si>
  <si>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</si>
  <si>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</si>
  <si>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</si>
  <si>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</si>
  <si>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</si>
  <si>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</si>
  <si>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</si>
  <si>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</si>
  <si>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</si>
  <si>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</si>
  <si>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</si>
  <si>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</si>
  <si>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</si>
  <si>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</si>
  <si>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</si>
  <si>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</si>
  <si>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</si>
  <si>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</si>
  <si>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</si>
  <si>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</si>
  <si>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</si>
  <si>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</si>
  <si>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</si>
  <si>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</si>
  <si>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</si>
  <si>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</si>
  <si>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</si>
  <si>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</si>
  <si>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</si>
  <si>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</si>
  <si>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</si>
  <si>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</si>
  <si>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</si>
  <si>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</si>
  <si>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</si>
  <si>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</si>
  <si>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</si>
  <si>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</si>
  <si>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</si>
  <si>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</si>
  <si>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</si>
  <si>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</si>
  <si>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</si>
  <si>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</si>
  <si>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</si>
  <si>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</si>
  <si>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</si>
  <si>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</si>
  <si>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</si>
  <si>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</si>
  <si>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</si>
  <si>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</si>
  <si>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</si>
  <si>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</si>
  <si>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</si>
  <si>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</si>
  <si>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</si>
  <si>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</si>
  <si>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</si>
  <si>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</si>
  <si>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</si>
  <si>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</si>
  <si>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</si>
  <si>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</si>
  <si>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</si>
  <si>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</si>
  <si>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</si>
  <si>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</si>
  <si>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</si>
  <si>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</si>
  <si>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</si>
  <si>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</si>
  <si>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</si>
  <si>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</si>
  <si>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</si>
  <si>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</si>
  <si>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</si>
  <si>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</si>
  <si>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</si>
  <si>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</si>
  <si>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</si>
  <si>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</si>
  <si>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</si>
  <si>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</si>
  <si>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</si>
  <si>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</si>
  <si>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</si>
  <si>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</si>
  <si>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</si>
  <si>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</si>
  <si>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</si>
  <si>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</si>
  <si>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</si>
  <si>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</si>
  <si>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</si>
  <si>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</si>
  <si>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</si>
  <si>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</si>
  <si>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</si>
  <si>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</si>
  <si>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</si>
  <si>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</si>
  <si>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</si>
  <si>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</si>
  <si>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</si>
  <si>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</si>
  <si>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</si>
  <si>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</si>
  <si>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</si>
  <si>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</si>
  <si>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</si>
  <si>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</si>
  <si>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</si>
  <si>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</si>
  <si>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</si>
  <si>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</si>
  <si>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</si>
  <si>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</si>
  <si>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</si>
  <si>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</si>
  <si>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</si>
  <si>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</si>
  <si>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</si>
  <si>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</si>
  <si>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</si>
  <si>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</si>
  <si>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</si>
  <si>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</si>
  <si>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</si>
  <si>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</si>
  <si>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</si>
  <si>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</si>
  <si>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</si>
  <si>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</si>
  <si>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</si>
  <si>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</si>
  <si>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</si>
  <si>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</si>
  <si>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</si>
  <si>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</si>
  <si>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</si>
  <si>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</si>
  <si>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</si>
  <si>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</si>
  <si>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</si>
  <si>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</si>
  <si>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</si>
  <si>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</si>
  <si>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</si>
  <si>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</si>
  <si>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</si>
  <si>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</si>
  <si>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</si>
  <si>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</si>
  <si>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</si>
  <si>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</si>
  <si>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</si>
  <si>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</si>
  <si>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</si>
  <si>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</si>
  <si>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</si>
  <si>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</si>
  <si>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</si>
  <si>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</si>
  <si>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</si>
  <si>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</si>
  <si>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</si>
  <si>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</si>
  <si>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</si>
  <si>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</si>
  <si>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</si>
  <si>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</si>
  <si>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</si>
  <si>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</si>
  <si>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</si>
  <si>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</si>
  <si>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</si>
  <si>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</si>
  <si>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</si>
  <si>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</si>
  <si>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</si>
  <si>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</si>
  <si>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</si>
  <si>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</si>
  <si>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</si>
  <si>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</si>
  <si>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</si>
  <si>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</si>
  <si>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</si>
  <si>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</si>
  <si>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</si>
  <si>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</si>
  <si>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</si>
  <si>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</si>
  <si>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</si>
  <si>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</si>
  <si>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</si>
  <si>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</si>
  <si>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</si>
  <si>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</si>
  <si>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</si>
  <si>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</si>
  <si>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</si>
  <si>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</si>
  <si>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</si>
  <si>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</si>
  <si>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</si>
  <si>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</si>
  <si>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</si>
  <si>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</si>
  <si>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</si>
  <si>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</si>
  <si>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</si>
  <si>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</si>
  <si>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</si>
  <si>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</si>
  <si>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</si>
  <si>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</si>
  <si>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</si>
  <si>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</si>
  <si>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</si>
  <si>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</si>
  <si>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</si>
  <si>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</si>
  <si>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</si>
  <si>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</si>
  <si>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</si>
  <si>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</si>
  <si>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</si>
  <si>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</si>
  <si>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</si>
  <si>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</si>
  <si>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</si>
  <si>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</si>
  <si>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</si>
  <si>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</si>
  <si>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</si>
  <si>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</si>
  <si>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</si>
  <si>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</si>
  <si>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</si>
  <si>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</si>
  <si>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</si>
  <si>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</si>
  <si>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</si>
  <si>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</si>
  <si>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</si>
  <si>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</si>
  <si>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</si>
  <si>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</si>
  <si>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</si>
  <si>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</si>
  <si>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</si>
  <si>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</si>
  <si>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</si>
  <si>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</si>
  <si>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</si>
  <si>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</si>
  <si>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</si>
  <si>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</si>
  <si>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</si>
  <si>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</si>
  <si>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</si>
  <si>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</si>
  <si>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</si>
  <si>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</si>
  <si>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</si>
  <si>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</si>
  <si>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</si>
  <si>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</si>
  <si>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</si>
  <si>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</si>
  <si>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</si>
  <si>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</si>
  <si>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</si>
  <si>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</si>
  <si>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</si>
  <si>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</si>
  <si>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</si>
  <si>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</si>
  <si>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</si>
  <si>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</si>
  <si>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</si>
  <si>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</si>
  <si>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</si>
  <si>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</si>
  <si>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</si>
  <si>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</si>
  <si>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</si>
  <si>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</si>
  <si>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</si>
  <si>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</si>
  <si>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</si>
  <si>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</si>
  <si>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</si>
  <si>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</si>
  <si>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</si>
  <si>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</si>
  <si>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</si>
  <si>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</si>
  <si>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</si>
  <si>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</si>
  <si>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</si>
  <si>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</si>
  <si>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</si>
  <si>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</si>
  <si>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</si>
  <si>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</si>
  <si>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</si>
  <si>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</si>
  <si>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</si>
  <si>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</si>
  <si>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</si>
  <si>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</si>
  <si>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</si>
  <si>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</si>
  <si>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</si>
  <si>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</si>
  <si>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</si>
  <si>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</si>
  <si>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</si>
  <si>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</si>
  <si>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</si>
  <si>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</si>
  <si>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</si>
  <si>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</si>
  <si>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</si>
  <si>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</si>
  <si>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</si>
  <si>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</si>
  <si>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</si>
  <si>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</si>
  <si>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</si>
  <si>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</si>
  <si>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</si>
  <si>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</si>
  <si>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</si>
  <si>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</si>
  <si>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</si>
  <si>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</si>
  <si>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</si>
  <si>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</si>
  <si>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</si>
  <si>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</si>
  <si>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</si>
  <si>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</si>
  <si>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</si>
  <si>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</si>
  <si>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</si>
  <si>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</si>
  <si>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</si>
  <si>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</si>
  <si>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</si>
  <si>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</si>
  <si>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</si>
  <si>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</si>
  <si>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</si>
  <si>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</si>
  <si>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</si>
  <si>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</si>
  <si>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</si>
  <si>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</si>
  <si>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</si>
  <si>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</si>
  <si>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</si>
  <si>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</si>
  <si>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</si>
  <si>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</si>
  <si>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</si>
  <si>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</si>
  <si>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</si>
  <si>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</si>
  <si>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</si>
  <si>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</si>
  <si>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</si>
  <si>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</si>
  <si>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</si>
  <si>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</si>
  <si>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</si>
  <si>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</si>
  <si>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</si>
  <si>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</si>
  <si>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</si>
  <si>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</si>
  <si>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</si>
  <si>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</si>
  <si>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</si>
  <si>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</si>
  <si>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</si>
  <si>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</si>
  <si>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</si>
  <si>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</si>
  <si>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</si>
  <si>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</si>
  <si>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</si>
  <si>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</si>
  <si>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</si>
  <si>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</si>
  <si>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</si>
  <si>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</si>
  <si>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</si>
  <si>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</si>
  <si>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</si>
  <si>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</si>
  <si>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</si>
  <si>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</si>
  <si>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</si>
  <si>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</si>
  <si>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</si>
  <si>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</si>
  <si>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</si>
  <si>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</si>
  <si>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</si>
  <si>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</si>
  <si>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</si>
  <si>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</si>
  <si>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</si>
  <si>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</si>
  <si>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</si>
  <si>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</si>
  <si>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</si>
  <si>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</si>
  <si>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</si>
  <si>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</si>
  <si>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</si>
  <si>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</si>
  <si>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</si>
  <si>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</si>
  <si>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</si>
  <si>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</si>
  <si>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</si>
  <si>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</si>
  <si>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</si>
  <si>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</si>
  <si>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</si>
  <si>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</si>
  <si>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</si>
  <si>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</si>
  <si>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</si>
  <si>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</si>
  <si>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</si>
  <si>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</si>
  <si>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</si>
  <si>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</si>
  <si>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</si>
  <si>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</si>
  <si>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</si>
  <si>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</si>
  <si>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</si>
  <si>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</si>
  <si>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</si>
  <si>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</si>
  <si>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</si>
  <si>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</si>
  <si>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</si>
  <si>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</si>
  <si>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</si>
  <si>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</si>
  <si>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</si>
  <si>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</si>
  <si>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</si>
  <si>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</si>
  <si>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</si>
  <si>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</si>
  <si>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</si>
  <si>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</si>
  <si>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</si>
  <si>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</si>
  <si>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</si>
  <si>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</si>
  <si>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</si>
  <si>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</si>
  <si>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</si>
  <si>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</si>
  <si>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</si>
  <si>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</si>
  <si>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</si>
  <si>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</si>
  <si>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</si>
  <si>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</si>
  <si>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</si>
  <si>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</si>
  <si>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</si>
  <si>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</si>
  <si>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</si>
  <si>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</si>
  <si>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</si>
  <si>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</si>
  <si>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</si>
  <si>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</si>
  <si>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</si>
  <si>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</si>
  <si>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</si>
  <si>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</si>
  <si>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</si>
  <si>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</si>
  <si>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</si>
  <si>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</si>
  <si>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</si>
  <si>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</si>
  <si>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</si>
  <si>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</si>
  <si>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</si>
  <si>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</si>
  <si>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</si>
  <si>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</si>
  <si>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</si>
  <si>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</si>
  <si>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</si>
  <si>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</si>
  <si>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</si>
  <si>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</si>
  <si>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</si>
  <si>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</si>
  <si>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</si>
  <si>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</si>
  <si>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</si>
  <si>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</si>
  <si>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</si>
  <si>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</si>
  <si>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</si>
  <si>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</si>
  <si>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</si>
  <si>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</si>
  <si>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</si>
  <si>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</si>
  <si>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</si>
  <si>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</si>
  <si>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</si>
  <si>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</si>
  <si>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</si>
  <si>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</si>
  <si>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</si>
  <si>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</si>
  <si>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</si>
  <si>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</si>
  <si>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</si>
  <si>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</si>
  <si>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</si>
  <si>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</si>
  <si>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</si>
  <si>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</si>
  <si>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</si>
  <si>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</si>
  <si>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</si>
  <si>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</si>
  <si>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</si>
  <si>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</si>
  <si>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</si>
  <si>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</si>
  <si>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</si>
  <si>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</si>
  <si>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</si>
  <si>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</si>
  <si>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</si>
  <si>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</si>
  <si>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</si>
  <si>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</si>
  <si>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</si>
  <si>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</si>
  <si>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</si>
  <si>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</si>
  <si>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</si>
  <si>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</si>
  <si>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</si>
  <si>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</si>
  <si>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</si>
  <si>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</si>
  <si>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</si>
  <si>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</si>
  <si>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</si>
  <si>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</si>
  <si>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</si>
  <si>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</si>
  <si>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</si>
  <si>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</si>
  <si>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</si>
  <si>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</si>
  <si>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</si>
  <si>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</si>
  <si>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</si>
  <si>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</si>
  <si>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</si>
  <si>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</si>
  <si>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</si>
  <si>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</si>
  <si>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</si>
  <si>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</si>
  <si>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</si>
  <si>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</si>
  <si>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</si>
  <si>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</si>
  <si>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</si>
  <si>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</si>
  <si>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</si>
  <si>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</si>
  <si>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</si>
  <si>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</si>
  <si>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</si>
  <si>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</si>
  <si>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</si>
  <si>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</si>
  <si>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</si>
  <si>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</si>
  <si>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</si>
  <si>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</si>
  <si>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</si>
  <si>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</si>
  <si>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</si>
  <si>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</si>
  <si>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</si>
  <si>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</si>
  <si>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</si>
  <si>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</si>
  <si>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</si>
  <si>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</si>
  <si>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</si>
  <si>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</si>
  <si>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</si>
  <si>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</si>
  <si>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</si>
  <si>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</si>
  <si>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</si>
  <si>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</si>
  <si>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</si>
  <si>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</si>
  <si>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</si>
  <si>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</si>
  <si>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</si>
  <si>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</si>
  <si>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</si>
  <si>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</si>
  <si>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</si>
  <si>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</si>
  <si>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</si>
  <si>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</si>
  <si>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</si>
  <si>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</si>
  <si>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</si>
  <si>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</si>
  <si>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</si>
  <si>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</si>
  <si>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</si>
  <si>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</si>
  <si>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</si>
  <si>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</si>
  <si>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</si>
  <si>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</si>
  <si>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</si>
  <si>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</si>
  <si>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</si>
  <si>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</si>
  <si>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</si>
  <si>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</si>
  <si>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</si>
  <si>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</si>
  <si>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</si>
  <si>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</si>
  <si>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</si>
  <si>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</si>
  <si>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</si>
  <si>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</si>
  <si>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</si>
  <si>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</si>
  <si>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</si>
  <si>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</si>
  <si>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</si>
  <si>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</si>
  <si>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</si>
  <si>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</si>
  <si>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</si>
  <si>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</si>
  <si>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</si>
  <si>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</si>
  <si>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</si>
  <si>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</si>
  <si>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</si>
  <si>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</si>
  <si>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</si>
  <si>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</si>
  <si>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</si>
  <si>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</si>
  <si>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</si>
  <si>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</si>
  <si>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</si>
  <si>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</si>
  <si>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</si>
  <si>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</si>
  <si>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</si>
  <si>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</si>
  <si>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</si>
  <si>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</si>
  <si>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</si>
  <si>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</si>
  <si>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</si>
  <si>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</si>
  <si>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</si>
  <si>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</si>
  <si>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</si>
  <si>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</si>
  <si>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</si>
  <si>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</si>
  <si>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</si>
  <si>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</si>
  <si>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</si>
  <si>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</si>
  <si>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</si>
  <si>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</si>
  <si>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</si>
  <si>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</si>
  <si>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</si>
  <si>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</si>
  <si>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</si>
  <si>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</si>
  <si>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</si>
  <si>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</si>
  <si>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</si>
  <si>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</si>
  <si>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</si>
  <si>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</si>
  <si>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</si>
  <si>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</si>
  <si>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</si>
  <si>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</si>
  <si>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</si>
  <si>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</si>
  <si>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</si>
  <si>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</si>
  <si>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</si>
  <si>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</si>
  <si>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</si>
  <si>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</si>
  <si>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</si>
  <si>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</si>
  <si>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</si>
  <si>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</si>
  <si>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</si>
  <si>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</si>
  <si>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</si>
  <si>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</si>
  <si>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</si>
  <si>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</si>
  <si>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</si>
  <si>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</si>
  <si>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</si>
  <si>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</si>
  <si>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</si>
  <si>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</si>
  <si>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</si>
  <si>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</si>
  <si>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</si>
  <si>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</si>
  <si>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</si>
  <si>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</si>
  <si>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</si>
  <si>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</si>
  <si>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</si>
  <si>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</si>
  <si>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</si>
  <si>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</si>
  <si>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</si>
  <si>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</si>
  <si>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</si>
  <si>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</si>
  <si>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</si>
  <si>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</si>
  <si>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</si>
  <si>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</si>
  <si>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</si>
  <si>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</si>
  <si>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</si>
  <si>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</si>
  <si>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</si>
  <si>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</si>
  <si>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</si>
  <si>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</si>
  <si>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</si>
  <si>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</si>
  <si>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</si>
  <si>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</si>
  <si>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</si>
  <si>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</si>
  <si>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</si>
  <si>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</si>
  <si>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</si>
  <si>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</si>
  <si>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</si>
  <si>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</si>
  <si>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</si>
  <si>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</si>
  <si>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</si>
  <si>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</si>
  <si>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</si>
  <si>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</si>
  <si>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</si>
  <si>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</si>
  <si>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</si>
  <si>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</si>
  <si>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</si>
  <si>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</si>
  <si>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</si>
  <si>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</si>
  <si>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</si>
  <si>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</si>
  <si>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</si>
  <si>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</si>
  <si>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</si>
  <si>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</si>
  <si>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</si>
  <si>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</si>
  <si>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</si>
  <si>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</si>
  <si>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</si>
  <si>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</si>
  <si>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</si>
  <si>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</si>
  <si>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</si>
  <si>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</si>
  <si>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</si>
  <si>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</si>
  <si>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</si>
  <si>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</si>
  <si>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</si>
  <si>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</si>
  <si>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</si>
  <si>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</si>
  <si>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</si>
  <si>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</si>
  <si>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</si>
  <si>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</si>
  <si>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</si>
  <si>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</si>
  <si>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</si>
  <si>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</si>
  <si>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</si>
  <si>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</si>
  <si>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</si>
  <si>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</si>
  <si>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</si>
  <si>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</si>
  <si>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</si>
  <si>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</si>
  <si>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</si>
  <si>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</si>
  <si>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</si>
  <si>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</si>
  <si>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</si>
  <si>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</si>
  <si>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</si>
  <si>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</si>
  <si>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</si>
  <si>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</si>
  <si>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</si>
  <si>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</si>
  <si>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</si>
  <si>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</si>
  <si>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</si>
  <si>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</si>
  <si>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</si>
  <si>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</si>
  <si>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</si>
  <si>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</si>
  <si>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</si>
  <si>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</si>
  <si>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</si>
  <si>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</si>
  <si>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</si>
  <si>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</si>
  <si>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</si>
  <si>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</si>
  <si>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</si>
  <si>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</si>
  <si>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</si>
  <si>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</si>
  <si>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</si>
  <si>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</si>
  <si>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</si>
  <si>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</si>
  <si>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</si>
  <si>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</si>
  <si>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</si>
  <si>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</si>
  <si>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</si>
  <si>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</si>
  <si>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</si>
  <si>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</si>
  <si>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</si>
  <si>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</si>
  <si>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</si>
  <si>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</si>
  <si>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</si>
  <si>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</si>
  <si>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</si>
  <si>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</si>
  <si>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</si>
  <si>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</si>
  <si>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</si>
  <si>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</si>
  <si>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</si>
  <si>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</si>
  <si>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</si>
  <si>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</si>
  <si>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</si>
  <si>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</si>
  <si>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</si>
  <si>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</si>
  <si>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</si>
  <si>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</si>
  <si>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</si>
  <si>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</si>
  <si>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</si>
  <si>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</si>
  <si>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</si>
  <si>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</si>
  <si>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</si>
  <si>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</si>
  <si>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</si>
  <si>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</si>
  <si>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</si>
  <si>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</si>
  <si>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</si>
  <si>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</si>
  <si>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</si>
  <si>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</si>
  <si>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</si>
  <si>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</si>
  <si>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</si>
  <si>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</si>
  <si>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</si>
  <si>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</si>
  <si>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</si>
  <si>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</si>
  <si>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</si>
  <si>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</si>
  <si>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</si>
  <si>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</si>
  <si>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</si>
  <si>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</si>
  <si>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</si>
  <si>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</si>
  <si>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</si>
  <si>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</si>
  <si>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</si>
  <si>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</si>
  <si>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</si>
  <si>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</si>
  <si>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</si>
  <si>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</si>
  <si>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</si>
  <si>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</si>
  <si>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</si>
  <si>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</si>
  <si>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</si>
  <si>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</si>
  <si>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</si>
  <si>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</si>
  <si>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</si>
  <si>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</si>
  <si>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</si>
  <si>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</si>
  <si>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</si>
  <si>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</si>
  <si>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</si>
  <si>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</si>
  <si>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</si>
  <si>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</si>
  <si>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</si>
  <si>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</si>
  <si>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</si>
  <si>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</si>
  <si>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</si>
  <si>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</si>
  <si>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</si>
  <si>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</si>
  <si>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</si>
  <si>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</si>
  <si>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</si>
  <si>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</si>
  <si>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</si>
  <si>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</si>
  <si>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</si>
  <si>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</si>
  <si>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</si>
  <si>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</si>
  <si>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</si>
  <si>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</si>
  <si>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</si>
  <si>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</si>
  <si>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</si>
  <si>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</si>
  <si>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</si>
  <si>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</si>
  <si>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</si>
  <si>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</si>
  <si>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</si>
  <si>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</si>
  <si>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</si>
  <si>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</si>
  <si>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</si>
  <si>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</si>
  <si>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</si>
  <si>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</si>
  <si>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</si>
  <si>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</si>
  <si>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</si>
  <si>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</si>
  <si>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</si>
  <si>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</si>
  <si>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</si>
  <si>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</si>
  <si>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</si>
  <si>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</si>
  <si>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</si>
  <si>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</si>
  <si>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</si>
  <si>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</si>
  <si>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</si>
  <si>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</si>
  <si>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</si>
  <si>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</si>
  <si>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</si>
  <si>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</si>
  <si>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</si>
  <si>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</si>
  <si>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</si>
  <si>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</si>
  <si>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</si>
  <si>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</si>
  <si>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</si>
  <si>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</si>
  <si>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</si>
  <si>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</si>
  <si>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</si>
  <si>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</si>
  <si>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</si>
  <si>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</si>
  <si>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</si>
  <si>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</si>
  <si>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</si>
  <si>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</si>
  <si>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</si>
  <si>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</si>
  <si>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</si>
  <si>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</si>
  <si>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</si>
  <si>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</si>
  <si>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</si>
  <si>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</si>
  <si>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</si>
  <si>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</si>
  <si>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</si>
  <si>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</si>
  <si>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</si>
  <si>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</si>
  <si>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</si>
  <si>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</si>
  <si>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</si>
  <si>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</si>
  <si>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</si>
  <si>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</si>
  <si>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</si>
  <si>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</si>
  <si>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</si>
  <si>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</si>
  <si>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</si>
  <si>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</si>
  <si>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</si>
  <si>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</si>
  <si>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</si>
  <si>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</si>
  <si>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</si>
  <si>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</si>
  <si>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</si>
  <si>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</si>
  <si>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</si>
  <si>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</si>
  <si>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</si>
  <si>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</si>
  <si>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</si>
  <si>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</si>
  <si>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</si>
  <si>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</si>
  <si>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</si>
  <si>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</si>
  <si>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</si>
  <si>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</si>
  <si>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</si>
  <si>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</si>
  <si>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</si>
  <si>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</si>
  <si>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</si>
  <si>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</si>
  <si>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</si>
  <si>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</si>
  <si>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</si>
  <si>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</si>
  <si>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</si>
  <si>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</si>
  <si>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</si>
  <si>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</si>
  <si>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</si>
  <si>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</si>
  <si>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</si>
  <si>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</si>
  <si>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</si>
  <si>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</si>
  <si>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</si>
  <si>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</si>
  <si>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</si>
  <si>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</si>
  <si>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</si>
  <si>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</si>
  <si>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</si>
  <si>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</si>
  <si>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</si>
  <si>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</si>
  <si>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</si>
  <si>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</si>
  <si>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</si>
  <si>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</si>
  <si>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</si>
  <si>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</si>
  <si>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</si>
  <si>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</si>
  <si>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</si>
  <si>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</si>
  <si>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</si>
  <si>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</si>
  <si>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</si>
  <si>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</si>
  <si>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</si>
  <si>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</si>
  <si>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</si>
  <si>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</si>
  <si>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</si>
  <si>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</si>
  <si>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</si>
  <si>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</si>
  <si>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</si>
  <si>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</si>
  <si>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</si>
  <si>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</si>
  <si>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</si>
  <si>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</si>
  <si>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</si>
  <si>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</si>
  <si>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</si>
  <si>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</si>
  <si>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</si>
  <si>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</si>
  <si>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</si>
  <si>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</si>
  <si>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</si>
  <si>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</si>
  <si>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</si>
  <si>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</si>
  <si>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</si>
  <si>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</si>
  <si>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</si>
  <si>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</si>
  <si>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</si>
  <si>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</si>
  <si>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</si>
  <si>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</si>
  <si>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</si>
  <si>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</si>
  <si>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</si>
  <si>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</si>
  <si>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</si>
  <si>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</si>
  <si>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</si>
  <si>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</si>
  <si>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</si>
  <si>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</si>
  <si>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</si>
  <si>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</si>
  <si>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</si>
  <si>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</si>
  <si>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</si>
  <si>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</si>
  <si>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</si>
  <si>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</si>
  <si>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</si>
  <si>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</si>
  <si>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</si>
  <si>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</si>
  <si>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</si>
  <si>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</si>
  <si>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</si>
  <si>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</si>
  <si>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</si>
  <si>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</si>
  <si>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</si>
  <si>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</si>
  <si>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</si>
  <si>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</si>
  <si>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</si>
  <si>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</si>
  <si>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</si>
  <si>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</si>
  <si>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</si>
  <si>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</si>
  <si>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</si>
  <si>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</si>
  <si>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</si>
  <si>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</si>
  <si>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</si>
  <si>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</si>
  <si>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</si>
  <si>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</si>
  <si>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</si>
  <si>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</si>
  <si>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</si>
  <si>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</si>
  <si>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</si>
  <si>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</si>
  <si>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</si>
  <si>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</si>
  <si>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</si>
  <si>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</si>
  <si>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</si>
  <si>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</si>
  <si>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</si>
  <si>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</si>
  <si>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</si>
  <si>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</si>
  <si>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</si>
  <si>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</si>
  <si>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</si>
  <si>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</si>
  <si>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</si>
  <si>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</si>
  <si>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</si>
  <si>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</si>
  <si>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</si>
  <si>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</si>
  <si>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</si>
  <si>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</si>
  <si>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</si>
  <si>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</si>
  <si>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</si>
  <si>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</si>
  <si>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</si>
  <si>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</si>
  <si>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</si>
  <si>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</si>
  <si>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</si>
  <si>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</si>
  <si>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</si>
  <si>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</si>
  <si>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</si>
  <si>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</si>
  <si>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</si>
  <si>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</si>
  <si>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</si>
  <si>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</si>
  <si>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</si>
  <si>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</si>
  <si>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</si>
  <si>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</si>
  <si>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</si>
  <si>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</si>
  <si>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</si>
  <si>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</si>
  <si>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</si>
  <si>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</si>
  <si>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</si>
  <si>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</si>
  <si>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</si>
  <si>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</si>
  <si>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</si>
  <si>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</si>
  <si>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</si>
  <si>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</si>
  <si>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</si>
  <si>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</si>
  <si>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</si>
  <si>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</si>
  <si>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</si>
  <si>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</si>
  <si>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</si>
  <si>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</si>
  <si>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</si>
  <si>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</si>
  <si>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</si>
  <si>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</si>
  <si>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</si>
  <si>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</si>
  <si>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</si>
  <si>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</si>
  <si>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</si>
  <si>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</si>
  <si>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</si>
  <si>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</si>
  <si>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</si>
  <si>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</si>
  <si>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</si>
  <si>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</si>
  <si>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</si>
  <si>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</si>
  <si>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</si>
  <si>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</si>
  <si>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</si>
  <si>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</si>
  <si>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</si>
  <si>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</si>
  <si>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</si>
  <si>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</si>
  <si>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</si>
  <si>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</si>
  <si>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</si>
  <si>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</si>
  <si>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</si>
  <si>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</si>
  <si>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</si>
  <si>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</si>
  <si>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</si>
  <si>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</si>
  <si>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</si>
  <si>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</si>
  <si>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</si>
  <si>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</si>
  <si>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</si>
  <si>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</si>
  <si>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</si>
  <si>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</si>
  <si>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</si>
  <si>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</si>
  <si>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</si>
  <si>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</si>
  <si>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</si>
  <si>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</si>
  <si>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</si>
  <si>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</si>
  <si>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</si>
  <si>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</si>
  <si>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</si>
  <si>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</si>
  <si>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</si>
  <si>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</si>
  <si>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</si>
  <si>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</si>
  <si>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</si>
  <si>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</si>
  <si>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</si>
  <si>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</si>
  <si>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</si>
  <si>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</si>
  <si>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</si>
  <si>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</si>
  <si>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</si>
  <si>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</si>
  <si>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</si>
  <si>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</si>
  <si>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</si>
  <si>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</si>
  <si>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</si>
  <si>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</si>
  <si>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</si>
  <si>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</si>
  <si>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</si>
  <si>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</si>
  <si>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</si>
  <si>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</si>
  <si>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</si>
  <si>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</si>
  <si>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</si>
  <si>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</si>
  <si>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</si>
  <si>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</si>
  <si>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</si>
  <si>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</si>
  <si>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</si>
  <si>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</si>
  <si>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</si>
  <si>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</si>
  <si>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</si>
  <si>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</si>
  <si>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</si>
  <si>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</si>
  <si>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</si>
  <si>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</si>
  <si>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</si>
  <si>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</si>
  <si>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</si>
  <si>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</si>
  <si>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</si>
  <si>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</si>
  <si>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</si>
  <si>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</si>
  <si>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</si>
  <si>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</si>
  <si>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</si>
  <si>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</si>
  <si>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</si>
  <si>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</si>
  <si>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</si>
  <si>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</si>
  <si>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</si>
  <si>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</si>
  <si>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</si>
  <si>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</si>
  <si>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</si>
  <si>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</si>
  <si>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</si>
  <si>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</si>
  <si>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</si>
  <si>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</si>
  <si>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</si>
  <si>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</si>
  <si>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</si>
  <si>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</si>
  <si>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</si>
  <si>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</si>
  <si>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</si>
  <si>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</si>
  <si>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</si>
  <si>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</si>
  <si>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</si>
  <si>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</si>
  <si>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</si>
  <si>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</si>
  <si>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</si>
  <si>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</si>
  <si>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</si>
  <si>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</si>
  <si>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</si>
  <si>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</si>
  <si>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</si>
  <si>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</si>
  <si>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</si>
  <si>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</si>
  <si>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</si>
  <si>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</si>
  <si>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</si>
  <si>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</si>
  <si>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</si>
  <si>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</si>
  <si>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</si>
  <si>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</si>
  <si>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</si>
  <si>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</si>
  <si>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</si>
  <si>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</si>
  <si>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</si>
  <si>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</si>
  <si>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</si>
  <si>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</si>
  <si>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</si>
  <si>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</si>
  <si>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</si>
  <si>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</si>
  <si>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</si>
  <si>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</si>
  <si>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</si>
  <si>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</si>
  <si>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</si>
  <si>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</si>
  <si>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</si>
  <si>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</si>
  <si>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</si>
  <si>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</si>
  <si>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</si>
  <si>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</si>
  <si>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</si>
  <si>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</si>
  <si>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</si>
  <si>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</si>
  <si>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</si>
  <si>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</si>
  <si>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</si>
  <si>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</si>
  <si>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</si>
  <si>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</si>
  <si>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</si>
  <si>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</si>
  <si>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</si>
  <si>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</si>
  <si>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</si>
  <si>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</si>
  <si>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</si>
  <si>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</si>
  <si>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</si>
  <si>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</si>
  <si>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</si>
  <si>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</si>
  <si>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</si>
  <si>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</si>
  <si>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</si>
  <si>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</si>
  <si>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</si>
  <si>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</si>
  <si>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</si>
  <si>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</si>
  <si>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</si>
  <si>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</si>
  <si>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</si>
  <si>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</si>
  <si>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</si>
  <si>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</si>
  <si>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</si>
  <si>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</si>
  <si>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</si>
  <si>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</si>
  <si>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</si>
  <si>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</si>
  <si>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</si>
  <si>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</si>
  <si>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</si>
  <si>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</si>
  <si>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</si>
  <si>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</si>
  <si>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</si>
  <si>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</si>
  <si>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</si>
  <si>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</si>
  <si>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</si>
  <si>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</si>
  <si>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</si>
  <si>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</si>
  <si>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</si>
  <si>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</si>
  <si>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</si>
  <si>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</si>
  <si>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</si>
  <si>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</si>
  <si>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</si>
  <si>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</si>
  <si>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</si>
  <si>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</si>
  <si>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</si>
  <si>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</si>
  <si>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</si>
  <si>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</si>
  <si>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</si>
  <si>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</si>
  <si>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</si>
  <si>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</si>
  <si>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</si>
  <si>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</si>
  <si>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</si>
  <si>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</si>
  <si>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</si>
  <si>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</si>
  <si>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</si>
  <si>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</si>
  <si>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</si>
  <si>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</si>
  <si>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</si>
  <si>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</si>
  <si>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</si>
  <si>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</si>
  <si>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</si>
  <si>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</si>
  <si>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</si>
  <si>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</si>
  <si>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</si>
  <si>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</si>
  <si>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</si>
  <si>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</si>
  <si>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</si>
  <si>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</si>
  <si>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</si>
  <si>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</si>
  <si>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</si>
  <si>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</si>
  <si>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</si>
  <si>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</si>
  <si>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</si>
  <si>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</si>
  <si>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</si>
  <si>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</si>
  <si>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</si>
  <si>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</si>
  <si>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</si>
  <si>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</si>
  <si>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</si>
  <si>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</si>
  <si>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</si>
  <si>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</si>
  <si>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</si>
  <si>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</si>
  <si>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</si>
  <si>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</si>
  <si>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</si>
  <si>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</si>
  <si>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</si>
  <si>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</si>
  <si>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</si>
  <si>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</si>
  <si>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</si>
  <si>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</si>
  <si>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</si>
  <si>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</si>
  <si>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</si>
  <si>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</si>
  <si>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</si>
  <si>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</si>
  <si>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</si>
  <si>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</si>
  <si>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</si>
  <si>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</si>
  <si>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</si>
  <si>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</si>
  <si>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</si>
  <si>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</si>
  <si>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</si>
  <si>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</si>
  <si>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</si>
  <si>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</si>
  <si>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</si>
  <si>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</si>
  <si>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</si>
  <si>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</si>
  <si>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</si>
  <si>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</si>
  <si>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</si>
  <si>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</si>
  <si>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</si>
  <si>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</si>
  <si>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</si>
  <si>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</si>
  <si>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</si>
  <si>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</si>
  <si>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</si>
  <si>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</si>
  <si>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</si>
  <si>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</si>
  <si>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</si>
  <si>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</si>
  <si>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</si>
  <si>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</si>
  <si>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</si>
  <si>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</si>
  <si>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</si>
  <si>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</si>
  <si>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</si>
  <si>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</si>
  <si>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</si>
  <si>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</si>
  <si>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</si>
  <si>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</si>
  <si>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</si>
  <si>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</si>
  <si>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</si>
  <si>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</si>
  <si>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</si>
  <si>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</si>
  <si>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</si>
  <si>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</si>
  <si>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</si>
  <si>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</si>
  <si>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</si>
  <si>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</si>
  <si>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</si>
  <si>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</si>
  <si>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</si>
  <si>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</si>
  <si>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</si>
  <si>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</si>
  <si>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</si>
  <si>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</si>
  <si>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</si>
  <si>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</si>
  <si>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</si>
  <si>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</si>
  <si>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</si>
  <si>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</si>
  <si>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</si>
  <si>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</si>
  <si>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</si>
  <si>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</si>
  <si>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</si>
  <si>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</si>
  <si>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</si>
  <si>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</si>
  <si>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</si>
  <si>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</si>
  <si>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</si>
  <si>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</si>
  <si>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</si>
  <si>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</si>
  <si>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</si>
  <si>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</si>
  <si>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</si>
  <si>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</si>
  <si>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</si>
  <si>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</si>
  <si>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</si>
  <si>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</si>
  <si>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</si>
  <si>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</si>
  <si>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</si>
  <si>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</si>
  <si>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</si>
  <si>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</si>
  <si>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</si>
  <si>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</si>
  <si>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</si>
  <si>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</si>
  <si>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</si>
  <si>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</si>
  <si>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</si>
  <si>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</si>
  <si>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</si>
  <si>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</si>
  <si>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</si>
  <si>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</si>
  <si>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</si>
  <si>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</si>
  <si>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</si>
  <si>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</si>
  <si>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</si>
  <si>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</si>
  <si>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</si>
  <si>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</si>
  <si>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</si>
  <si>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</si>
  <si>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</si>
  <si>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</si>
  <si>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</si>
  <si>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</si>
  <si>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</si>
  <si>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</si>
  <si>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</si>
  <si>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</si>
  <si>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</si>
  <si>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</si>
  <si>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</si>
  <si>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</si>
  <si>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</si>
  <si>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</si>
  <si>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</si>
  <si>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</si>
  <si>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</si>
  <si>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</si>
  <si>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</si>
  <si>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</si>
  <si>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</si>
  <si>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</si>
  <si>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</si>
  <si>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</si>
  <si>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</si>
  <si>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</si>
  <si>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</si>
  <si>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</si>
  <si>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</si>
  <si>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</si>
  <si>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</si>
  <si>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</si>
  <si>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</si>
  <si>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</si>
  <si>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</si>
  <si>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</si>
  <si>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</si>
  <si>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</si>
  <si>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</si>
  <si>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</si>
  <si>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</si>
  <si>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</si>
  <si>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</si>
  <si>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</si>
  <si>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</si>
  <si>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</si>
  <si>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</si>
  <si>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是</t>
  </si>
  <si>
    <t>地上</t>
  </si>
  <si>
    <t>办公</t>
    <phoneticPr fontId="7" type="noConversion"/>
  </si>
  <si>
    <t>建成</t>
    <phoneticPr fontId="3" type="noConversion"/>
  </si>
  <si>
    <t>直线</t>
    <phoneticPr fontId="3" type="noConversion"/>
  </si>
  <si>
    <t>成新度</t>
  </si>
  <si>
    <t>收益法 (元)</t>
  </si>
  <si>
    <t>较好</t>
  </si>
  <si>
    <t>较好</t>
    <phoneticPr fontId="40" type="noConversion"/>
  </si>
  <si>
    <t>较好</t>
    <phoneticPr fontId="24" type="noConversion"/>
  </si>
  <si>
    <t>较好</t>
    <phoneticPr fontId="40" type="noConversion"/>
  </si>
  <si>
    <t>七通</t>
  </si>
  <si>
    <t>七通</t>
    <phoneticPr fontId="24" type="noConversion"/>
  </si>
  <si>
    <t>押一</t>
  </si>
  <si>
    <t>钢混</t>
  </si>
  <si>
    <t>非生产用房</t>
  </si>
  <si>
    <t>否</t>
  </si>
  <si>
    <t>售价</t>
  </si>
  <si>
    <t>售价</t>
    <phoneticPr fontId="134" type="noConversion"/>
  </si>
  <si>
    <r>
      <t>望京S</t>
    </r>
    <r>
      <rPr>
        <sz val="11"/>
        <color theme="1"/>
        <rFont val="宋体"/>
        <family val="3"/>
        <charset val="134"/>
        <scheme val="minor"/>
      </rPr>
      <t>OHO</t>
    </r>
    <phoneticPr fontId="134" type="noConversion"/>
  </si>
  <si>
    <t>单价</t>
    <phoneticPr fontId="134" type="noConversion"/>
  </si>
  <si>
    <t>面积</t>
    <phoneticPr fontId="134" type="noConversion"/>
  </si>
  <si>
    <t>楼层</t>
    <phoneticPr fontId="134" type="noConversion"/>
  </si>
  <si>
    <t>低</t>
    <phoneticPr fontId="134" type="noConversion"/>
  </si>
  <si>
    <t>装修</t>
    <phoneticPr fontId="134" type="noConversion"/>
  </si>
  <si>
    <t>普装</t>
    <phoneticPr fontId="134" type="noConversion"/>
  </si>
  <si>
    <t>方恒国际中心</t>
    <phoneticPr fontId="134" type="noConversion"/>
  </si>
  <si>
    <t>中</t>
    <phoneticPr fontId="134" type="noConversion"/>
  </si>
  <si>
    <t>高</t>
    <phoneticPr fontId="134" type="noConversion"/>
  </si>
  <si>
    <t>单套模式</t>
  </si>
  <si>
    <t>正常</t>
  </si>
  <si>
    <t>报价</t>
  </si>
  <si>
    <t>报价</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</si>
  <si>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</si>
  <si>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</si>
  <si>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</si>
  <si>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</si>
  <si>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</si>
  <si>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 xml:space="preserve"> </t>
    <phoneticPr fontId="31" type="noConversion"/>
  </si>
  <si>
    <t>钢混</t>
    <phoneticPr fontId="31" type="noConversion"/>
  </si>
  <si>
    <t>普通装修</t>
  </si>
  <si>
    <t>普通装修</t>
    <phoneticPr fontId="31" type="noConversion"/>
  </si>
  <si>
    <t>专业物业</t>
  </si>
  <si>
    <t>专业物业</t>
    <phoneticPr fontId="31" type="noConversion"/>
  </si>
  <si>
    <t>精装修</t>
  </si>
  <si>
    <t>精装修</t>
    <phoneticPr fontId="31" type="noConversion"/>
  </si>
  <si>
    <t>简单装修</t>
    <phoneticPr fontId="31" type="noConversion"/>
  </si>
  <si>
    <t>毛坯</t>
    <phoneticPr fontId="31" type="noConversion"/>
  </si>
  <si>
    <t>办公</t>
    <phoneticPr fontId="31" type="noConversion"/>
  </si>
  <si>
    <t>楼层</t>
    <phoneticPr fontId="31" type="noConversion"/>
  </si>
  <si>
    <t>六通</t>
  </si>
  <si>
    <t>租金</t>
  </si>
  <si>
    <t>合生麒麟社</t>
    <phoneticPr fontId="134" type="noConversion"/>
  </si>
  <si>
    <r>
      <t>3</t>
    </r>
    <r>
      <rPr>
        <sz val="11"/>
        <color theme="1"/>
        <rFont val="宋体"/>
        <family val="3"/>
        <charset val="134"/>
        <scheme val="minor"/>
      </rPr>
      <t>.74-7</t>
    </r>
    <phoneticPr fontId="134" type="noConversion"/>
  </si>
  <si>
    <r>
      <t>3</t>
    </r>
    <r>
      <rPr>
        <sz val="11"/>
        <color theme="1"/>
        <rFont val="宋体"/>
        <family val="3"/>
        <charset val="134"/>
        <scheme val="minor"/>
      </rPr>
      <t>.68-9.4</t>
    </r>
    <phoneticPr fontId="134" type="noConversion"/>
  </si>
  <si>
    <t>融科望京中心</t>
    <phoneticPr fontId="134" type="noConversion"/>
  </si>
  <si>
    <t>4.2-6.28</t>
    <phoneticPr fontId="134" type="noConversion"/>
  </si>
  <si>
    <t>方恒时代中心</t>
    <phoneticPr fontId="134" type="noConversion"/>
  </si>
  <si>
    <t>4-5.6</t>
    <phoneticPr fontId="134" type="noConversion"/>
  </si>
  <si>
    <t>3.99-6.8</t>
    <phoneticPr fontId="134" type="noConversion"/>
  </si>
  <si>
    <t>万科时代中心</t>
    <phoneticPr fontId="134" type="noConversion"/>
  </si>
  <si>
    <t>6.5-8.8</t>
    <phoneticPr fontId="134" type="noConversion"/>
  </si>
  <si>
    <t>比较法-办公</t>
  </si>
  <si>
    <t>楼面单价</t>
  </si>
  <si>
    <t>低区</t>
    <phoneticPr fontId="31" type="noConversion"/>
  </si>
  <si>
    <t>中国银行股份有限公司北京国贸支行</t>
    <phoneticPr fontId="6" type="noConversion"/>
  </si>
  <si>
    <t>梁立志</t>
    <phoneticPr fontId="6" type="noConversion"/>
  </si>
  <si>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111511</t>
    </r>
    <phoneticPr fontId="6" type="noConversion"/>
  </si>
  <si>
    <t>自然人</t>
  </si>
  <si>
    <t>北京通</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</si>
</sst>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16</xdr:col>
      <xdr:colOff>665296</xdr:colOff>
      <xdr:row>17</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11638096" cy="1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北京市朝阳区阜通东大街1号院6号楼12层1单元111511房地产抵押价值预评估</v>
      </c>
    </row>
    <row r="3" spans="1:2" s="1203" customFormat="1">
      <c r="A3" s="1201" t="s">
        <v>523</v>
      </c>
      <c r="B3" s="1202" t="str">
        <f>'预评函-封皮'!B40</f>
        <v>中国银行股份有限公司北京国贸支行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受贵公司委托，我公司对北京市朝阳区阜通东大街1号院6号楼12层1单元111511房地产抵押价值进行了预评估。</v>
      </c>
    </row>
    <row r="7" spans="1:2" s="1203" customFormat="1">
      <c r="A7" s="1201" t="s">
        <v>566</v>
      </c>
      <c r="B7" s="1202" t="str">
        <f>'预评函-1'!A7</f>
        <v>估价对象为北京市朝阳区阜通东大街1号院6号楼12层1单元111511房地产，为梁立志所有。根据《国有土地使用证》[]，估价对象（分摊）出让国有建设用地使用权面积为0平方米，建筑面积为388.36平方米。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东大街1号院6号楼12层1单元111511房地产,属梁立志开发建设的，该项目尚在开发建设中。根据《国有土地使用证》[]，估价对象（分摊）出让国有建设用地使用权面积为0平方米，规划建筑面积为388.36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2024年5月13日</v>
      </c>
    </row>
    <row r="13" spans="1:2" s="1203" customFormat="1">
      <c r="A13" s="1201" t="s">
        <v>529</v>
      </c>
      <c r="B13" s="1202"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1467</v>
      </c>
    </row>
    <row r="21" spans="1:2" s="1203" customFormat="1">
      <c r="A21" s="1201" t="s">
        <v>537</v>
      </c>
      <c r="B21" s="1202">
        <f ca="1">'预评函-2'!D7</f>
        <v>37772</v>
      </c>
    </row>
    <row r="22" spans="1:2" s="1203" customFormat="1">
      <c r="A22" s="1201" t="s">
        <v>538</v>
      </c>
      <c r="B22" s="1202" t="str">
        <f ca="1">'预评函-2'!D6</f>
        <v>壹仟肆佰陆拾柒万元整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1467</v>
      </c>
    </row>
    <row r="31" spans="1:2" s="1203" customFormat="1">
      <c r="A31" s="1201" t="s">
        <v>576</v>
      </c>
      <c r="B31" s="1202">
        <f ca="1">'预评函-2'!D15</f>
        <v>37772</v>
      </c>
    </row>
    <row r="32" spans="1:2" s="1203" customFormat="1">
      <c r="A32" s="1201" t="s">
        <v>543</v>
      </c>
      <c r="B32" s="1202" t="str">
        <f ca="1">'预评函-2'!D14</f>
        <v>壹仟肆佰陆拾柒万元整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北京市朝阳区阜通东大街1号院6号楼12层1单元111511房地产</v>
      </c>
    </row>
    <row r="42" spans="1:2" s="1203" customFormat="1">
      <c r="A42" s="1201" t="s">
        <v>590</v>
      </c>
      <c r="B42" s="1202" t="str">
        <f>'预评函-3'!B2</f>
        <v>建筑面积</v>
      </c>
    </row>
    <row r="43" spans="1:2" s="1203" customFormat="1">
      <c r="A43" s="1201" t="s">
        <v>591</v>
      </c>
      <c r="B43" s="1202">
        <f>'预评函-3'!B4</f>
        <v>388.36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为估价委托人在向中国银行股份有限公司北京国贸支行办理贷款手续过程中，确定房地产抵押贷款额度提供参考依据而评估房地产抵押价值。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12" t="s">
        <v>2580</v>
      </c>
      <c r="J2" s="3512"/>
      <c r="K2" s="3512"/>
      <c r="L2" s="3512"/>
      <c r="M2" s="3512"/>
      <c r="N2" s="3512"/>
      <c r="O2" s="3512"/>
      <c r="P2" s="3512"/>
      <c r="Q2" s="3512"/>
      <c r="R2" s="3512"/>
    </row>
    <row r="3" spans="1:18">
      <c r="A3" s="3016" t="s">
        <v>2501</v>
      </c>
      <c r="B3" s="3017">
        <f>项目基本情况!D3</f>
        <v>45425</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2.6</v>
      </c>
      <c r="D5" s="3021">
        <f>IF(ISERROR(ROUND(POWER(1+E5,A5-C5)*(POWER(1+E5,C5)-1)/(POWER(1+E5,A5)-1),3)),0,ROUND(POWER(1+E5,A5-C5)*(POWER(1+E5,C5)-1)/(POWER(1+E5,A5)-1),4))</f>
        <v>0.1225</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12.61</v>
      </c>
      <c r="D6" s="3021">
        <f>IF(ISERROR(ROUND(POWER(1+E6,A6-C6)*(POWER(1+E6,C6)-1)/(POWER(1+E6,A6)-1),3)),0,ROUND(POWER(1+E6,A6-C6)*(POWER(1+E6,C6)-1)/(POWER(1+E6,A6)-1),4))</f>
        <v>0.4541</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32.619999999999997</v>
      </c>
      <c r="D7" s="3021">
        <f>IF(ISERROR(ROUND(POWER(1+E7,A7-C7)*(POWER(1+E7,C7)-1)/(POWER(1+E7,A7)-1),3)),0,ROUND(POWER(1+E7,A7-C7)*(POWER(1+E7,C7)-1)/(POWER(1+E7,A7)-1),4))</f>
        <v>0.77129999999999999</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3" t="str">
        <f>IF(B10="北京市","北京市",C10)&amp;F10&amp;IF(结果表!G1="在建","出让国有建设用地使用权及在建建筑物",IF(结果表!G1="土地","出让国有建设用地使用权",))&amp;B9&amp;"预评估"</f>
        <v>北京市朝阳区阜通东大街1号院6号楼12层1单元111511房地产抵押价值预评估</v>
      </c>
      <c r="C1" s="3514"/>
      <c r="D1" s="3514"/>
      <c r="E1" s="3514"/>
      <c r="F1" s="3514"/>
      <c r="G1" s="3514"/>
      <c r="H1" s="3514"/>
      <c r="I1" s="3515"/>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北京市朝阳区阜通东大街1号院6号楼12层1单元111511房地产抵押价值</v>
      </c>
      <c r="T1" s="1745"/>
      <c r="U1" s="1745"/>
      <c r="V1" s="1745"/>
      <c r="W1" s="1745"/>
      <c r="X1" s="1745"/>
      <c r="Y1" s="1745"/>
      <c r="Z1" s="1745"/>
      <c r="AA1" s="1745"/>
      <c r="AB1" s="1745"/>
    </row>
    <row r="2" spans="1:30">
      <c r="A2" s="2367" t="s">
        <v>2169</v>
      </c>
      <c r="B2" s="2371"/>
      <c r="C2" s="2372"/>
      <c r="D2" s="2666"/>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北京市朝阳区阜通东大街1号院6号楼12层1单元111511房地产</v>
      </c>
      <c r="T2" s="1745"/>
      <c r="U2" s="1745"/>
      <c r="V2" s="1745"/>
      <c r="W2" s="1745"/>
      <c r="X2" s="1745"/>
      <c r="Y2" s="1745"/>
      <c r="Z2" s="1745"/>
      <c r="AA2" s="1745"/>
      <c r="AB2" s="1745"/>
    </row>
    <row r="3" spans="1:30">
      <c r="A3" s="302" t="s">
        <v>2170</v>
      </c>
      <c r="B3" s="2373"/>
      <c r="C3" s="2374" t="s">
        <v>2171</v>
      </c>
      <c r="D3" s="2373">
        <v>45425</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1120100036</v>
      </c>
      <c r="D4" s="2375" t="s">
        <v>3381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48.75" thickTop="1">
      <c r="A5" s="2379" t="s">
        <v>2173</v>
      </c>
      <c r="B5" s="3453" t="s">
        <v>3449</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中国银行股份有限公司北京国贸支行</v>
      </c>
      <c r="C6" s="2384"/>
      <c r="D6" s="2385"/>
      <c r="E6" s="2658"/>
      <c r="F6" s="2660"/>
      <c r="G6" s="2660"/>
      <c r="H6" s="2660"/>
      <c r="I6" s="2660"/>
      <c r="J6" s="2437"/>
      <c r="K6" s="2611" t="str">
        <f>IF(COUNTIF(B6,"*上海银行*"),"上海银行","")</f>
        <v/>
      </c>
      <c r="L6" s="2609"/>
      <c r="M6" s="2609"/>
      <c r="N6" s="2437"/>
      <c r="O6" s="2448"/>
      <c r="P6" s="2437"/>
      <c r="Q6" s="2437"/>
      <c r="R6" s="2437"/>
    </row>
    <row r="7" spans="1:30">
      <c r="A7" s="2382" t="s">
        <v>2175</v>
      </c>
      <c r="B7" s="3454" t="s">
        <v>3450</v>
      </c>
      <c r="C7" s="2384"/>
      <c r="D7" s="2385"/>
      <c r="E7" s="2658"/>
      <c r="F7" s="2660"/>
      <c r="G7" s="2660"/>
      <c r="H7" s="2660"/>
      <c r="I7" s="2660"/>
      <c r="J7" s="2437"/>
      <c r="K7" s="2612"/>
      <c r="L7" s="2609"/>
      <c r="M7" s="2609"/>
      <c r="N7" s="2437"/>
      <c r="O7" s="2448"/>
      <c r="P7" s="2437"/>
      <c r="Q7" s="2437"/>
      <c r="R7" s="2437"/>
    </row>
    <row r="8" spans="1:30">
      <c r="A8" s="2386" t="s">
        <v>2176</v>
      </c>
      <c r="B8" s="2387" t="s">
        <v>3376</v>
      </c>
      <c r="C8" s="2388"/>
      <c r="D8" s="3516" t="s">
        <v>2177</v>
      </c>
      <c r="E8" s="2389" t="s">
        <v>3382</v>
      </c>
      <c r="F8" s="2390"/>
      <c r="G8" s="2659"/>
      <c r="H8" s="2659"/>
      <c r="I8" s="2659"/>
      <c r="J8" s="2437"/>
      <c r="K8" s="2610"/>
      <c r="L8" s="2609"/>
      <c r="M8" s="2609"/>
      <c r="N8" s="2437"/>
      <c r="O8" s="2448"/>
      <c r="P8" s="2437"/>
      <c r="Q8" s="2437"/>
      <c r="R8" s="2437"/>
    </row>
    <row r="9" spans="1:30" ht="13.5" thickBot="1">
      <c r="A9" s="2391" t="s">
        <v>2178</v>
      </c>
      <c r="B9" s="2392" t="s">
        <v>3382</v>
      </c>
      <c r="C9" s="2393"/>
      <c r="D9" s="3517"/>
      <c r="E9" s="2392" t="s">
        <v>43</v>
      </c>
      <c r="F9" s="2394"/>
      <c r="G9" s="2661"/>
      <c r="H9" s="2661"/>
      <c r="I9" s="2661"/>
      <c r="J9" s="2437"/>
      <c r="K9" s="2612"/>
      <c r="L9" s="2609"/>
      <c r="M9" s="2609"/>
      <c r="N9" s="2437"/>
      <c r="O9" s="2448"/>
      <c r="P9" s="2437"/>
      <c r="Q9" s="2437"/>
      <c r="R9" s="2437"/>
    </row>
    <row r="10" spans="1:30" ht="13.5" thickTop="1">
      <c r="A10" s="2395" t="s">
        <v>2179</v>
      </c>
      <c r="B10" s="2396" t="s">
        <v>3383</v>
      </c>
      <c r="C10" s="2397"/>
      <c r="D10" s="2381"/>
      <c r="E10" s="2398" t="s">
        <v>2180</v>
      </c>
      <c r="F10" s="2662" t="s">
        <v>3451</v>
      </c>
      <c r="G10" s="2663"/>
      <c r="H10" s="2664"/>
      <c r="I10" s="2665"/>
      <c r="J10" s="2437"/>
      <c r="K10" s="2612"/>
      <c r="L10" s="2609"/>
      <c r="M10" s="2609"/>
      <c r="N10" s="2437"/>
      <c r="O10" s="2448"/>
      <c r="P10" s="2437"/>
      <c r="Q10" s="2437"/>
      <c r="R10" s="2437"/>
    </row>
    <row r="11" spans="1:30">
      <c r="A11" s="2399" t="s">
        <v>2181</v>
      </c>
      <c r="B11" s="2400" t="s">
        <v>3452</v>
      </c>
      <c r="C11" s="2401" t="str">
        <f>B7</f>
        <v>梁立志</v>
      </c>
      <c r="D11" s="2402"/>
      <c r="E11" s="2370"/>
      <c r="F11" s="2370"/>
      <c r="G11" s="2370"/>
      <c r="H11" s="2370"/>
      <c r="I11" s="2370"/>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2576</v>
      </c>
      <c r="J12" s="3058"/>
      <c r="K12" s="2609"/>
      <c r="L12" s="2609"/>
      <c r="M12" s="2437"/>
      <c r="N12" s="2448"/>
      <c r="O12" s="2437"/>
      <c r="P12" s="2437"/>
      <c r="Q12" s="2437"/>
      <c r="AD12" s="1745"/>
    </row>
    <row r="13" spans="1:30">
      <c r="A13" s="3419" t="s">
        <v>3332</v>
      </c>
      <c r="B13" s="2405" t="s">
        <v>2190</v>
      </c>
      <c r="C13" s="856"/>
      <c r="D13" s="856"/>
      <c r="E13" s="856">
        <v>58359</v>
      </c>
      <c r="F13" s="856"/>
      <c r="G13" s="856"/>
      <c r="H13" s="856"/>
      <c r="I13" s="856"/>
      <c r="J13" s="3470" t="s">
        <v>3453</v>
      </c>
      <c r="K13" s="2609"/>
      <c r="L13" s="2609"/>
      <c r="M13" s="2437"/>
      <c r="N13" s="2448"/>
      <c r="O13" s="2437"/>
      <c r="P13" s="2437"/>
      <c r="Q13" s="2437"/>
      <c r="AD13" s="1745"/>
    </row>
    <row r="14" spans="1:30">
      <c r="A14" s="1081"/>
      <c r="B14" s="2405" t="s">
        <v>2191</v>
      </c>
      <c r="C14" s="2406"/>
      <c r="D14" s="2406"/>
      <c r="E14" s="2406">
        <v>50</v>
      </c>
      <c r="F14" s="2406"/>
      <c r="G14" s="2406"/>
      <c r="H14" s="2406"/>
      <c r="I14" s="2406"/>
      <c r="J14" s="3059"/>
      <c r="K14" s="2609"/>
      <c r="L14" s="2609"/>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35.43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5"/>
    </row>
    <row r="16" spans="1:30">
      <c r="A16" s="2398" t="s">
        <v>2193</v>
      </c>
      <c r="B16" s="3523"/>
      <c r="C16" s="3524"/>
      <c r="D16" s="3525"/>
      <c r="E16" s="2411" t="s">
        <v>2194</v>
      </c>
      <c r="F16" s="3526"/>
      <c r="G16" s="3527"/>
      <c r="H16" s="3527"/>
      <c r="I16" s="3528"/>
      <c r="J16" s="2437"/>
      <c r="K16" s="2613"/>
      <c r="L16" s="2449"/>
      <c r="M16" s="2449"/>
      <c r="N16" s="2505"/>
      <c r="O16" s="2449"/>
      <c r="P16" s="2505"/>
      <c r="Q16" s="2437"/>
      <c r="R16" s="2437"/>
    </row>
    <row r="17" spans="1:28">
      <c r="A17" s="313" t="s">
        <v>2195</v>
      </c>
      <c r="B17" s="302" t="s">
        <v>2196</v>
      </c>
      <c r="C17" s="8">
        <f>'数据-汇总表'!E3</f>
        <v>388.36</v>
      </c>
      <c r="D17" s="2322" t="s">
        <v>2197</v>
      </c>
      <c r="E17" s="3529" t="s">
        <v>2198</v>
      </c>
      <c r="F17" s="3530"/>
      <c r="G17" s="3530"/>
      <c r="H17" s="3530"/>
      <c r="I17" s="3531"/>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32" t="s">
        <v>2202</v>
      </c>
      <c r="F18" s="3533"/>
      <c r="G18" s="3533"/>
      <c r="H18" s="3533"/>
      <c r="I18" s="3534"/>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19" t="s">
        <v>2206</v>
      </c>
      <c r="C20" s="3520"/>
      <c r="D20" s="3521" t="s">
        <v>2207</v>
      </c>
      <c r="E20" s="3522"/>
      <c r="F20" s="2643" t="s">
        <v>1056</v>
      </c>
      <c r="G20" s="2660"/>
      <c r="H20" s="2660"/>
      <c r="I20" s="2660"/>
      <c r="J20" s="2437"/>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36" t="s">
        <v>2214</v>
      </c>
      <c r="B27" s="320" t="s">
        <v>2215</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36"/>
      <c r="B28" s="302" t="s">
        <v>2216</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36"/>
      <c r="B29" s="302" t="s">
        <v>2217</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37"/>
      <c r="B30" s="302" t="s">
        <v>2218</v>
      </c>
      <c r="C30" s="3538"/>
      <c r="D30" s="3539"/>
      <c r="E30" s="2660"/>
      <c r="F30" s="2660"/>
      <c r="G30" s="2660"/>
      <c r="H30" s="2660"/>
      <c r="I30" s="2660"/>
      <c r="J30" s="2437"/>
      <c r="K30" s="2612"/>
      <c r="L30" s="2609"/>
      <c r="M30" s="2609"/>
      <c r="N30" s="2437"/>
      <c r="O30" s="2448"/>
      <c r="P30" s="2437"/>
      <c r="Q30" s="2437"/>
      <c r="R30" s="2437"/>
      <c r="S30" s="2437"/>
      <c r="T30" s="2437"/>
      <c r="U30" s="2437"/>
      <c r="V30" s="2437"/>
    </row>
    <row r="31" spans="1:28">
      <c r="A31" s="3540" t="s">
        <v>2219</v>
      </c>
      <c r="B31" s="2420"/>
      <c r="C31" s="2323" t="str">
        <f>IF(B31="现房","成新及维护状况正常否",IF(B31="在建","工程状态是否正常",IF(B31="土地","是否闲置","-")))</f>
        <v>-</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41"/>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41"/>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c r="C34" s="2026"/>
      <c r="D34" s="2026"/>
      <c r="E34" s="2026"/>
      <c r="F34" s="2026"/>
      <c r="G34" s="2026"/>
      <c r="H34" s="2026"/>
      <c r="I34" s="2660"/>
      <c r="J34" s="2437"/>
      <c r="K34" s="2425">
        <f>COUNTIF(B34:H34,"——")</f>
        <v>0</v>
      </c>
      <c r="L34" s="323" t="s">
        <v>2221</v>
      </c>
      <c r="M34" s="323" t="s">
        <v>2222</v>
      </c>
      <c r="N34" s="323" t="s">
        <v>2223</v>
      </c>
      <c r="O34" s="323" t="s">
        <v>2224</v>
      </c>
      <c r="P34" s="323" t="s">
        <v>2225</v>
      </c>
      <c r="Q34" s="323" t="s">
        <v>2226</v>
      </c>
      <c r="R34" s="323" t="s">
        <v>2227</v>
      </c>
      <c r="S34" s="3535" t="s">
        <v>2228</v>
      </c>
      <c r="T34" s="2426" t="str">
        <f>NUMBERSTRING(7-K34,1)&amp;"通"</f>
        <v>七通</v>
      </c>
      <c r="U34" s="2437"/>
      <c r="V34" s="2437"/>
    </row>
    <row r="35" spans="1:30">
      <c r="A35" s="2427"/>
      <c r="B35" s="3542" t="s">
        <v>2229</v>
      </c>
      <c r="C35" s="3542"/>
      <c r="D35" s="3542"/>
      <c r="E35" s="3542"/>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5"/>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1" t="s">
        <v>2579</v>
      </c>
      <c r="G36" s="2660"/>
      <c r="H36" s="2660"/>
      <c r="I36" s="2660"/>
      <c r="J36" s="2437"/>
      <c r="K36" s="2612"/>
      <c r="L36" s="2609"/>
      <c r="M36" s="2609"/>
      <c r="N36" s="2437"/>
      <c r="O36" s="2448"/>
      <c r="P36" s="2437"/>
      <c r="Q36" s="2437"/>
      <c r="R36" s="2437"/>
      <c r="S36" s="2437"/>
      <c r="T36" s="2437"/>
      <c r="U36" s="2437"/>
      <c r="V36" s="2437"/>
    </row>
    <row r="37" spans="1:30">
      <c r="A37" s="2626" t="s">
        <v>2230</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388.36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388.36</v>
      </c>
      <c r="H5" s="13">
        <f t="shared" ref="H5:AT5" si="0">SUM(H13:H656)</f>
        <v>388.36</v>
      </c>
      <c r="I5" s="13">
        <f t="shared" si="0"/>
        <v>388.36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388.36</v>
      </c>
      <c r="BA5" s="15">
        <f t="shared" si="1"/>
        <v>388.36</v>
      </c>
      <c r="BB5" s="15">
        <f t="shared" si="1"/>
        <v>388.36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388.36</v>
      </c>
      <c r="H13" s="17">
        <f>SUMIF(I$12:AB$12,"总值",I13:AB13)</f>
        <v>388.36</v>
      </c>
      <c r="I13" s="1626">
        <v>388.36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388.36</v>
      </c>
      <c r="BA13" s="13">
        <f>SUM(BB13:BK13)</f>
        <v>388.36</v>
      </c>
      <c r="BB13" s="13">
        <f>IF($D13="是",I13-J13,0)</f>
        <v>388.36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5"/>
      <c r="G2" s="2646"/>
      <c r="H2" s="2647"/>
      <c r="I2" s="2325" t="s">
        <v>1132</v>
      </c>
      <c r="J2" s="2655"/>
      <c r="K2" s="2655"/>
      <c r="L2" s="2655"/>
      <c r="M2" s="2655"/>
      <c r="N2" s="2657"/>
      <c r="O2" s="2655"/>
      <c r="P2" s="2655"/>
    </row>
    <row r="3" spans="1:16" ht="15.75" thickBot="1">
      <c r="A3" s="3553" t="s">
        <v>1105</v>
      </c>
      <c r="B3" s="3553"/>
      <c r="C3" s="3553"/>
      <c r="D3" s="43">
        <f>'数据-基础表'!AY6</f>
        <v>0</v>
      </c>
      <c r="E3" s="43">
        <f>'数据-基础表'!AZ5</f>
        <v>388.36</v>
      </c>
      <c r="F3" s="2655"/>
      <c r="G3" s="1145"/>
      <c r="H3" s="1026" t="s">
        <v>1106</v>
      </c>
      <c r="I3" s="855" t="e">
        <f>ROUND('数据-基础表'!B3/'数据-基础表'!A3,2)</f>
        <v>#DIV/0!</v>
      </c>
      <c r="J3" s="2655"/>
      <c r="K3" s="2655"/>
      <c r="L3" s="2655"/>
      <c r="M3" s="2655"/>
      <c r="N3" s="2657"/>
      <c r="O3" s="2655"/>
      <c r="P3" s="2655"/>
    </row>
    <row r="4" spans="1:16" ht="15">
      <c r="A4" s="3554"/>
      <c r="B4" s="3555"/>
      <c r="C4" s="3556"/>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7" t="s">
        <v>1110</v>
      </c>
      <c r="C5" s="3557"/>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57" t="s">
        <v>1111</v>
      </c>
      <c r="C6" s="3557"/>
      <c r="D6" s="45">
        <f>ROUND($D$3*E6/$E$3,2)</f>
        <v>0</v>
      </c>
      <c r="E6" s="46">
        <f>E3-E5</f>
        <v>388.36</v>
      </c>
      <c r="F6" s="2655"/>
      <c r="G6" s="2649" t="s">
        <v>1112</v>
      </c>
      <c r="H6" s="1146" t="s">
        <v>1113</v>
      </c>
      <c r="I6" s="2650" t="e">
        <f>ROUND(F31/D31,2)</f>
        <v>#DIV/0!</v>
      </c>
      <c r="J6" s="2655"/>
      <c r="K6" s="2655"/>
      <c r="L6" s="2655"/>
      <c r="M6" s="2655"/>
      <c r="N6" s="2655"/>
      <c r="O6" s="2655"/>
      <c r="P6" s="2655"/>
    </row>
    <row r="7" spans="1:16" ht="15.75" thickBot="1">
      <c r="A7" s="3549"/>
      <c r="B7" s="3550"/>
      <c r="C7" s="3551"/>
      <c r="D7" s="1641" t="s">
        <v>1107</v>
      </c>
      <c r="E7" s="1645"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388.36</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388.36</v>
      </c>
      <c r="F16" s="2655"/>
      <c r="G16" s="2656"/>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3386</v>
      </c>
      <c r="D19" s="45">
        <f>ROUND($D$3*E19/$E$3,2)</f>
        <v>0</v>
      </c>
      <c r="E19" s="53">
        <f t="shared" ref="E19:E26" si="1">SUM(F19:G19)</f>
        <v>388.36</v>
      </c>
      <c r="F19" s="2791">
        <f>'数据-基础表'!I5</f>
        <v>388.36</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388.36</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388.36</v>
      </c>
      <c r="F27" s="1140">
        <f>IF(SUM(F19:F26)=E8,SUM(F19:F26),"地上面积有误")</f>
        <v>388.36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388.36</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388.36</v>
      </c>
      <c r="F31" s="677">
        <f>F27+F30</f>
        <v>388.36</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58359</v>
      </c>
      <c r="F6" s="64">
        <f>SUMIF(项目基本情况!C$12:I$12,C6,项目基本情况!C$15:I$15)</f>
        <v>35.43</v>
      </c>
      <c r="G6" s="65">
        <f>IF(ISERROR(ROUND(POWER(1+H6,D6-F6)*(POWER(1+H6,F6)-1)/(POWER(1+H6,D6)-1),3)),0,ROUND(POWER(1+H6,D6-F6)*(POWER(1+H6,F6)-1)/(POWER(1+H6,D6)-1),3))</f>
        <v>0.90100000000000002</v>
      </c>
      <c r="H6" s="732">
        <v>0.05</v>
      </c>
      <c r="I6" s="732">
        <v>5.5E-2</v>
      </c>
      <c r="J6" s="66">
        <v>7.0000000000000007E-2</v>
      </c>
      <c r="K6" s="1030">
        <f>SUMIF('数据-汇总表'!C$19:C$33,A6,'数据-汇总表'!E$19:E$33)</f>
        <v>388.36</v>
      </c>
      <c r="L6" s="733">
        <v>4500</v>
      </c>
      <c r="M6" s="67">
        <f t="shared" ref="M6:M14" si="0">ROUND(K6*L6/10000,0)</f>
        <v>175</v>
      </c>
      <c r="N6" s="731">
        <f>N20</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f>'比较法-租金'!C50</f>
        <v>6.3</v>
      </c>
      <c r="V6" s="70">
        <v>2.5000000000000001E-2</v>
      </c>
      <c r="W6" s="70">
        <v>0.1</v>
      </c>
      <c r="X6" s="1040"/>
      <c r="Y6" s="71">
        <f>N6</f>
        <v>0.83</v>
      </c>
      <c r="Z6" s="72"/>
      <c r="AA6" s="66"/>
      <c r="AB6" s="66"/>
      <c r="AC6" s="1040"/>
      <c r="AD6" s="73"/>
      <c r="AE6" s="1041">
        <f ca="1">IF(AN6="",0,SUMIF(INDIRECT("'"&amp;AN6&amp;"'"&amp;"!E:E"),$AE$5,INDIRECT("'"&amp;AN6&amp;"'"&amp;"!F:F")))</f>
        <v>35.43</v>
      </c>
      <c r="AF6" s="1348"/>
      <c r="AG6" s="138">
        <f>IF(AF6="",0,AE6-AF6)</f>
        <v>0</v>
      </c>
      <c r="AH6" s="74"/>
      <c r="AI6" s="76">
        <v>365</v>
      </c>
      <c r="AJ6" s="77"/>
      <c r="AK6" s="78">
        <v>0.02</v>
      </c>
      <c r="AL6" s="79">
        <v>1.5E-3</v>
      </c>
      <c r="AM6" s="80">
        <v>0.03</v>
      </c>
      <c r="AN6" s="1715" t="s">
        <v>3390</v>
      </c>
      <c r="AO6" s="52">
        <f ca="1">SUMIF(INDIRECT("'"&amp;AN6&amp;"'"&amp;"!A:A"),"总价",INDIRECT("'"&amp;AN6&amp;"'"&amp;"!B:B"))</f>
        <v>1446.0465999999999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388.36</v>
      </c>
      <c r="L16" s="93">
        <f>ROUND(M16*10000/SUM(K6:K14),0)</f>
        <v>4506</v>
      </c>
      <c r="M16" s="93">
        <f>SUM(M6:M14)</f>
        <v>175</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455" t="s">
        <v>3387</v>
      </c>
      <c r="N19" s="2667">
        <v>2014</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3455" t="s">
        <v>3388</v>
      </c>
      <c r="N20" s="2667">
        <f>ROUND(1-(1-0%)*(2024-N19)/60,2)</f>
        <v>0.83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8</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58" t="s">
        <v>2282</v>
      </c>
      <c r="B1" s="3559"/>
      <c r="C1" s="3559"/>
      <c r="D1" s="3559"/>
      <c r="E1" s="3559"/>
      <c r="F1" s="3559"/>
      <c r="G1" s="355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56" t="s">
        <v>3392</v>
      </c>
      <c r="D3" s="2462"/>
      <c r="E3" s="2440" t="s">
        <v>2280</v>
      </c>
      <c r="F3" s="2463" t="s">
        <v>2253</v>
      </c>
      <c r="G3" s="2464" t="s">
        <v>2281</v>
      </c>
      <c r="H3" s="799"/>
      <c r="I3" s="799"/>
      <c r="J3" s="799"/>
      <c r="K3" s="799"/>
      <c r="L3" s="799"/>
      <c r="M3" s="799"/>
      <c r="N3" s="799"/>
      <c r="O3" s="799"/>
      <c r="P3" s="799"/>
      <c r="Q3" s="799"/>
      <c r="R3" s="799"/>
    </row>
    <row r="4" spans="1:29" ht="36">
      <c r="A4" s="2440"/>
      <c r="B4" s="323" t="s">
        <v>2254</v>
      </c>
      <c r="C4" s="3457" t="s">
        <v>3393</v>
      </c>
      <c r="D4" s="2462"/>
      <c r="E4" s="2465"/>
      <c r="F4" s="1373" t="s">
        <v>2255</v>
      </c>
      <c r="G4" s="2466" t="s">
        <v>2256</v>
      </c>
      <c r="H4" s="799"/>
      <c r="I4" s="799"/>
      <c r="J4" s="799"/>
      <c r="K4" s="799"/>
      <c r="L4" s="799"/>
      <c r="M4" s="799"/>
      <c r="N4" s="799"/>
      <c r="O4" s="799"/>
      <c r="P4" s="799"/>
      <c r="Q4" s="799"/>
      <c r="R4" s="799"/>
    </row>
    <row r="5" spans="1:29" ht="24">
      <c r="A5" s="2440"/>
      <c r="B5" s="323" t="s">
        <v>2257</v>
      </c>
      <c r="C5" s="3457" t="s">
        <v>3393</v>
      </c>
      <c r="D5" s="2462"/>
      <c r="E5" s="2465"/>
      <c r="F5" s="323" t="s">
        <v>2258</v>
      </c>
      <c r="G5" s="2466" t="s">
        <v>2259</v>
      </c>
      <c r="H5" s="799"/>
      <c r="I5" s="799"/>
      <c r="J5" s="799"/>
      <c r="K5" s="799"/>
      <c r="L5" s="799"/>
      <c r="M5" s="799"/>
      <c r="N5" s="799"/>
      <c r="O5" s="799"/>
      <c r="P5" s="799"/>
      <c r="Q5" s="799"/>
      <c r="R5" s="799"/>
    </row>
    <row r="6" spans="1:29">
      <c r="A6" s="2440"/>
      <c r="B6" s="323" t="s">
        <v>2260</v>
      </c>
      <c r="C6" s="3458" t="s">
        <v>3394</v>
      </c>
      <c r="D6" s="2462"/>
      <c r="E6" s="2465"/>
      <c r="F6" s="323" t="s">
        <v>2261</v>
      </c>
      <c r="G6" s="2466" t="s">
        <v>2262</v>
      </c>
      <c r="H6" s="799"/>
      <c r="I6" s="799"/>
      <c r="J6" s="799"/>
      <c r="K6" s="799"/>
      <c r="L6" s="799"/>
      <c r="M6" s="799"/>
      <c r="N6" s="799"/>
      <c r="O6" s="799"/>
      <c r="P6" s="799"/>
      <c r="Q6" s="799"/>
      <c r="R6" s="799"/>
    </row>
    <row r="7" spans="1:29" ht="24.75" thickBot="1">
      <c r="A7" s="2440"/>
      <c r="B7" s="323" t="s">
        <v>2258</v>
      </c>
      <c r="C7" s="3458" t="s">
        <v>3394</v>
      </c>
      <c r="D7" s="2467"/>
      <c r="E7" s="2468"/>
      <c r="F7" s="2469" t="s">
        <v>2263</v>
      </c>
      <c r="G7" s="2470" t="s">
        <v>2264</v>
      </c>
      <c r="H7" s="799"/>
      <c r="I7" s="799"/>
      <c r="J7" s="799"/>
      <c r="K7" s="799"/>
      <c r="L7" s="799"/>
      <c r="M7" s="799"/>
      <c r="N7" s="799"/>
      <c r="O7" s="799"/>
      <c r="P7" s="799"/>
      <c r="Q7" s="799"/>
      <c r="R7" s="799"/>
    </row>
    <row r="8" spans="1:29">
      <c r="A8" s="2440"/>
      <c r="B8" s="323" t="s">
        <v>2261</v>
      </c>
      <c r="C8" s="3458" t="s">
        <v>3396</v>
      </c>
      <c r="D8" s="2467"/>
      <c r="E8" s="2467"/>
      <c r="F8" s="2471"/>
      <c r="G8" s="2471"/>
      <c r="H8" s="799"/>
      <c r="I8" s="799"/>
      <c r="J8" s="799"/>
      <c r="K8" s="799"/>
      <c r="L8" s="799"/>
      <c r="M8" s="799"/>
      <c r="N8" s="799"/>
      <c r="O8" s="799"/>
      <c r="P8" s="799"/>
      <c r="Q8" s="799"/>
      <c r="R8" s="799"/>
    </row>
    <row r="9" spans="1:29">
      <c r="A9" s="2440"/>
      <c r="B9" s="323" t="s">
        <v>2265</v>
      </c>
      <c r="C9" s="3457" t="s">
        <v>3394</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25.5">
      <c r="A18" s="2444"/>
      <c r="B18" s="2498" t="s">
        <v>2260</v>
      </c>
      <c r="C18" s="2499" t="str">
        <f>C6</f>
        <v>较好</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388.36</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45425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1467</v>
      </c>
      <c r="C5" s="2508">
        <f ca="1">IF(B5=D14,结果表!H102,ROUND(B5*10000/$B$1,0))</f>
        <v>37772</v>
      </c>
      <c r="D5" s="2508" t="e">
        <f ca="1">ROUND(B5*10000/$B$2,0)</f>
        <v>#DIV/0!</v>
      </c>
      <c r="E5" s="2682"/>
      <c r="F5" s="2683"/>
      <c r="G5" s="2683"/>
      <c r="H5" s="2684"/>
      <c r="I5" s="2684"/>
      <c r="J5" s="2684"/>
      <c r="K5" s="2684"/>
    </row>
    <row r="6" spans="1:11" ht="16.5">
      <c r="A6" s="2508" t="s">
        <v>656</v>
      </c>
      <c r="B6" s="2508">
        <f ca="1">SUM(G14:G23)</f>
        <v>1467</v>
      </c>
      <c r="C6" s="2508">
        <f ca="1">IF(B6=G14,结果表!H108,ROUND(B6*10000/$B$1,0))</f>
        <v>37772</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3356</v>
      </c>
      <c r="D10" s="2508" t="s">
        <v>3357</v>
      </c>
      <c r="E10" s="3437"/>
      <c r="F10" s="3441" t="s">
        <v>3358</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388.36</v>
      </c>
      <c r="C14" s="2514"/>
      <c r="D14" s="2514">
        <f ca="1">结果表!H101</f>
        <v>1467</v>
      </c>
      <c r="E14" s="2514">
        <f ca="1">ROUND(D14*10000/B14,0)</f>
        <v>37774</v>
      </c>
      <c r="F14" s="2514" t="e">
        <f ca="1">ROUND(D14*10000/C14,0)</f>
        <v>#DIV/0!</v>
      </c>
      <c r="G14" s="2514">
        <f ca="1">结果表!H107</f>
        <v>1467</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4" zoomScale="90" zoomScaleNormal="100" zoomScaleSheetLayoutView="90" zoomScalePageLayoutView="80" workbookViewId="0">
      <selection activeCell="J43" sqref="J4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7" t="str">
        <f>项目基本情况!S2</f>
        <v>北京市朝阳区阜通东大街1号院6号楼12层1单元111511房地产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4" t="s">
        <v>1265</v>
      </c>
      <c r="B4" s="1755" t="s">
        <v>1266</v>
      </c>
      <c r="C4" s="1756" t="s">
        <v>3446</v>
      </c>
      <c r="D4" s="1756" t="s">
        <v>3390</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630">
        <v>25</v>
      </c>
      <c r="C5" s="3633"/>
      <c r="D5" s="3621"/>
      <c r="E5" s="131" t="s">
        <v>1269</v>
      </c>
      <c r="F5" s="1757"/>
      <c r="G5" s="1757"/>
      <c r="H5" s="1757"/>
      <c r="I5" s="1373"/>
    </row>
    <row r="6" spans="1:12" ht="12.75">
      <c r="A6" s="3575"/>
      <c r="B6" s="3630"/>
      <c r="C6" s="3635"/>
      <c r="D6" s="3621"/>
      <c r="E6" s="131" t="s">
        <v>1270</v>
      </c>
      <c r="F6" s="1757"/>
      <c r="G6" s="1757"/>
      <c r="H6" s="1757"/>
      <c r="I6" s="1373"/>
    </row>
    <row r="7" spans="1:12" ht="12.75">
      <c r="A7" s="3575"/>
      <c r="B7" s="3630"/>
      <c r="C7" s="3634"/>
      <c r="D7" s="3621"/>
      <c r="E7" s="131" t="s">
        <v>1271</v>
      </c>
      <c r="F7" s="1757"/>
      <c r="G7" s="1757"/>
      <c r="H7" s="1757"/>
      <c r="I7" s="1373"/>
    </row>
    <row r="8" spans="1:12" ht="12.75">
      <c r="A8" s="3575" t="s">
        <v>1272</v>
      </c>
      <c r="B8" s="3630">
        <v>15</v>
      </c>
      <c r="C8" s="3633"/>
      <c r="D8" s="3621"/>
      <c r="E8" s="131" t="s">
        <v>1273</v>
      </c>
      <c r="F8" s="1757"/>
      <c r="G8" s="1757"/>
      <c r="H8" s="1757"/>
      <c r="I8" s="1373"/>
    </row>
    <row r="9" spans="1:12" ht="12.75">
      <c r="A9" s="3575"/>
      <c r="B9" s="3630"/>
      <c r="C9" s="3634"/>
      <c r="D9" s="3621"/>
      <c r="E9" s="131" t="s">
        <v>1274</v>
      </c>
      <c r="F9" s="1757"/>
      <c r="G9" s="1757"/>
      <c r="H9" s="1757"/>
      <c r="I9" s="1373"/>
    </row>
    <row r="10" spans="1:12" ht="12.75">
      <c r="A10" s="3575" t="s">
        <v>1275</v>
      </c>
      <c r="B10" s="3630">
        <v>15</v>
      </c>
      <c r="C10" s="3633"/>
      <c r="D10" s="3621"/>
      <c r="E10" s="131" t="s">
        <v>1276</v>
      </c>
      <c r="F10" s="1757"/>
      <c r="G10" s="1757"/>
      <c r="H10" s="1757"/>
      <c r="I10" s="1373"/>
    </row>
    <row r="11" spans="1:12" ht="12.75">
      <c r="A11" s="3575"/>
      <c r="B11" s="3630"/>
      <c r="C11" s="3634"/>
      <c r="D11" s="3621"/>
      <c r="E11" s="131" t="s">
        <v>1277</v>
      </c>
      <c r="F11" s="1757"/>
      <c r="G11" s="1757"/>
      <c r="H11" s="1757"/>
      <c r="I11" s="1373"/>
    </row>
    <row r="12" spans="1:12" ht="12.75">
      <c r="A12" s="3575" t="s">
        <v>1278</v>
      </c>
      <c r="B12" s="3630">
        <v>15</v>
      </c>
      <c r="C12" s="3633"/>
      <c r="D12" s="3621"/>
      <c r="E12" s="131" t="s">
        <v>1279</v>
      </c>
      <c r="F12" s="1757"/>
      <c r="G12" s="1757"/>
      <c r="H12" s="1757"/>
      <c r="I12" s="1373"/>
    </row>
    <row r="13" spans="1:12" ht="12.75">
      <c r="A13" s="3575"/>
      <c r="B13" s="3630"/>
      <c r="C13" s="3634"/>
      <c r="D13" s="3621"/>
      <c r="E13" s="131" t="s">
        <v>1280</v>
      </c>
      <c r="F13" s="1757"/>
      <c r="G13" s="1757"/>
      <c r="H13" s="1757"/>
      <c r="I13" s="1373"/>
    </row>
    <row r="14" spans="1:12" ht="12.75">
      <c r="A14" s="3575" t="s">
        <v>1281</v>
      </c>
      <c r="B14" s="3630">
        <v>30</v>
      </c>
      <c r="C14" s="3633">
        <v>5</v>
      </c>
      <c r="D14" s="3621">
        <f>10-C14</f>
        <v>5</v>
      </c>
      <c r="E14" s="131" t="s">
        <v>1282</v>
      </c>
      <c r="F14" s="1757"/>
      <c r="G14" s="1757"/>
      <c r="H14" s="1757"/>
      <c r="I14" s="1373"/>
    </row>
    <row r="15" spans="1:12" ht="12.75">
      <c r="A15" s="3575"/>
      <c r="B15" s="3630"/>
      <c r="C15" s="3635"/>
      <c r="D15" s="3621"/>
      <c r="E15" s="131" t="s">
        <v>1283</v>
      </c>
      <c r="F15" s="1757"/>
      <c r="G15" s="1757"/>
      <c r="H15" s="1757"/>
      <c r="I15" s="1373"/>
    </row>
    <row r="16" spans="1:12" ht="12.75">
      <c r="A16" s="3575"/>
      <c r="B16" s="3630"/>
      <c r="C16" s="3634"/>
      <c r="D16" s="362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2" t="s">
        <v>2131</v>
      </c>
      <c r="F18" s="3653"/>
      <c r="G18" s="3653"/>
      <c r="H18" s="3653"/>
      <c r="I18" s="3653"/>
      <c r="J18" s="3459"/>
      <c r="K18" s="302" t="s">
        <v>1289</v>
      </c>
      <c r="L18" s="302">
        <f>IF(C1="",'数据-汇总表'!E3,SUMIF(项目类型,C1,'数据-汇总表'!E17:E26)+SUMIF(项目类型,C1,'数据-汇总表'!I17:I26))</f>
        <v>388.36</v>
      </c>
      <c r="M18" s="302">
        <f>IF(C1="",'数据-汇总表'!E3,SUMIF(项目类型,C1,'数据-汇总表'!E17:E26))</f>
        <v>388.36</v>
      </c>
    </row>
    <row r="19" spans="1:36" ht="15">
      <c r="A19" s="1761" t="s">
        <v>1290</v>
      </c>
      <c r="B19" s="1762" t="s">
        <v>1291</v>
      </c>
      <c r="C19" s="134">
        <f ca="1">SUMIF(INDIRECT("'"&amp;C4&amp;"'"&amp;"!A:A"),结果表!B19,INDIRECT("'"&amp;C4&amp;"'"&amp;"!B:B"))</f>
        <v>1487.7683</v>
      </c>
      <c r="D19" s="135">
        <f ca="1">SUMIF(INDIRECT("'"&amp;D4&amp;"'"&amp;"!A:A"),结果表!B19,INDIRECT("'"&amp;D4&amp;"'"&amp;"!B:B"))</f>
        <v>1446.0465999999999</v>
      </c>
      <c r="E19" s="1761" t="s">
        <v>1292</v>
      </c>
      <c r="F19" s="1762" t="s">
        <v>1291</v>
      </c>
      <c r="G19" s="136">
        <f ca="1">ROUND(C19*$C$18+D19*$D$18,0)</f>
        <v>1467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38309</v>
      </c>
      <c r="D20" s="138">
        <f ca="1">SUMIF(INDIRECT("'"&amp;D4&amp;"'"&amp;"!A:A"),结果表!B20,INDIRECT("'"&amp;D4&amp;"'"&amp;"!B:B"))</f>
        <v>37235</v>
      </c>
      <c r="E20" s="1764"/>
      <c r="F20" s="1026" t="s">
        <v>1295</v>
      </c>
      <c r="G20" s="139">
        <f ca="1">ROUND(C20*$C$18+D20*$D$18,0)</f>
        <v>37772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2.8852251372811999E-2</v>
      </c>
      <c r="E22" s="129"/>
      <c r="F22" s="129"/>
      <c r="G22" s="129"/>
      <c r="H22" s="129"/>
      <c r="I22" s="129"/>
    </row>
    <row r="23" spans="1:36" ht="13.5" thickBot="1">
      <c r="A23" s="1747"/>
      <c r="B23" s="1747"/>
      <c r="C23" s="1747"/>
      <c r="D23" s="1747"/>
      <c r="E23" s="129"/>
      <c r="F23" s="129"/>
      <c r="G23" s="129"/>
      <c r="H23" s="129"/>
      <c r="I23" s="129"/>
    </row>
    <row r="24" spans="1:36" ht="14.25">
      <c r="A24" s="3645" t="s">
        <v>1299</v>
      </c>
      <c r="B24" s="1762" t="s">
        <v>1291</v>
      </c>
      <c r="C24" s="136">
        <f>IF(B30=0,0,D30)</f>
        <v>0</v>
      </c>
      <c r="D24" s="1769"/>
      <c r="E24" s="129"/>
      <c r="F24" s="129"/>
      <c r="G24" s="129"/>
      <c r="H24" s="129"/>
      <c r="I24" s="129"/>
    </row>
    <row r="25" spans="1:36" ht="14.25">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37772</v>
      </c>
      <c r="D32" s="1775" t="s">
        <v>3447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2" t="s">
        <v>1312</v>
      </c>
      <c r="B36" s="1787" t="s">
        <v>1313</v>
      </c>
      <c r="C36" s="145"/>
      <c r="D36" s="1788"/>
      <c r="E36" s="1789"/>
      <c r="F36" s="1790"/>
      <c r="G36" s="129"/>
      <c r="H36" s="129"/>
      <c r="I36" s="129"/>
    </row>
    <row r="37" spans="1:15" ht="15.75" thickBot="1">
      <c r="A37" s="3623"/>
      <c r="B37" s="1674" t="s">
        <v>1314</v>
      </c>
      <c r="C37" s="147"/>
      <c r="D37" s="1139"/>
      <c r="E37" s="1139"/>
      <c r="F37" s="1790"/>
      <c r="G37" s="129"/>
      <c r="H37" s="129"/>
      <c r="I37" s="129"/>
    </row>
    <row r="38" spans="1:15" ht="15.75" thickBot="1">
      <c r="A38" s="362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42" t="s">
        <v>1326</v>
      </c>
      <c r="B45" s="3643"/>
      <c r="C45" s="3644"/>
      <c r="D45" s="155">
        <f ca="1">ROUND(H101*F45,0)</f>
        <v>1467</v>
      </c>
      <c r="E45" s="156" t="s">
        <v>1327</v>
      </c>
      <c r="F45" s="157">
        <v>1</v>
      </c>
      <c r="G45" s="158" t="s">
        <v>1328</v>
      </c>
      <c r="H45" s="129"/>
      <c r="I45" s="129"/>
      <c r="J45" s="3562" t="s">
        <v>1329</v>
      </c>
      <c r="K45" s="3562"/>
      <c r="L45" s="3562"/>
      <c r="M45" s="3562"/>
      <c r="N45" s="3562"/>
      <c r="O45" s="3562"/>
    </row>
    <row r="46" spans="1:15" ht="14.25" hidden="1" customHeight="1">
      <c r="A46" s="3639" t="s">
        <v>1330</v>
      </c>
      <c r="B46" s="3640"/>
      <c r="C46" s="3640"/>
      <c r="D46" s="3640"/>
      <c r="E46" s="3640"/>
      <c r="F46" s="3640"/>
      <c r="G46" s="3641"/>
      <c r="H46" s="1806"/>
      <c r="I46" s="159"/>
      <c r="J46" s="2519">
        <v>1</v>
      </c>
      <c r="K46" s="3563" t="s">
        <v>1331</v>
      </c>
      <c r="L46" s="3563"/>
      <c r="M46" s="3564"/>
      <c r="N46" s="3564"/>
      <c r="O46" s="3564"/>
    </row>
    <row r="47" spans="1:15" ht="12" hidden="1" customHeight="1">
      <c r="A47" s="160" t="s">
        <v>1332</v>
      </c>
      <c r="B47" s="161"/>
      <c r="C47" s="162"/>
      <c r="D47" s="1087" t="s">
        <v>1333</v>
      </c>
      <c r="E47" s="302" t="s">
        <v>1334</v>
      </c>
      <c r="F47" s="163" t="s">
        <v>1335</v>
      </c>
      <c r="G47" s="2542" t="s">
        <v>1336</v>
      </c>
      <c r="H47" s="2543"/>
      <c r="I47" s="159"/>
      <c r="J47" s="2519">
        <v>2</v>
      </c>
      <c r="K47" s="3563" t="s">
        <v>1337</v>
      </c>
      <c r="L47" s="3563"/>
      <c r="M47" s="3565">
        <f>'数据-取费表'!B2</f>
        <v>45425</v>
      </c>
      <c r="N47" s="3565"/>
      <c r="O47" s="3565"/>
    </row>
    <row r="48" spans="1:15" ht="25.5" hidden="1">
      <c r="A48" s="3625" t="s">
        <v>1338</v>
      </c>
      <c r="B48" s="3626"/>
      <c r="C48" s="3626"/>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563" t="s">
        <v>1340</v>
      </c>
      <c r="L48" s="3563"/>
      <c r="M48" s="3566">
        <f ca="1">H101</f>
        <v>1467</v>
      </c>
      <c r="N48" s="3566"/>
      <c r="O48" s="3566"/>
    </row>
    <row r="49" spans="1:35" ht="25.5" hidden="1" customHeight="1">
      <c r="A49" s="2333" t="s">
        <v>1341</v>
      </c>
      <c r="B49" s="3611" t="s">
        <v>1342</v>
      </c>
      <c r="C49" s="3611"/>
      <c r="D49" s="1590">
        <v>0</v>
      </c>
      <c r="E49" s="324" t="s">
        <v>1343</v>
      </c>
      <c r="F49" s="2422" t="s">
        <v>28</v>
      </c>
      <c r="G49" s="3594"/>
      <c r="H49" s="2310" t="s">
        <v>2134</v>
      </c>
      <c r="I49" s="2311"/>
      <c r="J49" s="2519">
        <v>4</v>
      </c>
      <c r="K49" s="3563" t="str">
        <f>IF(项目基本情况!E8="房地产抵押价值","房地产抵押价值","抵押担保权已注销时的房地产抵押价值")</f>
        <v>房地产抵押价值</v>
      </c>
      <c r="L49" s="3563"/>
      <c r="M49" s="3566">
        <f ca="1">IF(项目基本情况!E8="房地产抵押价值",H107,H109)</f>
        <v>1467</v>
      </c>
      <c r="N49" s="3566"/>
      <c r="O49" s="3566"/>
    </row>
    <row r="50" spans="1:35" ht="25.5" hidden="1" customHeight="1">
      <c r="A50" s="2547"/>
      <c r="B50" s="3611" t="s">
        <v>1344</v>
      </c>
      <c r="C50" s="3611"/>
      <c r="D50" s="2548"/>
      <c r="E50" s="332"/>
      <c r="F50" s="2422"/>
      <c r="G50" s="3595"/>
      <c r="H50" s="2312" t="s">
        <v>2135</v>
      </c>
      <c r="I50" s="2311"/>
      <c r="J50" s="3562" t="s">
        <v>1345</v>
      </c>
      <c r="K50" s="3562"/>
      <c r="L50" s="3562"/>
      <c r="M50" s="3562"/>
      <c r="N50" s="3562"/>
      <c r="O50" s="3562"/>
    </row>
    <row r="51" spans="1:35" ht="20.45" hidden="1" customHeight="1">
      <c r="A51" s="2549"/>
      <c r="B51" s="3611" t="s">
        <v>1346</v>
      </c>
      <c r="C51" s="3611"/>
      <c r="D51" s="1087"/>
      <c r="E51" s="327"/>
      <c r="F51" s="2422"/>
      <c r="G51" s="3596"/>
      <c r="H51" s="2312" t="s">
        <v>2136</v>
      </c>
      <c r="I51" s="2311"/>
      <c r="J51" s="2520" t="s">
        <v>1347</v>
      </c>
      <c r="K51" s="3563" t="s">
        <v>1348</v>
      </c>
      <c r="L51" s="3563"/>
      <c r="M51" s="2520" t="s">
        <v>1349</v>
      </c>
      <c r="N51" s="2520" t="s">
        <v>1350</v>
      </c>
      <c r="O51" s="2520" t="s">
        <v>1351</v>
      </c>
    </row>
    <row r="52" spans="1:35" ht="24" hidden="1" customHeight="1">
      <c r="A52" s="2335" t="s">
        <v>1352</v>
      </c>
      <c r="B52" s="3611" t="s">
        <v>1353</v>
      </c>
      <c r="C52" s="3611"/>
      <c r="D52" s="1087">
        <f ca="1">ROUND(D45*'数据-取费表'!B41/(1+'数据-取费表'!C42),0)</f>
        <v>78</v>
      </c>
      <c r="E52" s="2334" t="s">
        <v>1354</v>
      </c>
      <c r="F52" s="2550">
        <f>'数据-取费表'!B41</f>
        <v>5.6000000000000001E-2</v>
      </c>
      <c r="G52" s="2551"/>
      <c r="H52" s="2540"/>
      <c r="I52" s="1807"/>
      <c r="J52" s="2519">
        <v>1</v>
      </c>
      <c r="K52" s="3588" t="s">
        <v>1355</v>
      </c>
      <c r="L52" s="3588"/>
      <c r="M52" s="2521" t="b">
        <f>D48</f>
        <v>0</v>
      </c>
      <c r="N52" s="2519" t="str">
        <f>E48</f>
        <v>销售额×税（费）率</v>
      </c>
      <c r="O52" s="2522">
        <f>F48</f>
        <v>5.6000000000000001E-2</v>
      </c>
    </row>
    <row r="53" spans="1:35" ht="12" hidden="1" customHeight="1">
      <c r="A53" s="2335" t="s">
        <v>1356</v>
      </c>
      <c r="B53" s="3612" t="s">
        <v>2287</v>
      </c>
      <c r="C53" s="3613"/>
      <c r="D53" s="1087">
        <f ca="1">ROUND(D45*'数据-取费表'!B41/(1+'数据-取费表'!C42),0)</f>
        <v>78</v>
      </c>
      <c r="E53" s="2334" t="s">
        <v>1354</v>
      </c>
      <c r="F53" s="2550">
        <f>'数据-取费表'!B41</f>
        <v>5.6000000000000001E-2</v>
      </c>
      <c r="G53" s="2551"/>
      <c r="H53" s="2540"/>
      <c r="I53" s="1807"/>
      <c r="J53" s="2519">
        <v>2</v>
      </c>
      <c r="K53" s="3588" t="s">
        <v>1357</v>
      </c>
      <c r="L53" s="3588"/>
      <c r="M53" s="2521">
        <f t="shared" ref="M53:O54" ca="1" si="0">D55</f>
        <v>1</v>
      </c>
      <c r="N53" s="2519" t="str">
        <f t="shared" si="0"/>
        <v>销售额×税（费）率</v>
      </c>
      <c r="O53" s="2522" t="str">
        <f t="shared" si="0"/>
        <v>免征</v>
      </c>
    </row>
    <row r="54" spans="1:35" ht="12" hidden="1" customHeight="1">
      <c r="A54" s="2335" t="s">
        <v>1358</v>
      </c>
      <c r="B54" s="3612" t="s">
        <v>2288</v>
      </c>
      <c r="C54" s="3613"/>
      <c r="D54" s="1087">
        <f ca="1">C68</f>
        <v>78</v>
      </c>
      <c r="E54" s="327" t="s">
        <v>1359</v>
      </c>
      <c r="F54" s="2550">
        <f>'数据-取费表'!B41</f>
        <v>5.6000000000000001E-2</v>
      </c>
      <c r="G54" s="2551"/>
      <c r="H54" s="2552"/>
      <c r="I54" s="1807"/>
      <c r="J54" s="2519">
        <v>3</v>
      </c>
      <c r="K54" s="3588" t="s">
        <v>1360</v>
      </c>
      <c r="L54" s="3588"/>
      <c r="M54" s="2521">
        <f t="shared" ca="1" si="0"/>
        <v>831</v>
      </c>
      <c r="N54" s="2519" t="str">
        <f t="shared" si="0"/>
        <v>增值额×税（费）率</v>
      </c>
      <c r="O54" s="2523" t="str">
        <f t="shared" si="0"/>
        <v>免征</v>
      </c>
    </row>
    <row r="55" spans="1:35" ht="24" hidden="1" customHeight="1">
      <c r="A55" s="3648" t="s">
        <v>1361</v>
      </c>
      <c r="B55" s="3626"/>
      <c r="C55" s="3626"/>
      <c r="D55" s="2324">
        <f ca="1">IF(H55="个人住宅",0,ROUND(D45*I55,0))</f>
        <v>1</v>
      </c>
      <c r="E55" s="2334" t="s">
        <v>1362</v>
      </c>
      <c r="F55" s="2550" t="str">
        <f>IF(H55="正常",I55,"免征")</f>
        <v>免征</v>
      </c>
      <c r="G55" s="2551"/>
      <c r="H55" s="2546"/>
      <c r="I55" s="165">
        <f>'数据-取费表'!B49</f>
        <v>5.0000000000000001E-4</v>
      </c>
      <c r="J55" s="2519">
        <f>IF(H59="非个人房产","",4)</f>
        <v>4</v>
      </c>
      <c r="K55" s="3588" t="str">
        <f>IF(H59="非个人房产","——","个人所得税")</f>
        <v>个人所得税</v>
      </c>
      <c r="L55" s="3588"/>
      <c r="M55" s="2524">
        <f ca="1">D59</f>
        <v>14</v>
      </c>
      <c r="N55" s="2040" t="str">
        <f>E59</f>
        <v>差额计税</v>
      </c>
      <c r="O55" s="2525">
        <f>F59</f>
        <v>0.01</v>
      </c>
    </row>
    <row r="56" spans="1:35" ht="24.75" hidden="1">
      <c r="A56" s="3648" t="s">
        <v>1363</v>
      </c>
      <c r="B56" s="3626"/>
      <c r="C56" s="3626"/>
      <c r="D56" s="2324">
        <f ca="1">IF(H56="个人住宅",D57,D58)</f>
        <v>831</v>
      </c>
      <c r="E56" s="2334" t="s">
        <v>1364</v>
      </c>
      <c r="F56" s="2550" t="str">
        <f>IF(H56="正常",F58,"免征")</f>
        <v>免征</v>
      </c>
      <c r="G56" s="2553" t="s">
        <v>1365</v>
      </c>
      <c r="H56" s="2554"/>
      <c r="I56" s="1808"/>
      <c r="J56" s="2519" t="str">
        <f>IF(项目基本情况!K6="上海银行",IF(J55="",4,J55+1),"")</f>
        <v/>
      </c>
      <c r="K56" s="3569" t="str">
        <f>IF(项目基本情况!K6="上海银行","其他处置费用","")</f>
        <v/>
      </c>
      <c r="L56" s="3570"/>
      <c r="M56" s="2521" t="str">
        <f>IF(项目基本情况!K6="上海银行",M69,"")</f>
        <v/>
      </c>
      <c r="N56" s="3569" t="str">
        <f>IF(项目基本情况!K6="上海银行","包含处置中涉及的律师、诉讼、拍卖、评估等费用","")</f>
        <v/>
      </c>
      <c r="O56" s="3572"/>
    </row>
    <row r="57" spans="1:35" ht="12.75" hidden="1">
      <c r="A57" s="2335" t="s">
        <v>1341</v>
      </c>
      <c r="B57" s="3612" t="s">
        <v>1366</v>
      </c>
      <c r="C57" s="3613"/>
      <c r="D57" s="1590">
        <v>0</v>
      </c>
      <c r="E57" s="324" t="s">
        <v>1343</v>
      </c>
      <c r="F57" s="302"/>
      <c r="G57" s="2551"/>
      <c r="H57" s="2555"/>
      <c r="I57" s="1808"/>
      <c r="J57" s="3588">
        <f>IF(AND(J55="",J56=""),4,IF(项目基本情况!K6="上海银行",结果表!J56+1,结果表!J55+1))</f>
        <v>5</v>
      </c>
      <c r="K57" s="3588" t="s">
        <v>1367</v>
      </c>
      <c r="L57" s="2526" t="s">
        <v>1368</v>
      </c>
      <c r="M57" s="2527"/>
      <c r="N57" s="2528">
        <f ca="1">SUMIF(M52:M56,"&lt;9e307")</f>
        <v>846</v>
      </c>
      <c r="O57" s="2529"/>
      <c r="P57" s="2686">
        <f ca="1">N57/M49</f>
        <v>0.57668711656441718</v>
      </c>
    </row>
    <row r="58" spans="1:35" ht="24.75" hidden="1">
      <c r="A58" s="2335" t="s">
        <v>1352</v>
      </c>
      <c r="B58" s="3612" t="s">
        <v>1369</v>
      </c>
      <c r="C58" s="3611"/>
      <c r="D58" s="2324">
        <f ca="1">IF(H58="转让取得",C81,C97)</f>
        <v>831</v>
      </c>
      <c r="E58" s="2334" t="s">
        <v>1364</v>
      </c>
      <c r="F58" s="302" t="s">
        <v>28</v>
      </c>
      <c r="G58" s="2551"/>
      <c r="H58" s="2554"/>
      <c r="I58" s="1808"/>
      <c r="J58" s="3588"/>
      <c r="K58" s="3588"/>
      <c r="L58" s="2526" t="s">
        <v>1370</v>
      </c>
      <c r="M58" s="2530"/>
      <c r="N58" s="2531" t="str">
        <f ca="1">NUMBERSTRING(INT(N57*10000),2)&amp;"元整"</f>
        <v>捌佰肆拾陆万元整</v>
      </c>
      <c r="O58" s="2532"/>
    </row>
    <row r="59" spans="1:35" ht="24.75" hidden="1" thickBot="1">
      <c r="A59" s="3592" t="s">
        <v>1371</v>
      </c>
      <c r="B59" s="3593"/>
      <c r="C59" s="3593"/>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590">
        <f>J57+1</f>
        <v>6</v>
      </c>
      <c r="K59" s="3588" t="s">
        <v>1372</v>
      </c>
      <c r="L59" s="2519" t="s">
        <v>1368</v>
      </c>
      <c r="M59" s="2533"/>
      <c r="N59" s="2534">
        <f ca="1">M49-N57</f>
        <v>621</v>
      </c>
      <c r="O59" s="2535"/>
    </row>
    <row r="60" spans="1:35" ht="12" hidden="1" customHeight="1">
      <c r="A60" s="1809"/>
      <c r="B60" s="1747"/>
      <c r="C60" s="1747"/>
      <c r="D60" s="1747"/>
      <c r="E60" s="1578"/>
      <c r="F60" s="1808"/>
      <c r="G60" s="1808"/>
      <c r="H60" s="1810"/>
      <c r="I60" s="129"/>
      <c r="J60" s="3591"/>
      <c r="K60" s="3588"/>
      <c r="L60" s="2526" t="s">
        <v>1370</v>
      </c>
      <c r="M60" s="2530"/>
      <c r="N60" s="2531" t="str">
        <f ca="1">NUMBERSTRING(INT(N59*10000),2)&amp;"元整"</f>
        <v>陆佰贰拾壹万元整</v>
      </c>
      <c r="O60" s="2532"/>
    </row>
    <row r="61" spans="1:35" ht="13.5" hidden="1" thickBot="1">
      <c r="A61" s="3647" t="s">
        <v>1373</v>
      </c>
      <c r="B61" s="3647"/>
      <c r="C61" s="3647"/>
      <c r="D61" s="3647"/>
      <c r="E61" s="3647"/>
      <c r="F61" s="1808"/>
      <c r="G61" s="1808"/>
      <c r="H61" s="1810"/>
      <c r="I61" s="129"/>
      <c r="J61" s="2519">
        <f>J59+1</f>
        <v>7</v>
      </c>
      <c r="K61" s="3588" t="s">
        <v>1374</v>
      </c>
      <c r="L61" s="3588"/>
      <c r="M61" s="2536"/>
      <c r="N61" s="2537">
        <f ca="1">ROUND(N59*10000/'数据-汇总表'!E3,0)</f>
        <v>15990</v>
      </c>
      <c r="O61" s="2538"/>
    </row>
    <row r="62" spans="1:35" ht="12.75" hidden="1">
      <c r="A62" s="3607" t="s">
        <v>1375</v>
      </c>
      <c r="B62" s="3608"/>
      <c r="C62" s="2021"/>
      <c r="D62" s="2021" t="s">
        <v>1376</v>
      </c>
      <c r="E62" s="166" t="s">
        <v>1377</v>
      </c>
      <c r="F62" s="1808"/>
      <c r="G62" s="1808"/>
      <c r="H62" s="1810"/>
      <c r="I62" s="129"/>
    </row>
    <row r="63" spans="1:35" ht="12.75" hidden="1">
      <c r="A63" s="173" t="s">
        <v>330</v>
      </c>
      <c r="B63" s="167" t="s">
        <v>1378</v>
      </c>
      <c r="C63" s="2560">
        <f ca="1">ROUND((C64+C65)/(1+'数据-取费表'!C42),0)</f>
        <v>1397</v>
      </c>
      <c r="D63" s="167"/>
      <c r="E63" s="168"/>
      <c r="F63" s="1808"/>
      <c r="G63" s="1808"/>
      <c r="H63" s="1810"/>
      <c r="I63" s="129"/>
      <c r="J63" s="3571" t="s">
        <v>1379</v>
      </c>
      <c r="K63" s="1332" t="s">
        <v>1380</v>
      </c>
      <c r="L63" s="1332">
        <f ca="1">IF(M49&gt;10000,M49*0.5%,IF(AND(M49&gt;1000,M49&lt;=10000),M49*1%,IF(AND(M49&gt;100,M49&lt;=1000),M49*3%,IF(AND(M49&gt;10,M49&lt;=100),M49*5%,M49*8%))))</f>
        <v>14.67</v>
      </c>
      <c r="M63" s="302">
        <f ca="1">ROUND(L63,1)</f>
        <v>14.7</v>
      </c>
      <c r="N63" s="2539"/>
      <c r="Z63" s="1752"/>
      <c r="AI63" s="1753"/>
    </row>
    <row r="64" spans="1:35" ht="14.25" hidden="1" customHeight="1">
      <c r="A64" s="169" t="s">
        <v>325</v>
      </c>
      <c r="B64" s="170" t="s">
        <v>1381</v>
      </c>
      <c r="C64" s="2561">
        <f ca="1">D45</f>
        <v>1467</v>
      </c>
      <c r="D64" s="170" t="s">
        <v>26</v>
      </c>
      <c r="E64" s="172"/>
      <c r="F64" s="1808"/>
      <c r="G64" s="1808"/>
      <c r="H64" s="1810"/>
      <c r="I64" s="129"/>
      <c r="J64" s="3571"/>
      <c r="K64" s="1332" t="s">
        <v>1382</v>
      </c>
      <c r="L64" s="1332">
        <f ca="1">IF(M49&gt;2000,M49*0.5%,IF(AND(M49&gt;1000,M49&lt;=2000),M49*0.6%,IF(AND(M49&gt;500,M49&lt;=1000),M49*0.7%,IF(AND(M49&gt;200,M49&lt;=500),M49*0.8%,IF(AND(M49&gt;100,M49&lt;=200),M49*0.9%,IF(AND(M49&gt;50,M49&lt;=100),M49*1%,IF(AND(M49&gt;20,M49&lt;=50),M49*1.5%,IF(AND(M49&gt;10,M49&lt;=20),M49*2%,IF(AND(M49&gt;1,M49&lt;=10),M49*2.5%)))))))))</f>
        <v>8.8019999999999996</v>
      </c>
      <c r="M64" s="302">
        <f t="shared" ref="M64:M65" ca="1" si="1">ROUND(L64,1)</f>
        <v>8.8000000000000007</v>
      </c>
      <c r="N64" s="2540" t="s">
        <v>1383</v>
      </c>
      <c r="Z64" s="1752"/>
      <c r="AI64" s="1753"/>
    </row>
    <row r="65" spans="1:35" ht="14.25" hidden="1" customHeight="1">
      <c r="A65" s="169" t="s">
        <v>326</v>
      </c>
      <c r="B65" s="170" t="s">
        <v>1384</v>
      </c>
      <c r="C65" s="2562"/>
      <c r="D65" s="170"/>
      <c r="E65" s="172"/>
      <c r="F65" s="1808"/>
      <c r="G65" s="1808"/>
      <c r="H65" s="1810"/>
      <c r="I65" s="129"/>
      <c r="J65" s="3571"/>
      <c r="K65" s="1332" t="s">
        <v>1385</v>
      </c>
      <c r="L65" s="1332">
        <f ca="1">IF(M49&gt;1000,M49*0.1%,IF(AND(M49&gt;500,M49&lt;=1000),M49*0.5%,IF(AND(M49&gt;50,M49&lt;=500),M49*1%,IF(AND(M49&gt;1,M49&lt;=50),M49*1.5%))))</f>
        <v>1.4670000000000001</v>
      </c>
      <c r="M65" s="302">
        <f t="shared" ca="1" si="1"/>
        <v>1.5</v>
      </c>
      <c r="N65" s="2540" t="s">
        <v>1383</v>
      </c>
      <c r="Z65" s="1752"/>
      <c r="AI65" s="1753"/>
    </row>
    <row r="66" spans="1:35" ht="14.25" hidden="1" customHeight="1">
      <c r="A66" s="173" t="s">
        <v>327</v>
      </c>
      <c r="B66" s="174" t="s">
        <v>1386</v>
      </c>
      <c r="C66" s="2563"/>
      <c r="D66" s="174" t="s">
        <v>26</v>
      </c>
      <c r="E66" s="1338" t="s">
        <v>671</v>
      </c>
      <c r="F66" s="1808"/>
      <c r="G66" s="1808"/>
      <c r="H66" s="1810"/>
      <c r="I66" s="129"/>
      <c r="J66" s="3571"/>
      <c r="K66" s="1332" t="s">
        <v>1387</v>
      </c>
      <c r="L66" s="1332">
        <f ca="1">M49*0.5%</f>
        <v>7.335</v>
      </c>
      <c r="M66" s="302">
        <f ca="1">IF(L66&gt;0.5,0.5,ROUND(L66,0))</f>
        <v>0.5</v>
      </c>
      <c r="N66" s="2540" t="s">
        <v>1388</v>
      </c>
      <c r="Z66" s="1752"/>
      <c r="AI66" s="1753"/>
    </row>
    <row r="67" spans="1:35" ht="14.25" hidden="1" customHeight="1">
      <c r="A67" s="173" t="s">
        <v>328</v>
      </c>
      <c r="B67" s="174" t="s">
        <v>1389</v>
      </c>
      <c r="C67" s="2564">
        <f ca="1">C63-C66</f>
        <v>1397</v>
      </c>
      <c r="D67" s="170" t="s">
        <v>26</v>
      </c>
      <c r="E67" s="172"/>
      <c r="F67" s="1808"/>
      <c r="G67" s="1808"/>
      <c r="H67" s="1810"/>
      <c r="I67" s="129"/>
      <c r="J67" s="3571"/>
      <c r="K67" s="1332" t="s">
        <v>1390</v>
      </c>
      <c r="L67" s="1332">
        <f ca="1">IF(M49&gt;=10000,(8.25+(M49-10000)*0.01%),IF(AND(M49&gt;=8000,M49&lt;10000),(7.85+(M49-8000)*0.02%),IF(AND(M49&gt;=5000,M49&lt;8000),(6.65+(M49-5000)*0.04%),IF(AND(M49&gt;=2000,M49&lt;5000),(4.25+(PM49-2000)*0.08%),IF(AND(M49&gt;=1000,M49&lt;2000),(2.75+(M49-1000)*0.15%),IF(AND(M49&gt;=100,M49&lt;1000),(0.5+(M49-100)*0.25%),IF(AND(M49&gt;0,M49&lt;100),M49*0.5%)))))))</f>
        <v>3.4504999999999999</v>
      </c>
      <c r="M67" s="302">
        <f ca="1">ROUND(L67*0.9,1)</f>
        <v>3.1</v>
      </c>
      <c r="N67" s="2539"/>
      <c r="Z67" s="1752"/>
      <c r="AI67" s="1753"/>
    </row>
    <row r="68" spans="1:35" ht="14.25" hidden="1" customHeight="1" thickBot="1">
      <c r="A68" s="176" t="s">
        <v>329</v>
      </c>
      <c r="B68" s="177" t="s">
        <v>1391</v>
      </c>
      <c r="C68" s="2565">
        <f ca="1">IF(C67&lt;=0,0,ROUND(C67*D68,0))</f>
        <v>78</v>
      </c>
      <c r="D68" s="2566">
        <f>'数据-取费表'!B41</f>
        <v>5.6000000000000001E-2</v>
      </c>
      <c r="E68" s="178"/>
      <c r="F68" s="1808"/>
      <c r="G68" s="1808"/>
      <c r="H68" s="1810"/>
      <c r="I68" s="129"/>
      <c r="J68" s="3571"/>
      <c r="K68" s="1332" t="s">
        <v>1392</v>
      </c>
      <c r="L68" s="1332">
        <f ca="1">IF(M49&gt;10000,M49*0.5%,IF(AND(M49&gt;5000,M49&lt;=10000),M49*1%,IF(AND(M49&gt;1000,M49&lt;=5000),M49*2%,IF(AND(M49&gt;200,M49&lt;=1000),M49*3%,M49*5%))))</f>
        <v>29.34</v>
      </c>
      <c r="M68" s="302">
        <f ca="1">ROUND(L68,1)</f>
        <v>29.3</v>
      </c>
      <c r="N68" s="2539"/>
      <c r="Z68" s="1752"/>
      <c r="AI68" s="1753"/>
    </row>
    <row r="69" spans="1:35" s="1772" customFormat="1" ht="16.5" hidden="1" customHeight="1">
      <c r="A69" s="1811"/>
      <c r="B69" s="1812"/>
      <c r="C69" s="1813"/>
      <c r="D69" s="1814"/>
      <c r="E69" s="1815"/>
      <c r="F69" s="1578"/>
      <c r="G69" s="1578"/>
      <c r="H69" s="1577"/>
      <c r="I69" s="1747"/>
      <c r="J69" s="3571"/>
      <c r="K69" s="1332" t="s">
        <v>1393</v>
      </c>
      <c r="L69" s="1332"/>
      <c r="M69" s="302">
        <f ca="1">ROUND(SUM(M63:M68),0)</f>
        <v>58</v>
      </c>
      <c r="N69" s="2541">
        <f ca="1">M69/M49</f>
        <v>3.9536468984321747E-2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5" t="s">
        <v>1394</v>
      </c>
      <c r="B70" s="3616"/>
      <c r="C70" s="3616"/>
      <c r="D70" s="3616"/>
      <c r="E70" s="3616"/>
      <c r="F70" s="3616"/>
      <c r="G70" s="3616"/>
      <c r="H70" s="3616"/>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07" t="s">
        <v>1375</v>
      </c>
      <c r="B71" s="3608"/>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4">
        <f ca="1">ROUND(D45/(1+'数据-取费表'!C42),0)</f>
        <v>1397</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4">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612" t="s">
        <v>1402</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8</v>
      </c>
      <c r="D78" s="2573">
        <f>'数据-取费表'!B43</f>
        <v>6.000000000000001E-3</v>
      </c>
      <c r="E78" s="3604" t="s">
        <v>1406</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4">
        <f ca="1">C72-C73</f>
        <v>1389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173.625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5">
        <f ca="1">ROUND(IF(C79&lt;=0,0,IF(C80&gt;=200%,C79*60%-C73*35%,IF(C80&gt;=100%,C79*50%-C73*15%,IF(C80&gt;=50%,C79*40%-C73*5%,IF(C80&lt;50%,C79*30%,0))))),0)</f>
        <v>831</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7" t="s">
        <v>1375</v>
      </c>
      <c r="B84" s="360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4">
        <f ca="1">ROUND(D45/(1+'数据-取费表'!C42),0)</f>
        <v>1397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4">
        <f ca="1">IF(H88="仅含出让金",C87+C90+C91+C92+C93+C94,C87+C91+C92+C93+C94)</f>
        <v>8</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8"/>
      <c r="D90" s="2573"/>
      <c r="E90" s="193" t="str">
        <f>IF(H88="-","土地取得成本中已包含该笔费用"," ")</f>
        <v xml:space="preserve"> </v>
      </c>
      <c r="F90" s="2327"/>
      <c r="G90" s="3573" t="s">
        <v>2129</v>
      </c>
      <c r="H90" s="3574"/>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604" t="s">
        <v>1419</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604" t="s">
        <v>1422</v>
      </c>
      <c r="F92" s="3605"/>
      <c r="G92" s="3605"/>
      <c r="H92" s="3606"/>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8</v>
      </c>
      <c r="D93" s="2573">
        <f>'数据-取费表'!B43</f>
        <v>6.000000000000001E-3</v>
      </c>
      <c r="E93" s="3604" t="s">
        <v>1406</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649" t="s">
        <v>1426</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4">
        <f ca="1">ROUND(C85-C86,0)</f>
        <v>1389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173.625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5">
        <f ca="1">ROUND(IF(C95&lt;=0,0,IF(C96&gt;=200%,C95*60%-C86*35%,IF(C96&gt;=100%,C95*50%-C86*15%,IF(C96&gt;=50%,C95*40%-C86*5%,IF(C96&lt;50%,C95*30%,0))))),0)</f>
        <v>831</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81" t="str">
        <f>C4</f>
        <v>比较法-办公</v>
      </c>
      <c r="D101" s="2582" t="str">
        <f>D4</f>
        <v>收益法 (元)</v>
      </c>
      <c r="E101" s="3567" t="s">
        <v>1431</v>
      </c>
      <c r="F101" s="3568"/>
      <c r="G101" s="1827" t="s">
        <v>1432</v>
      </c>
      <c r="H101" s="2591">
        <f ca="1">H118</f>
        <v>1467</v>
      </c>
      <c r="I101" s="129"/>
    </row>
    <row r="102" spans="1:35" ht="18.75" customHeight="1">
      <c r="A102" s="3599" t="s">
        <v>1433</v>
      </c>
      <c r="B102" s="2580" t="s">
        <v>1432</v>
      </c>
      <c r="C102" s="2581">
        <f ca="1">IF(D32="楼面单价",ROUND(C19,0),C19)</f>
        <v>1488</v>
      </c>
      <c r="D102" s="2582">
        <f ca="1">IF(D32="楼面单价",ROUND(D19,0),D19)</f>
        <v>1446</v>
      </c>
      <c r="E102" s="3567"/>
      <c r="F102" s="3568"/>
      <c r="G102" s="1827" t="s">
        <v>1434</v>
      </c>
      <c r="H102" s="2551">
        <f ca="1">I118</f>
        <v>37772</v>
      </c>
      <c r="I102" s="129"/>
    </row>
    <row r="103" spans="1:35" ht="42.75" customHeight="1">
      <c r="A103" s="3599"/>
      <c r="B103" s="2580" t="s">
        <v>1434</v>
      </c>
      <c r="C103" s="2583">
        <f ca="1">C20</f>
        <v>38309</v>
      </c>
      <c r="D103" s="2584">
        <f ca="1">D20</f>
        <v>37235</v>
      </c>
      <c r="E103" s="3560" t="s">
        <v>1435</v>
      </c>
      <c r="F103" s="3561"/>
      <c r="G103" s="1828" t="s">
        <v>1436</v>
      </c>
      <c r="H103" s="2591">
        <f>IF(D36="正常操作",H104+H105+H106,H105+H106)</f>
        <v>0</v>
      </c>
      <c r="I103" s="129"/>
    </row>
    <row r="104" spans="1:35" ht="18.75" customHeight="1">
      <c r="A104" s="3599" t="s">
        <v>1437</v>
      </c>
      <c r="B104" s="2585" t="s">
        <v>1432</v>
      </c>
      <c r="C104" s="2586">
        <f ca="1">H118</f>
        <v>1467</v>
      </c>
      <c r="D104" s="2587"/>
      <c r="E104" s="1674" t="s">
        <v>1438</v>
      </c>
      <c r="F104" s="1666"/>
      <c r="G104" s="1828" t="s">
        <v>1436</v>
      </c>
      <c r="H104" s="2592">
        <f>IF(D36="同一抵押权人同一抵押物续贷",C36&amp;"（续贷，未扣减，详见特别提示）",C36)</f>
        <v>0</v>
      </c>
      <c r="I104" s="129"/>
    </row>
    <row r="105" spans="1:35" ht="18.75" customHeight="1" thickBot="1">
      <c r="A105" s="3609"/>
      <c r="B105" s="2588" t="s">
        <v>1434</v>
      </c>
      <c r="C105" s="2589">
        <f ca="1">I118</f>
        <v>37772</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00" t="str">
        <f>IF(项目基本情况!E8="已注销","——","3.房地产抵押价值")</f>
        <v>3.房地产抵押价值</v>
      </c>
      <c r="F107" s="3568"/>
      <c r="G107" s="1827" t="s">
        <v>1432</v>
      </c>
      <c r="H107" s="2591">
        <f ca="1">IF(E107="——","——",H101-H103)</f>
        <v>1467</v>
      </c>
      <c r="I107" s="129"/>
    </row>
    <row r="108" spans="1:35" ht="18.75" customHeight="1">
      <c r="A108" s="129"/>
      <c r="B108" s="129"/>
      <c r="C108" s="129"/>
      <c r="D108" s="129"/>
      <c r="E108" s="3600"/>
      <c r="F108" s="3568"/>
      <c r="G108" s="1827" t="s">
        <v>1434</v>
      </c>
      <c r="H108" s="2551">
        <f ca="1">IF(H107=H101,H102,ROUND(H107*10000/'数据-汇总表'!E3,0))</f>
        <v>37772</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1432</v>
      </c>
      <c r="H109" s="2594" t="str">
        <f>IF(E109="——","——",H101-H105-H106)</f>
        <v>——</v>
      </c>
      <c r="I109" s="129"/>
    </row>
    <row r="110" spans="1:35" ht="18.75" customHeight="1">
      <c r="A110" s="129"/>
      <c r="B110" s="129"/>
      <c r="C110" s="129"/>
      <c r="D110" s="129"/>
      <c r="E110" s="3600"/>
      <c r="F110" s="3568"/>
      <c r="G110" s="1827" t="s">
        <v>1434</v>
      </c>
      <c r="H110" s="2551"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7" t="s">
        <v>1432</v>
      </c>
      <c r="H111" s="2591" t="str">
        <f>IF(E111="——","——",N59)</f>
        <v>——</v>
      </c>
      <c r="I111" s="129"/>
    </row>
    <row r="112" spans="1:35" ht="18.75" customHeight="1" thickBot="1">
      <c r="A112" s="129"/>
      <c r="B112" s="129"/>
      <c r="C112" s="129"/>
      <c r="D112" s="129"/>
      <c r="E112" s="3602"/>
      <c r="F112" s="3603"/>
      <c r="G112" s="1830" t="s">
        <v>1434</v>
      </c>
      <c r="H112" s="2595"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9" t="s">
        <v>1449</v>
      </c>
      <c r="E117" s="2329" t="s">
        <v>1450</v>
      </c>
      <c r="F117" s="2329" t="s">
        <v>1449</v>
      </c>
      <c r="G117" s="2329" t="s">
        <v>1451</v>
      </c>
      <c r="H117" s="2329" t="s">
        <v>1449</v>
      </c>
      <c r="I117" s="2329" t="s">
        <v>1451</v>
      </c>
    </row>
    <row r="118" spans="1:27" ht="24.75" customHeight="1">
      <c r="A118" s="2596" t="str">
        <f>项目基本情况!S2</f>
        <v>北京市朝阳区阜通东大街1号院6号楼12层1单元111511房地产</v>
      </c>
      <c r="B118" s="2329">
        <f>M18</f>
        <v>388.36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1467</v>
      </c>
      <c r="I118" s="2329">
        <f ca="1">ROUND(IF(D32="楼面单价",C32,H118*10000/B118),0)</f>
        <v>37772</v>
      </c>
    </row>
    <row r="119" spans="1:27" ht="18.75" customHeight="1">
      <c r="A119" s="3575" t="s">
        <v>1452</v>
      </c>
      <c r="B119" s="3575"/>
      <c r="C119" s="3575"/>
      <c r="D119" s="3581" t="e">
        <f ca="1">NUMBERSTRING(INT(D118*10000),2)&amp;"元整"</f>
        <v>#REF!</v>
      </c>
      <c r="E119" s="3582"/>
      <c r="F119" s="3581" t="e">
        <f ca="1">NUMBERSTRING(INT(F118*10000),2)&amp;"元整"</f>
        <v>#REF!</v>
      </c>
      <c r="G119" s="3582"/>
      <c r="H119" s="3581" t="str">
        <f ca="1">NUMBERSTRING(INT(H118*10000),2)&amp;"元整"</f>
        <v>壹仟肆佰陆拾柒万元整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房地产抵押价值</v>
      </c>
      <c r="B122" s="3587"/>
      <c r="C122" s="3587"/>
      <c r="D122" s="3576">
        <f ca="1">H107</f>
        <v>1467</v>
      </c>
      <c r="E122" s="3577"/>
      <c r="F122" s="3577"/>
      <c r="G122" s="3577"/>
      <c r="H122" s="3577"/>
      <c r="I122" s="3578"/>
      <c r="AA122" s="725"/>
    </row>
    <row r="123" spans="1:27" ht="18.75" customHeight="1">
      <c r="A123" s="3575" t="s">
        <v>1452</v>
      </c>
      <c r="B123" s="3575"/>
      <c r="C123" s="3575"/>
      <c r="D123" s="3581" t="str">
        <f ca="1">NUMBERSTRING(INT(D122*10000),2)&amp;"元整"</f>
        <v>壹仟肆佰陆拾柒万元整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1452</v>
      </c>
      <c r="B127" s="3575"/>
      <c r="C127" s="3575"/>
      <c r="D127" s="3581" t="e">
        <f>NUMBERSTRING(INT(D126*10000),2)&amp;"元整"</f>
        <v>#VALUE!</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8</v>
      </c>
      <c r="D10" s="845">
        <f ca="1">IF(B1="",'数据-汇总表'!E6,IF(INDIRECT("'数据-取费表'!c"&amp;$G$1)="住宅",INDIRECT("'数据-取费表'!s"&amp;$G$1),INDIRECT("'数据-取费表'!k"&amp;$G$1)+INDIRECT("'数据-取费表'!s"&amp;$G$1)))</f>
        <v>388.36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v>
      </c>
      <c r="D19" s="849">
        <f ca="1">D9+D10</f>
        <v>388.36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175</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v>
      </c>
      <c r="D37" s="217">
        <f ca="1">D19</f>
        <v>388.36</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654" t="s">
        <v>1544</v>
      </c>
    </row>
    <row r="43" spans="1:7" ht="13.5" customHeight="1">
      <c r="A43" s="780" t="s">
        <v>347</v>
      </c>
      <c r="B43" s="215" t="s">
        <v>1545</v>
      </c>
      <c r="C43" s="238">
        <f ca="1">ROUND(IF('数据-取费表'!B22&lt;=1,C39*F22*'数据-取费表'!B21/2,C39*(POWER((1+F22),'数据-取费表'!B21/2)-1)),0)</f>
        <v>0</v>
      </c>
      <c r="D43" s="238"/>
      <c r="E43" s="238"/>
      <c r="F43" s="239"/>
      <c r="G43" s="3655"/>
    </row>
    <row r="44" spans="1:7" ht="13.5" customHeight="1">
      <c r="A44" s="780" t="s">
        <v>348</v>
      </c>
      <c r="B44" s="215" t="s">
        <v>1546</v>
      </c>
      <c r="C44" s="238">
        <f ca="1">ROUND(IF('数据-取费表'!B22&lt;=1,C40*F22*'数据-取费表'!B21/2,C40*(POWER((1+F22),'数据-取费表'!B21/2)-1)),4)</f>
        <v>6.9999999999999999E-4</v>
      </c>
      <c r="D44" s="238"/>
      <c r="E44" s="238"/>
      <c r="F44" s="239"/>
      <c r="G44" s="3656"/>
    </row>
    <row r="45" spans="1:7" s="214" customFormat="1" ht="13.5" customHeight="1">
      <c r="A45" s="255" t="s">
        <v>1547</v>
      </c>
      <c r="B45" s="244" t="s">
        <v>1513</v>
      </c>
      <c r="C45" s="245">
        <f ca="1">C46</f>
        <v>29</v>
      </c>
      <c r="D45" s="235">
        <f ca="1">C47</f>
        <v>3.0000000000000001E-3</v>
      </c>
      <c r="E45" s="236" t="s">
        <v>1539</v>
      </c>
      <c r="F45" s="246">
        <f ca="1">F27</f>
        <v>0.15</v>
      </c>
      <c r="G45" s="247" t="s">
        <v>1548</v>
      </c>
    </row>
    <row r="46" spans="1:7" s="214" customFormat="1" ht="13.5" customHeight="1">
      <c r="A46" s="780" t="s">
        <v>346</v>
      </c>
      <c r="B46" s="248" t="s">
        <v>1549</v>
      </c>
      <c r="C46" s="249">
        <f ca="1">ROUND((C33+C39)*F27,0)</f>
        <v>29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250</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208</v>
      </c>
      <c r="D51" s="232"/>
      <c r="E51" s="232"/>
      <c r="F51" s="264"/>
      <c r="G51" s="234" t="s">
        <v>1560</v>
      </c>
    </row>
    <row r="52" spans="1:7" s="208" customFormat="1" ht="16.5" thickBot="1">
      <c r="A52" s="265" t="s">
        <v>1561</v>
      </c>
      <c r="B52" s="266"/>
      <c r="C52" s="267">
        <f ca="1">C31+C51</f>
        <v>230</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北京市朝阳区阜通东大街1号院6号楼12层1单元111511房地产抵押价值预评估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t="str">
        <f>项目基本情况!B5</f>
        <v>中国银行股份有限公司北京国贸支行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227.78899999999999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77672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77672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77672</v>
      </c>
      <c r="D10" s="845">
        <f ca="1">IF(B1="",'数据-汇总表'!E6,IF(INDIRECT("'数据-取费表'!c"&amp;$G$1)="住宅",INDIRECT("'数据-取费表'!s"&amp;$G$1),INDIRECT("'数据-取费表'!k"&amp;$G$1)+INDIRECT("'数据-取费表'!s"&amp;$G$1)))</f>
        <v>388.36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77672</v>
      </c>
      <c r="D19" s="849">
        <f ca="1">D9+D10</f>
        <v>388.36</v>
      </c>
      <c r="E19" s="211">
        <f>'数据-取费表'!B31</f>
        <v>200</v>
      </c>
      <c r="F19" s="231"/>
      <c r="G19" s="1856"/>
    </row>
    <row r="20" spans="1:7" s="214" customFormat="1" ht="13.5" customHeight="1">
      <c r="A20" s="255" t="s">
        <v>1574</v>
      </c>
      <c r="B20" s="210" t="s">
        <v>1575</v>
      </c>
      <c r="C20" s="232">
        <f ca="1">ROUND((C5+C19)*F20,0)</f>
        <v>3107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11011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5452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5452</v>
      </c>
      <c r="D24" s="238"/>
      <c r="E24" s="238"/>
      <c r="F24" s="239"/>
      <c r="G24" s="240" t="s">
        <v>1586</v>
      </c>
    </row>
    <row r="25" spans="1:7" s="214" customFormat="1" ht="24">
      <c r="A25" s="780" t="s">
        <v>1476</v>
      </c>
      <c r="B25" s="215" t="s">
        <v>1587</v>
      </c>
      <c r="C25" s="1128">
        <f ca="1">ROUND(IF('数据-取费表'!B22&lt;=1,C20*F22*'数据-取费表'!B22/2,C20*(POWER((1+F22),'数据-取费表'!B22/2)-1)),0)</f>
        <v>107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23768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23768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209350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1903935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1747620</v>
      </c>
      <c r="D34" s="217"/>
      <c r="E34" s="220"/>
      <c r="F34" s="257"/>
      <c r="G34" s="219"/>
    </row>
    <row r="35" spans="1:7" ht="13.5" customHeight="1">
      <c r="A35" s="780" t="s">
        <v>351</v>
      </c>
      <c r="B35" s="215" t="s">
        <v>1527</v>
      </c>
      <c r="C35" s="220">
        <f ca="1">ROUND(C34*F35,0)</f>
        <v>52429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77672</v>
      </c>
      <c r="D37" s="217">
        <f ca="1">D19</f>
        <v>388.36</v>
      </c>
      <c r="E37" s="249">
        <f>'数据-取费表'!B35</f>
        <v>200</v>
      </c>
      <c r="F37" s="259"/>
      <c r="G37" s="261"/>
    </row>
    <row r="38" spans="1:7" ht="13.5" customHeight="1">
      <c r="A38" s="780" t="s">
        <v>354</v>
      </c>
      <c r="B38" s="215" t="s">
        <v>1533</v>
      </c>
      <c r="C38" s="220">
        <f ca="1">ROUND(C34*F38,0)</f>
        <v>26214</v>
      </c>
      <c r="D38" s="220"/>
      <c r="E38" s="220"/>
      <c r="F38" s="259">
        <f>'数据-取费表'!B36</f>
        <v>1.4999999999999999E-2</v>
      </c>
      <c r="G38" s="219" t="s">
        <v>1528</v>
      </c>
    </row>
    <row r="39" spans="1:7" s="214" customFormat="1" ht="13.5" customHeight="1">
      <c r="A39" s="255" t="s">
        <v>1534</v>
      </c>
      <c r="B39" s="210" t="s">
        <v>1535</v>
      </c>
      <c r="C39" s="232">
        <f ca="1">ROUND(C33*F20,0)</f>
        <v>38079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67000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65686</v>
      </c>
      <c r="D42" s="238"/>
      <c r="E42" s="238"/>
      <c r="F42" s="239"/>
      <c r="G42" s="3654" t="s">
        <v>1591</v>
      </c>
    </row>
    <row r="43" spans="1:7" ht="13.5" customHeight="1">
      <c r="A43" s="780" t="s">
        <v>347</v>
      </c>
      <c r="B43" s="215" t="s">
        <v>1545</v>
      </c>
      <c r="C43" s="238">
        <f ca="1">ROUND(IF('数据-取费表'!B22&lt;=1,C39*F22*'数据-取费表'!B20/2,C39*(POWER((1+F22),'数据-取费表'!B20/2)-1)),0)</f>
        <v>1314</v>
      </c>
      <c r="D43" s="238"/>
      <c r="E43" s="238"/>
      <c r="F43" s="239"/>
      <c r="G43" s="3655"/>
    </row>
    <row r="44" spans="1:7" ht="13.5" customHeight="1">
      <c r="A44" s="780" t="s">
        <v>348</v>
      </c>
      <c r="B44" s="215" t="s">
        <v>1546</v>
      </c>
      <c r="C44" s="238">
        <f ca="1">ROUND(IF('数据-取费表'!B22&lt;=1,C40*F22*'数据-取费表'!B20/2,C40*(POWER((1+F22),'数据-取费表'!B20/2)-1)),4)</f>
        <v>6.9999999999999999E-4</v>
      </c>
      <c r="D44" s="238"/>
      <c r="E44" s="238"/>
      <c r="F44" s="239"/>
      <c r="G44" s="3656"/>
    </row>
    <row r="45" spans="1:7" s="214" customFormat="1" ht="13.5" customHeight="1">
      <c r="A45" s="255" t="s">
        <v>1547</v>
      </c>
      <c r="B45" s="244" t="s">
        <v>1513</v>
      </c>
      <c r="C45" s="245">
        <f ca="1">C46</f>
        <v>291302</v>
      </c>
      <c r="D45" s="235">
        <f ca="1">C47</f>
        <v>3.0000000000000001E-3</v>
      </c>
      <c r="E45" s="236" t="s">
        <v>1539</v>
      </c>
      <c r="F45" s="246">
        <f ca="1">F27</f>
        <v>0.15</v>
      </c>
      <c r="G45" s="247" t="s">
        <v>1548</v>
      </c>
    </row>
    <row r="46" spans="1:7" s="214" customFormat="1" ht="13.5" customHeight="1">
      <c r="A46" s="780" t="s">
        <v>346</v>
      </c>
      <c r="B46" s="248" t="s">
        <v>1549</v>
      </c>
      <c r="C46" s="249">
        <f ca="1">ROUND((C33+C39)*F27,0)</f>
        <v>291302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2492217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2068540</v>
      </c>
      <c r="D51" s="232"/>
      <c r="E51" s="232"/>
      <c r="F51" s="264"/>
      <c r="G51" s="234" t="s">
        <v>1560</v>
      </c>
    </row>
    <row r="52" spans="1:7" s="208" customFormat="1" ht="16.5" thickBot="1">
      <c r="A52" s="265" t="s">
        <v>1561</v>
      </c>
      <c r="B52" s="266"/>
      <c r="C52" s="267">
        <f ca="1">C31+C51</f>
        <v>2277890</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388.36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388.36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v>
      </c>
      <c r="D20" s="846">
        <f ca="1">IF(C1="",'数据-汇总表'!E6,IF(INDIRECT("'数据-取费表'!c"&amp;$K$1)="住宅",INDIRECT("'数据-取费表'!s"&amp;$K$1),INDIRECT("'数据-取费表'!k"&amp;$K$1)+INDIRECT("'数据-取费表'!s"&amp;$K$1)))</f>
        <v>388.36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2109</v>
      </c>
      <c r="E6" s="302" t="s">
        <v>696</v>
      </c>
      <c r="F6" s="303">
        <f ca="1">INDIRECT("'数据-取费表'!u"&amp;$G$1)</f>
        <v>0</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M48" sqref="M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3413</v>
      </c>
      <c r="F1" s="1879" t="s">
        <v>3401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1487.7683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38309</v>
      </c>
      <c r="C3" s="354" t="s">
        <v>1768</v>
      </c>
      <c r="D3" s="353">
        <f>IF(D1="",'数据-汇总表'!E3,SUMIF('数据-汇总表'!$C19:$C33,D1,'数据-汇总表'!$E19:$E33))</f>
        <v>388.36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687" t="s">
        <v>1775</v>
      </c>
      <c r="Q4" s="3688"/>
      <c r="R4" s="3667" t="s">
        <v>1771</v>
      </c>
      <c r="S4" s="3668"/>
      <c r="T4" s="3667" t="s">
        <v>1772</v>
      </c>
      <c r="U4" s="3668"/>
      <c r="V4" s="3695" t="s">
        <v>1773</v>
      </c>
      <c r="W4" s="3695"/>
      <c r="X4" s="1958"/>
      <c r="Y4" s="3667" t="s">
        <v>1775</v>
      </c>
      <c r="Z4" s="3668"/>
      <c r="AA4" s="3662" t="s">
        <v>1771</v>
      </c>
      <c r="AB4" s="3662" t="s">
        <v>1772</v>
      </c>
      <c r="AC4" s="3680" t="s">
        <v>1773</v>
      </c>
    </row>
    <row r="5" spans="1:29" ht="15">
      <c r="A5" s="358"/>
      <c r="B5" s="359"/>
      <c r="C5" s="3673" t="s">
        <v>1673</v>
      </c>
      <c r="D5" s="3674"/>
      <c r="E5" s="3671" t="str">
        <f>案例!A2</f>
        <v>望京SOHO</v>
      </c>
      <c r="F5" s="3672"/>
      <c r="G5" s="3673" t="str">
        <f>案例!A3</f>
        <v>方恒国际中心</v>
      </c>
      <c r="H5" s="3674"/>
      <c r="I5" s="3673" t="str">
        <f>案例!A4</f>
        <v>方恒国际中心</v>
      </c>
      <c r="J5" s="3674"/>
      <c r="K5" s="559"/>
      <c r="L5" s="2711"/>
      <c r="M5" s="2712"/>
      <c r="N5" s="2712"/>
      <c r="O5" s="2712"/>
      <c r="P5" s="3689"/>
      <c r="Q5" s="3690"/>
      <c r="R5" s="3669"/>
      <c r="S5" s="3670"/>
      <c r="T5" s="3669"/>
      <c r="U5" s="3670"/>
      <c r="V5" s="3696"/>
      <c r="W5" s="3696"/>
      <c r="X5" s="1355"/>
      <c r="Y5" s="3669"/>
      <c r="Z5" s="3670"/>
      <c r="AA5" s="3663"/>
      <c r="AB5" s="3663"/>
      <c r="AC5" s="3681"/>
    </row>
    <row r="6" spans="1:29" ht="15.75" thickBot="1">
      <c r="A6" s="360"/>
      <c r="B6" s="361"/>
      <c r="C6" s="3675" t="s">
        <v>1677</v>
      </c>
      <c r="D6" s="3676"/>
      <c r="E6" s="3677" t="s">
        <v>1677</v>
      </c>
      <c r="F6" s="3678"/>
      <c r="G6" s="3675" t="s">
        <v>1677</v>
      </c>
      <c r="H6" s="3676"/>
      <c r="I6" s="3675" t="s">
        <v>1677</v>
      </c>
      <c r="J6" s="3676"/>
      <c r="K6" s="559" t="s">
        <v>1678</v>
      </c>
      <c r="L6" s="2711"/>
      <c r="M6" s="2712"/>
      <c r="N6" s="2712"/>
      <c r="O6" s="2712"/>
      <c r="P6" s="3691"/>
      <c r="Q6" s="3692"/>
      <c r="R6" s="3669"/>
      <c r="S6" s="3670"/>
      <c r="T6" s="3693"/>
      <c r="U6" s="3694"/>
      <c r="V6" s="3696"/>
      <c r="W6" s="3696"/>
      <c r="X6" s="1355"/>
      <c r="Y6" s="3693"/>
      <c r="Z6" s="3694"/>
      <c r="AA6" s="3664"/>
      <c r="AB6" s="3664"/>
      <c r="AC6" s="3682"/>
    </row>
    <row r="7" spans="1:29" s="108" customFormat="1" ht="15.75" thickBot="1">
      <c r="A7" s="362" t="s">
        <v>1679</v>
      </c>
      <c r="B7" s="363"/>
      <c r="C7" s="364">
        <f>'数据-取费表'!B2</f>
        <v>45425</v>
      </c>
      <c r="D7" s="365">
        <v>100</v>
      </c>
      <c r="E7" s="366">
        <f>C7</f>
        <v>45425</v>
      </c>
      <c r="F7" s="367">
        <f>SUMIF(59:59,YEAR(E7)&amp;"-"&amp;MONTH(E7),60:60)</f>
        <v>100</v>
      </c>
      <c r="G7" s="366">
        <f>C7</f>
        <v>45425</v>
      </c>
      <c r="H7" s="365">
        <f>SUMIF(59:59,YEAR(G7)&amp;"-"&amp;MONTH(G7),60:60)</f>
        <v>100</v>
      </c>
      <c r="I7" s="366">
        <f>C7</f>
        <v>45425</v>
      </c>
      <c r="J7" s="365">
        <f>SUMIF(59:59,YEAR(I7)&amp;"-"&amp;MONTH(I7),60:60)</f>
        <v>100</v>
      </c>
      <c r="K7" s="560"/>
      <c r="L7" s="2713"/>
      <c r="M7" s="2714"/>
      <c r="N7" s="2714"/>
      <c r="O7" s="2714"/>
      <c r="P7" s="3697" t="s">
        <v>1680</v>
      </c>
      <c r="Q7" s="3698"/>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1959">
        <f>D7/J7</f>
        <v>1</v>
      </c>
    </row>
    <row r="8" spans="1:29" s="108" customFormat="1" ht="15.75" thickBot="1">
      <c r="A8" s="362" t="s">
        <v>1681</v>
      </c>
      <c r="B8" s="363"/>
      <c r="C8" s="368" t="s">
        <v>3414</v>
      </c>
      <c r="D8" s="365">
        <v>100</v>
      </c>
      <c r="E8" s="368" t="s">
        <v>3415</v>
      </c>
      <c r="F8" s="367">
        <f>SUMIF(62:62,E8,63:63)-SUMIF(62:62,C8,63:63)+100</f>
        <v>103</v>
      </c>
      <c r="G8" s="368" t="s">
        <v>3415</v>
      </c>
      <c r="H8" s="365">
        <f>SUMIF(62:62,G8,63:63)-SUMIF(62:62,C8,63:63)+100</f>
        <v>103</v>
      </c>
      <c r="I8" s="368" t="s">
        <v>3415</v>
      </c>
      <c r="J8" s="365">
        <f>SUMIF(62:62,I8,63:63)-SUMIF(62:62,C8,63:63)+100</f>
        <v>103</v>
      </c>
      <c r="K8" s="560"/>
      <c r="L8" s="2713"/>
      <c r="M8" s="2714"/>
      <c r="N8" s="2714"/>
      <c r="O8" s="2714"/>
      <c r="P8" s="3697" t="s">
        <v>1683</v>
      </c>
      <c r="Q8" s="3666"/>
      <c r="R8" s="701" t="s">
        <v>14</v>
      </c>
      <c r="S8" s="702">
        <f t="shared" si="0"/>
        <v>103</v>
      </c>
      <c r="T8" s="701" t="s">
        <v>14</v>
      </c>
      <c r="U8" s="702">
        <f t="shared" si="1"/>
        <v>103</v>
      </c>
      <c r="V8" s="701" t="s">
        <v>14</v>
      </c>
      <c r="W8" s="702">
        <f t="shared" si="2"/>
        <v>103</v>
      </c>
      <c r="X8" s="703"/>
      <c r="Y8" s="3665" t="s">
        <v>1683</v>
      </c>
      <c r="Z8" s="3666"/>
      <c r="AA8" s="704">
        <f t="shared" ref="AA8:AA47" si="3">D8/F8</f>
        <v>0.970873786407767</v>
      </c>
      <c r="AB8" s="704">
        <f t="shared" ref="AB8:AB47" si="4">D8/H8</f>
        <v>0.970873786407767</v>
      </c>
      <c r="AC8" s="1959">
        <f t="shared" ref="AC8:AC47" si="5">D8/J8</f>
        <v>0.970873786407767</v>
      </c>
    </row>
    <row r="9" spans="1:29" s="108" customFormat="1">
      <c r="A9" s="369" t="s">
        <v>1684</v>
      </c>
      <c r="B9" s="63" t="s">
        <v>1685</v>
      </c>
      <c r="C9" s="3465" t="s">
        <v>3432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9"/>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8"/>
      <c r="M15" s="2712"/>
      <c r="N15" s="2712"/>
      <c r="O15" s="2712"/>
      <c r="P15" s="3699"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t="s">
        <v>3391</v>
      </c>
      <c r="D16" s="399"/>
      <c r="E16" s="398" t="s">
        <v>3391</v>
      </c>
      <c r="F16" s="399"/>
      <c r="G16" s="398" t="s">
        <v>3391</v>
      </c>
      <c r="H16" s="401"/>
      <c r="I16" s="398" t="s">
        <v>3391</v>
      </c>
      <c r="J16" s="399"/>
      <c r="K16" s="564"/>
      <c r="L16" s="2718"/>
      <c r="M16" s="2712"/>
      <c r="N16" s="2712"/>
      <c r="O16" s="2712"/>
      <c r="P16" s="3700"/>
      <c r="Q16" s="1352"/>
      <c r="R16" s="705"/>
      <c r="S16" s="706"/>
      <c r="T16" s="705"/>
      <c r="U16" s="706"/>
      <c r="V16" s="705"/>
      <c r="W16" s="706"/>
      <c r="X16" s="1355"/>
      <c r="Y16" s="3702"/>
      <c r="Z16" s="1356"/>
      <c r="AA16" s="1353">
        <v>1</v>
      </c>
      <c r="AB16" s="1353">
        <v>1</v>
      </c>
      <c r="AC16" s="1962">
        <v>1</v>
      </c>
    </row>
    <row r="17" spans="1:29" ht="15">
      <c r="A17" s="379"/>
      <c r="B17" s="579" t="s">
        <v>1259</v>
      </c>
      <c r="C17" s="1963"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8"/>
      <c r="M17" s="2712"/>
      <c r="N17" s="2712"/>
      <c r="O17" s="2712"/>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t="s">
        <v>3391</v>
      </c>
      <c r="D18" s="401"/>
      <c r="E18" s="1902" t="s">
        <v>3391</v>
      </c>
      <c r="F18" s="401"/>
      <c r="G18" s="1902" t="s">
        <v>3391</v>
      </c>
      <c r="H18" s="399"/>
      <c r="I18" s="1902" t="s">
        <v>3391</v>
      </c>
      <c r="J18" s="399"/>
      <c r="K18" s="564"/>
      <c r="L18" s="2718"/>
      <c r="M18" s="2712"/>
      <c r="N18" s="2712"/>
      <c r="O18" s="2712"/>
      <c r="P18" s="3700"/>
      <c r="Q18" s="1352"/>
      <c r="R18" s="705"/>
      <c r="S18" s="706"/>
      <c r="T18" s="705"/>
      <c r="U18" s="706"/>
      <c r="V18" s="705"/>
      <c r="W18" s="706"/>
      <c r="X18" s="1355"/>
      <c r="Y18" s="3702"/>
      <c r="Z18" s="1356"/>
      <c r="AA18" s="1353">
        <v>1</v>
      </c>
      <c r="AB18" s="1353">
        <v>1</v>
      </c>
      <c r="AC18" s="1962">
        <v>1</v>
      </c>
    </row>
    <row r="19" spans="1:29" ht="15">
      <c r="A19" s="379"/>
      <c r="B19" s="579" t="s">
        <v>1812</v>
      </c>
      <c r="C19" s="1963"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8"/>
      <c r="M19" s="2712"/>
      <c r="N19" s="2712"/>
      <c r="O19" s="2712"/>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t="s">
        <v>3391</v>
      </c>
      <c r="D20" s="399"/>
      <c r="E20" s="1897" t="s">
        <v>3391</v>
      </c>
      <c r="F20" s="399"/>
      <c r="G20" s="1897" t="s">
        <v>3391</v>
      </c>
      <c r="H20" s="399"/>
      <c r="I20" s="1897" t="s">
        <v>3391</v>
      </c>
      <c r="J20" s="399"/>
      <c r="K20" s="564"/>
      <c r="L20" s="2718"/>
      <c r="M20" s="2712"/>
      <c r="N20" s="2712"/>
      <c r="O20" s="2712"/>
      <c r="P20" s="3700"/>
      <c r="Q20" s="1352"/>
      <c r="R20" s="705"/>
      <c r="S20" s="706"/>
      <c r="T20" s="705"/>
      <c r="U20" s="706"/>
      <c r="V20" s="705"/>
      <c r="W20" s="706"/>
      <c r="X20" s="1355"/>
      <c r="Y20" s="3702"/>
      <c r="Z20" s="1356"/>
      <c r="AA20" s="1353">
        <v>1</v>
      </c>
      <c r="AB20" s="1353">
        <v>1</v>
      </c>
      <c r="AC20" s="1962">
        <v>1</v>
      </c>
    </row>
    <row r="21" spans="1:29" ht="15">
      <c r="A21" s="379"/>
      <c r="B21" s="581" t="s">
        <v>1813</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8"/>
      <c r="M21" s="2712"/>
      <c r="N21" s="2712"/>
      <c r="O21" s="2712"/>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8"/>
      <c r="M22" s="2712"/>
      <c r="N22" s="2712"/>
      <c r="O22" s="2712"/>
      <c r="P22" s="3700"/>
      <c r="Q22" s="1352"/>
      <c r="R22" s="705"/>
      <c r="S22" s="706"/>
      <c r="T22" s="705"/>
      <c r="U22" s="706"/>
      <c r="V22" s="705"/>
      <c r="W22" s="706"/>
      <c r="X22" s="1355"/>
      <c r="Y22" s="3702"/>
      <c r="Z22" s="1356"/>
      <c r="AA22" s="1353">
        <v>1</v>
      </c>
      <c r="AB22" s="1353">
        <v>1</v>
      </c>
      <c r="AC22" s="1962">
        <v>1</v>
      </c>
    </row>
    <row r="23" spans="1:29" ht="15">
      <c r="A23" s="379"/>
      <c r="B23" s="579" t="s">
        <v>1814</v>
      </c>
      <c r="C23" s="1963"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8"/>
      <c r="M23" s="2712"/>
      <c r="N23" s="2712"/>
      <c r="O23" s="2712"/>
      <c r="P23" s="3700"/>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t="s">
        <v>3391</v>
      </c>
      <c r="D24" s="399"/>
      <c r="E24" s="1897" t="s">
        <v>3391</v>
      </c>
      <c r="F24" s="399"/>
      <c r="G24" s="1897" t="s">
        <v>3391</v>
      </c>
      <c r="H24" s="399"/>
      <c r="I24" s="1897" t="s">
        <v>3391</v>
      </c>
      <c r="J24" s="399"/>
      <c r="K24" s="564"/>
      <c r="L24" s="2718"/>
      <c r="M24" s="2712"/>
      <c r="N24" s="2712"/>
      <c r="O24" s="2712"/>
      <c r="P24" s="3700"/>
      <c r="Q24" s="1352"/>
      <c r="R24" s="705"/>
      <c r="S24" s="706"/>
      <c r="T24" s="705"/>
      <c r="U24" s="706"/>
      <c r="V24" s="705"/>
      <c r="W24" s="706"/>
      <c r="X24" s="1355"/>
      <c r="Y24" s="3702"/>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00"/>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700"/>
      <c r="Q26" s="1352"/>
      <c r="R26" s="705"/>
      <c r="S26" s="706"/>
      <c r="T26" s="705"/>
      <c r="U26" s="706"/>
      <c r="V26" s="705"/>
      <c r="W26" s="706"/>
      <c r="X26" s="1355"/>
      <c r="Y26" s="3702"/>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00"/>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00"/>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75" thickBot="1">
      <c r="A29" s="379"/>
      <c r="B29" s="3466" t="s">
        <v>3433</v>
      </c>
      <c r="C29" s="3467" t="s">
        <v>3418</v>
      </c>
      <c r="D29" s="386">
        <v>100</v>
      </c>
      <c r="E29" s="3468" t="s">
        <v>3419</v>
      </c>
      <c r="F29" s="386">
        <f>SUMIF(93:93,E29,94:94)-SUMIF(93:93,C29,94:94)+100</f>
        <v>95</v>
      </c>
      <c r="G29" s="3469" t="s">
        <v>3418</v>
      </c>
      <c r="H29" s="386">
        <f>SUMIF(93:93,G29,94:94)-SUMIF(93:93,C29,94:94)+100</f>
        <v>100</v>
      </c>
      <c r="I29" s="3468" t="s">
        <v>3448</v>
      </c>
      <c r="J29" s="386">
        <f>SUMIF(93:93,I29,94:94)-SUMIF(93:93,C29,94:94)+100</f>
        <v>95</v>
      </c>
      <c r="K29" s="562"/>
      <c r="L29" s="2718"/>
      <c r="M29" s="2712"/>
      <c r="N29" s="2712"/>
      <c r="O29" s="2712"/>
      <c r="P29" s="3700"/>
      <c r="Q29" s="1352" t="str">
        <f t="shared" si="11"/>
        <v>楼层</v>
      </c>
      <c r="R29" s="705" t="s">
        <v>14</v>
      </c>
      <c r="S29" s="706">
        <f t="shared" ref="S29:S47" si="12">F29</f>
        <v>95</v>
      </c>
      <c r="T29" s="705" t="s">
        <v>14</v>
      </c>
      <c r="U29" s="706">
        <f t="shared" ref="U29:U47" si="13">H29</f>
        <v>100</v>
      </c>
      <c r="V29" s="705" t="s">
        <v>14</v>
      </c>
      <c r="W29" s="706">
        <f t="shared" ref="W29:W47" si="14">J29</f>
        <v>95</v>
      </c>
      <c r="X29" s="1355"/>
      <c r="Y29" s="3702"/>
      <c r="Z29" s="1356" t="str">
        <f t="shared" ref="Z29:Z47" si="15">Q29</f>
        <v>楼层</v>
      </c>
      <c r="AA29" s="1353">
        <f t="shared" si="3"/>
        <v>1.0526315789473684</v>
      </c>
      <c r="AB29" s="1353">
        <f t="shared" si="4"/>
        <v>1</v>
      </c>
      <c r="AC29" s="1962">
        <f t="shared" si="5"/>
        <v>1.0526315789473684</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00"/>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t="s">
        <v>3420</v>
      </c>
      <c r="D33" s="418">
        <v>100</v>
      </c>
      <c r="E33" s="1967" t="s">
        <v>3420</v>
      </c>
      <c r="F33" s="412">
        <f>SUMIF(101:101,E33,102:102)-SUMIF(101:101,C33,102:102)+100</f>
        <v>100</v>
      </c>
      <c r="G33" s="1967" t="s">
        <v>3420</v>
      </c>
      <c r="H33" s="386">
        <f>SUMIF(101:101,G33,102:102)-SUMIF(101:101,C33,102:102)+100</f>
        <v>100</v>
      </c>
      <c r="I33" s="1967" t="s">
        <v>3420</v>
      </c>
      <c r="J33" s="418">
        <f>SUMIF(101:101,I33,102:102)-SUMIF(101:101,C33,102:102)+100</f>
        <v>100</v>
      </c>
      <c r="K33" s="561">
        <v>2</v>
      </c>
      <c r="L33" s="2718"/>
      <c r="M33" s="2712"/>
      <c r="N33" s="2712"/>
      <c r="O33" s="2712"/>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388.36</v>
      </c>
      <c r="D34" s="127">
        <v>100</v>
      </c>
      <c r="E34" s="381">
        <f>案例!C2</f>
        <v>146.36000000000001</v>
      </c>
      <c r="F34" s="376">
        <f>LOOKUP(E34,104:104,105:105)-LOOKUP(C34,104:104,105:105)+100</f>
        <v>100</v>
      </c>
      <c r="G34" s="380">
        <f>案例!C3</f>
        <v>195.6</v>
      </c>
      <c r="H34" s="127">
        <f>LOOKUP(G34,104:104,105:105)-LOOKUP(C34,104:104,105:105)+100</f>
        <v>100</v>
      </c>
      <c r="I34" s="380">
        <f>案例!C4</f>
        <v>197.34</v>
      </c>
      <c r="J34" s="127">
        <f>LOOKUP(I34,104:104,105:105)-LOOKUP(C34,104:104,105:105)+100</f>
        <v>100</v>
      </c>
      <c r="K34" s="562"/>
      <c r="L34" s="2717"/>
      <c r="M34" s="2719"/>
      <c r="N34" s="2719"/>
      <c r="O34" s="2719"/>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1353">
        <f t="shared" si="3"/>
        <v>1</v>
      </c>
      <c r="AB34" s="1353">
        <f t="shared" si="4"/>
        <v>1</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2</v>
      </c>
      <c r="L35" s="2718"/>
      <c r="M35" s="2712"/>
      <c r="N35" s="2712"/>
      <c r="O35" s="2712"/>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t="s">
        <v>3424</v>
      </c>
      <c r="D36" s="386">
        <v>100</v>
      </c>
      <c r="E36" s="411" t="s">
        <v>3424</v>
      </c>
      <c r="F36" s="412">
        <f>SUMIF(108:108,E36,109:109)-SUMIF(108:108,C36,109:109)+100</f>
        <v>100</v>
      </c>
      <c r="G36" s="411" t="s">
        <v>3424</v>
      </c>
      <c r="H36" s="386">
        <f>SUMIF(108:108,G36,109:109)-SUMIF(108:108,C36,109:109)+100</f>
        <v>100</v>
      </c>
      <c r="I36" s="411" t="s">
        <v>3424</v>
      </c>
      <c r="J36" s="386">
        <f>SUMIF(108:108,I36,109:109)-SUMIF(108:108,C36,109:109)+100</f>
        <v>100</v>
      </c>
      <c r="K36" s="561">
        <v>2</v>
      </c>
      <c r="L36" s="2718"/>
      <c r="M36" s="2712"/>
      <c r="N36" s="2712"/>
      <c r="O36" s="2712"/>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704"/>
      <c r="Q37" s="1352" t="str">
        <f t="shared" si="11"/>
        <v>成新度</v>
      </c>
      <c r="R37" s="705" t="s">
        <v>14</v>
      </c>
      <c r="S37" s="706">
        <f t="shared" si="12"/>
        <v>100</v>
      </c>
      <c r="T37" s="705" t="s">
        <v>14</v>
      </c>
      <c r="U37" s="706">
        <f t="shared" si="13"/>
        <v>100</v>
      </c>
      <c r="V37" s="705" t="s">
        <v>14</v>
      </c>
      <c r="W37" s="706">
        <f t="shared" si="14"/>
        <v>100</v>
      </c>
      <c r="X37" s="1355"/>
      <c r="Y37" s="370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8"/>
      <c r="M39" s="2712"/>
      <c r="N39" s="2712"/>
      <c r="O39" s="2712"/>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18"/>
      <c r="M40" s="2712"/>
      <c r="N40" s="2712"/>
      <c r="O40" s="2712"/>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18"/>
      <c r="M43" s="2712"/>
      <c r="N43" s="2712"/>
      <c r="O43" s="2712"/>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8"/>
      <c r="M44" s="2712"/>
      <c r="N44" s="2712"/>
      <c r="O44" s="2712"/>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f>案例!B2</f>
        <v>37579</v>
      </c>
      <c r="F48" s="1157"/>
      <c r="G48" s="1158">
        <f>案例!B3</f>
        <v>39878</v>
      </c>
      <c r="H48" s="1159"/>
      <c r="I48" s="1156">
        <f>案例!B4</f>
        <v>36992</v>
      </c>
      <c r="J48" s="436"/>
      <c r="K48" s="714"/>
      <c r="L48" s="2720"/>
      <c r="M48" s="2712"/>
      <c r="N48" s="2712"/>
      <c r="O48" s="2712"/>
      <c r="P48" s="3679" t="str">
        <f>A48</f>
        <v>成交单价（元/平方米）</v>
      </c>
      <c r="Q48" s="3708"/>
      <c r="R48" s="3709">
        <f>E48</f>
        <v>37579</v>
      </c>
      <c r="S48" s="3709"/>
      <c r="T48" s="3709">
        <f>G48</f>
        <v>39878</v>
      </c>
      <c r="U48" s="3709"/>
      <c r="V48" s="3709">
        <f>I48</f>
        <v>36992</v>
      </c>
      <c r="W48" s="3709"/>
      <c r="X48" s="397"/>
      <c r="Y48" s="712"/>
      <c r="Z48" s="397"/>
      <c r="AA48" s="397"/>
      <c r="AB48" s="397"/>
      <c r="AC48" s="578"/>
    </row>
    <row r="49" spans="1:29" ht="15.75" thickBot="1">
      <c r="A49" s="437" t="s">
        <v>1793</v>
      </c>
      <c r="B49" s="438"/>
      <c r="C49" s="1160">
        <f>R50</f>
        <v>38309</v>
      </c>
      <c r="D49" s="2317" t="s">
        <v>2138</v>
      </c>
      <c r="E49" s="1161">
        <f>R49</f>
        <v>38405</v>
      </c>
      <c r="F49" s="2318"/>
      <c r="G49" s="1160">
        <f>T49</f>
        <v>38717</v>
      </c>
      <c r="H49" s="2318"/>
      <c r="I49" s="1161">
        <f>V49</f>
        <v>37805</v>
      </c>
      <c r="J49" s="2318"/>
      <c r="K49" s="2320">
        <f>F49+H49+J49</f>
        <v>0</v>
      </c>
      <c r="L49" s="2720"/>
      <c r="M49" s="2712"/>
      <c r="N49" s="2712"/>
      <c r="O49" s="2712"/>
      <c r="P49" s="3679" t="str">
        <f>A49</f>
        <v>比较价值（元/平方米）</v>
      </c>
      <c r="Q49" s="3708"/>
      <c r="R49" s="3709">
        <f>IF(F1="售价",ROUND(PRODUCT(R48,AA7:AA47),0),ROUND(PRODUCT(R48,AA7:AA47),1))</f>
        <v>38405</v>
      </c>
      <c r="S49" s="3709"/>
      <c r="T49" s="3709">
        <f>IF(F1="售价",ROUND(PRODUCT(T48,AB7:AB47),0),ROUND(PRODUCT(T48,AB7:AB47),1))</f>
        <v>38717</v>
      </c>
      <c r="U49" s="3709"/>
      <c r="V49" s="3709">
        <f>IF(F1="售价",ROUND(PRODUCT(V48,AC7:AC47),0),ROUND(PRODUCT(V48,AC7:AC47),1))</f>
        <v>37805</v>
      </c>
      <c r="W49" s="3709"/>
      <c r="X49" s="397"/>
      <c r="Y49" s="397"/>
      <c r="Z49" s="397"/>
      <c r="AA49" s="397"/>
      <c r="AB49" s="397"/>
      <c r="AC49" s="578"/>
    </row>
    <row r="50" spans="1:29" ht="15.75" thickBot="1">
      <c r="A50" s="441" t="s">
        <v>1794</v>
      </c>
      <c r="B50" s="442"/>
      <c r="C50" s="1163">
        <f>R50</f>
        <v>38309</v>
      </c>
      <c r="D50" s="1163"/>
      <c r="E50" s="1163"/>
      <c r="F50" s="1163"/>
      <c r="G50" s="1163"/>
      <c r="H50" s="1163"/>
      <c r="I50" s="1163"/>
      <c r="J50" s="443"/>
      <c r="K50" s="715"/>
      <c r="L50" s="2720"/>
      <c r="M50" s="2712"/>
      <c r="N50" s="2712"/>
      <c r="O50" s="2712"/>
      <c r="P50" s="3710" t="str">
        <f>A50</f>
        <v>估价对象XX用房的比较价值（楼面单价，元/平方米）</v>
      </c>
      <c r="Q50" s="3711"/>
      <c r="R50" s="3712">
        <f>IF(F1="售价",ROUND(IF(D49="简单平均",AVERAGE(R49:V49),R49*F49+T49*H49+V49*J49),0),ROUND(IF(D49="简单平均",AVERAGE(R49:V49),R49*F49+T49*H49+V49*J49),1))</f>
        <v>38309</v>
      </c>
      <c r="S50" s="3712"/>
      <c r="T50" s="3712"/>
      <c r="U50" s="3712"/>
      <c r="V50" s="3712"/>
      <c r="W50" s="3712"/>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2.1980361372042845E-2</v>
      </c>
      <c r="F53" s="449" t="str">
        <f>IF(OR(E53&gt;=0.3,E53&lt;=-0.3),"超过30%","")</f>
        <v/>
      </c>
      <c r="G53" s="448">
        <f>IF(G48&lt;G49,G49/G48-1,G48/G49-1)</f>
        <v>2.9986827491799373E-2</v>
      </c>
      <c r="H53" s="449" t="str">
        <f>IF(OR(G53&gt;=0.3,G53&lt;=-0.3),"超过30%","")</f>
        <v/>
      </c>
      <c r="I53" s="448">
        <f>IF(I48&lt;I49,I49/I48-1,I48/I49-1)</f>
        <v>2.1977724913494701E-2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8.1239421950267676E-3</v>
      </c>
      <c r="F54" s="449" t="str">
        <f>IF(OR(E54&gt;=0.2,E54&lt;=-0.2),"超过20%","")</f>
        <v/>
      </c>
      <c r="G54" s="448">
        <f>IF(G49&lt;I49,I49/G49-1,G49/I49-1)</f>
        <v>2.4123793149054329E-2</v>
      </c>
      <c r="H54" s="449" t="str">
        <f>IF(OR(G54&gt;=0.2,G54&lt;=-0.2),"超过20%","")</f>
        <v/>
      </c>
      <c r="I54" s="448">
        <f>IF(I49&lt;E49,E49/I49-1,I49/E49-1)</f>
        <v>1.5870916545430491E-2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6.1177785465286405E-2</v>
      </c>
      <c r="F55" s="449" t="str">
        <f>IF(OR(E55&gt;=0.3,E55&lt;=-0.3),"超过30%","")</f>
        <v/>
      </c>
      <c r="G55" s="448">
        <f>IF(G48&lt;I48,I48/G48-1,G48/I48-1)</f>
        <v>7.801686851211076E-2</v>
      </c>
      <c r="H55" s="449" t="str">
        <f>IF(OR(G55&gt;=0.3,G55&lt;=-0.3),"超过30%","")</f>
        <v/>
      </c>
      <c r="I55" s="448">
        <f>IF(I48&lt;E48,E48/I48-1,I48/E48-1)</f>
        <v>1.5868295847750957E-2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3416</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103</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3417</v>
      </c>
      <c r="D93" s="3462" t="s">
        <v>3418</v>
      </c>
      <c r="E93" s="3462" t="s">
        <v>3419</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C94-5</f>
        <v>95</v>
      </c>
      <c r="E94" s="485">
        <f>D94-5</f>
        <v>90</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0(含)-1000</v>
      </c>
      <c r="D103" s="527" t="str">
        <f t="shared" ref="D103:L103" si="23">D104&amp;"(含)"&amp;"-"&amp;E104</f>
        <v>1000(含)-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1000</v>
      </c>
      <c r="E104" s="544"/>
      <c r="F104" s="544"/>
      <c r="G104" s="545"/>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v>100</v>
      </c>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3425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3427</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3429</v>
      </c>
      <c r="D123" s="3462" t="s">
        <v>3425</v>
      </c>
      <c r="E123" s="3462" t="s">
        <v>3430</v>
      </c>
      <c r="F123" s="3464" t="s">
        <v>3431</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13" zoomScale="80" zoomScaleNormal="70" zoomScaleSheetLayoutView="8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35.43</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1446.0465999999999</v>
      </c>
      <c r="C2" s="1387" t="s">
        <v>879</v>
      </c>
      <c r="D2" s="1471">
        <f ca="1">C40+J29+L46</f>
        <v>14460466</v>
      </c>
      <c r="E2" s="1388" t="s">
        <v>880</v>
      </c>
      <c r="F2" s="1389"/>
      <c r="G2" s="2702"/>
      <c r="H2" s="2691"/>
      <c r="I2" s="2691"/>
      <c r="J2" s="2691"/>
      <c r="K2" s="2692"/>
      <c r="L2" s="2691"/>
      <c r="M2" s="2691"/>
    </row>
    <row r="3" spans="1:37" ht="18" customHeight="1" thickBot="1">
      <c r="A3" s="1390" t="s">
        <v>881</v>
      </c>
      <c r="B3" s="1391">
        <f ca="1">IF(ISERROR(D2/F43),0,ROUND(D2/F43,0))</f>
        <v>37235</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804735</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803730</v>
      </c>
      <c r="D6" s="155" t="s">
        <v>2106</v>
      </c>
      <c r="E6" s="302" t="s">
        <v>696</v>
      </c>
      <c r="F6" s="303">
        <f ca="1">INDIRECT("'数据-取费表'!u"&amp;$G$1)</f>
        <v>6.3</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388.36</v>
      </c>
      <c r="G7" s="1384"/>
      <c r="H7" s="304"/>
      <c r="I7" s="3660"/>
      <c r="J7" s="306"/>
      <c r="K7" s="307"/>
      <c r="L7" s="302" t="s">
        <v>697</v>
      </c>
      <c r="M7" s="303">
        <f ca="1">F7</f>
        <v>388.36</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1005</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2068540</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1747620</v>
      </c>
      <c r="D14" s="1345" t="s">
        <v>708</v>
      </c>
      <c r="E14" s="1342"/>
      <c r="F14" s="319"/>
      <c r="G14" s="1384"/>
      <c r="H14" s="982" t="s">
        <v>398</v>
      </c>
      <c r="I14" s="302" t="s">
        <v>709</v>
      </c>
      <c r="J14" s="21">
        <f ca="1">C29</f>
        <v>2492217</v>
      </c>
      <c r="K14" s="12"/>
      <c r="L14" s="807"/>
      <c r="M14" s="808"/>
    </row>
    <row r="15" spans="1:37" s="1397" customFormat="1" ht="18" customHeight="1" thickBot="1">
      <c r="A15" s="982" t="s">
        <v>399</v>
      </c>
      <c r="B15" s="302" t="s">
        <v>710</v>
      </c>
      <c r="C15" s="21">
        <f ca="1">ROUND(C14*F15,0)</f>
        <v>52429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49844</v>
      </c>
      <c r="K16" s="1087" t="s">
        <v>715</v>
      </c>
      <c r="L16" s="1088"/>
      <c r="M16" s="1072"/>
    </row>
    <row r="17" spans="1:37" s="1397" customFormat="1" ht="18" customHeight="1">
      <c r="A17" s="982" t="s">
        <v>681</v>
      </c>
      <c r="B17" s="302" t="s">
        <v>716</v>
      </c>
      <c r="C17" s="21">
        <f ca="1">ROUND(F17*(F43+INDIRECT("'数据-取费表'!S"&amp;$G$1)),0)</f>
        <v>77672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26214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1903935</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38079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49844</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67000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-49844</v>
      </c>
      <c r="K25" s="1095" t="s">
        <v>753</v>
      </c>
      <c r="L25" s="1096"/>
      <c r="M25" s="1097"/>
    </row>
    <row r="26" spans="1:37" ht="18" customHeight="1">
      <c r="A26" s="982" t="s">
        <v>397</v>
      </c>
      <c r="B26" s="302" t="s">
        <v>754</v>
      </c>
      <c r="C26" s="21">
        <f ca="1">ROUND((C19+C20)*F26,0)</f>
        <v>291302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2492217</v>
      </c>
      <c r="D29" s="1092"/>
      <c r="E29" s="1090"/>
      <c r="F29" s="1093"/>
      <c r="G29" s="1396"/>
      <c r="H29" s="334" t="s">
        <v>396</v>
      </c>
      <c r="I29" s="335" t="s">
        <v>768</v>
      </c>
      <c r="J29" s="336">
        <f ca="1">ROUND(J26/(1+F40)^F41,0)</f>
        <v>0</v>
      </c>
      <c r="K29" s="337" t="s">
        <v>769</v>
      </c>
      <c r="L29" s="338"/>
      <c r="M29" s="339">
        <f ca="1">INDIRECT("'数据-取费表'!k"&amp;$G$1)</f>
        <v>388.36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130671</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53582</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49844</v>
      </c>
      <c r="D36" s="1344" t="s">
        <v>771</v>
      </c>
      <c r="E36" s="302" t="s">
        <v>712</v>
      </c>
      <c r="F36" s="328">
        <f ca="1">INDIRECT("'数据-取费表'!Ak"&amp;$G$1)</f>
        <v>0.02</v>
      </c>
      <c r="G36" s="1384"/>
      <c r="H36" s="2696"/>
      <c r="I36" s="1398"/>
      <c r="J36" s="1399"/>
      <c r="K36" s="2540"/>
      <c r="L36" s="2696"/>
      <c r="M36" s="2696"/>
    </row>
    <row r="37" spans="1:18" ht="18" customHeight="1">
      <c r="A37" s="982" t="s">
        <v>437</v>
      </c>
      <c r="B37" s="302" t="s">
        <v>742</v>
      </c>
      <c r="C37" s="21">
        <f ca="1">ROUND(C13*F37,0)</f>
        <v>3103</v>
      </c>
      <c r="D37" s="1344" t="s">
        <v>743</v>
      </c>
      <c r="E37" s="302" t="s">
        <v>744</v>
      </c>
      <c r="F37" s="330">
        <f ca="1">INDIRECT("'数据-取费表'!Al"&amp;$G$1)</f>
        <v>1.5E-3</v>
      </c>
      <c r="G37" s="1384"/>
      <c r="H37" s="2696"/>
      <c r="I37" s="1398"/>
      <c r="J37" s="1399"/>
      <c r="K37" s="2540"/>
      <c r="L37" s="2696"/>
      <c r="M37" s="2696"/>
    </row>
    <row r="38" spans="1:18" ht="18" customHeight="1" thickBot="1">
      <c r="A38" s="1089" t="s">
        <v>684</v>
      </c>
      <c r="B38" s="1090" t="s">
        <v>728</v>
      </c>
      <c r="C38" s="1091">
        <f ca="1">ROUND(C5*F38,0)</f>
        <v>24142</v>
      </c>
      <c r="D38" s="1092" t="s">
        <v>748</v>
      </c>
      <c r="E38" s="1090" t="s">
        <v>744</v>
      </c>
      <c r="F38" s="1086">
        <f ca="1">INDIRECT("'数据-取费表'!Am"&amp;$G$1)</f>
        <v>0.03</v>
      </c>
      <c r="G38" s="1384"/>
      <c r="H38" s="2696"/>
      <c r="I38" s="1398"/>
      <c r="J38" s="1399"/>
      <c r="K38" s="2700"/>
      <c r="L38" s="2696"/>
      <c r="M38" s="2696"/>
    </row>
    <row r="39" spans="1:18" ht="24.6" customHeight="1" thickTop="1">
      <c r="A39" s="1079" t="s">
        <v>394</v>
      </c>
      <c r="B39" s="1094" t="s">
        <v>772</v>
      </c>
      <c r="C39" s="310">
        <f ca="1">C5-C30</f>
        <v>674064</v>
      </c>
      <c r="D39" s="1095" t="s">
        <v>773</v>
      </c>
      <c r="E39" s="1096"/>
      <c r="F39" s="1097"/>
      <c r="G39" s="1384"/>
      <c r="H39" s="2696">
        <f ca="1">C39/C6</f>
        <v>0.83866970251203765</v>
      </c>
      <c r="I39" s="1398"/>
      <c r="J39" s="1399"/>
      <c r="K39" s="2700"/>
      <c r="L39" s="2696"/>
      <c r="M39" s="2696"/>
    </row>
    <row r="40" spans="1:18" ht="18" customHeight="1">
      <c r="A40" s="299" t="s">
        <v>395</v>
      </c>
      <c r="B40" s="300" t="s">
        <v>774</v>
      </c>
      <c r="C40" s="301">
        <f ca="1">ROUND(C39*(1-((1+F42)/(1+F40))^F41)/(F40-F42),0)</f>
        <v>14383581</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35.43</v>
      </c>
      <c r="G41" s="1384"/>
      <c r="H41" s="1191"/>
      <c r="I41" s="1398"/>
      <c r="J41" s="1399"/>
      <c r="K41" s="2540"/>
      <c r="L41" s="1191"/>
      <c r="M41" s="1191"/>
    </row>
    <row r="42" spans="1:18" ht="18" customHeight="1">
      <c r="A42" s="308"/>
      <c r="B42" s="309"/>
      <c r="C42" s="310"/>
      <c r="D42" s="327"/>
      <c r="E42" s="302" t="s">
        <v>766</v>
      </c>
      <c r="F42" s="312">
        <f ca="1">INDIRECT("'数据-取费表'!v"&amp;$G$1)</f>
        <v>2.5000000000000001E-2</v>
      </c>
      <c r="G42" s="1384"/>
      <c r="H42" s="1191"/>
      <c r="I42" s="1398"/>
      <c r="J42" s="1399"/>
      <c r="K42" s="2540"/>
      <c r="L42" s="1191"/>
      <c r="M42" s="1191"/>
    </row>
    <row r="43" spans="1:18" ht="18" customHeight="1" thickBot="1">
      <c r="A43" s="334" t="s">
        <v>396</v>
      </c>
      <c r="B43" s="335" t="s">
        <v>776</v>
      </c>
      <c r="C43" s="336">
        <f ca="1">ROUND(C40/F43,0)</f>
        <v>37037</v>
      </c>
      <c r="D43" s="337" t="s">
        <v>777</v>
      </c>
      <c r="E43" s="338" t="s">
        <v>778</v>
      </c>
      <c r="F43" s="339">
        <f ca="1">INDIRECT("'数据-取费表'!k"&amp;$G$1)</f>
        <v>388.36</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f ca="1">ROUND((C68-C40)/10000,4)</f>
        <v>-1520.1828</v>
      </c>
      <c r="D45" s="3428" t="s">
        <v>3353</v>
      </c>
      <c r="E45" s="1400"/>
      <c r="F45" s="1400"/>
      <c r="O45" s="1403" t="s">
        <v>808</v>
      </c>
      <c r="P45" s="1461"/>
      <c r="Q45" s="1461"/>
      <c r="R45" s="1461"/>
    </row>
    <row r="46" spans="1:18" s="1384" customFormat="1" ht="13.5" thickBot="1">
      <c r="A46" s="1404" t="s">
        <v>809</v>
      </c>
      <c r="C46" s="1405">
        <f ca="1">ROUND(C45,0)</f>
        <v>-1520</v>
      </c>
      <c r="D46" s="1406" t="str">
        <f>C2</f>
        <v>万元</v>
      </c>
      <c r="I46" s="1407" t="s">
        <v>810</v>
      </c>
      <c r="J46" s="1408"/>
      <c r="K46" s="1409"/>
      <c r="L46" s="1410">
        <f ca="1">IF(M47="住宅",0,IF(L48&gt;J51,L60,J60))</f>
        <v>76885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14383581</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35.43</v>
      </c>
      <c r="O48" s="1418" t="s">
        <v>404</v>
      </c>
      <c r="P48" s="1419" t="s">
        <v>821</v>
      </c>
      <c r="Q48" s="1420">
        <f ca="1">J60</f>
        <v>76885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2014</v>
      </c>
      <c r="K49" s="1423" t="s">
        <v>824</v>
      </c>
      <c r="L49" s="1427"/>
      <c r="O49" s="1428" t="s">
        <v>405</v>
      </c>
      <c r="P49" s="1419" t="s">
        <v>825</v>
      </c>
      <c r="Q49" s="1420">
        <f ca="1">C29</f>
        <v>2492217</v>
      </c>
      <c r="R49" s="1420" t="s">
        <v>818</v>
      </c>
    </row>
    <row r="50" spans="1:18" s="1384" customFormat="1" ht="13.5" thickBot="1">
      <c r="A50" s="976"/>
      <c r="B50" s="979"/>
      <c r="C50" s="980"/>
      <c r="D50" s="953"/>
      <c r="E50" s="1056" t="s">
        <v>697</v>
      </c>
      <c r="F50" s="1057">
        <f ca="1">F7</f>
        <v>388.36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9662244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35.43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35.43</v>
      </c>
      <c r="K53" s="3657" t="s">
        <v>837</v>
      </c>
      <c r="L53" s="3658"/>
      <c r="O53" s="1418" t="s">
        <v>409</v>
      </c>
      <c r="P53" s="1419" t="s">
        <v>838</v>
      </c>
      <c r="Q53" s="1420">
        <f ca="1">Q47+Q48</f>
        <v>14460466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0.24299999999999999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2068540</v>
      </c>
      <c r="D56" s="1447"/>
      <c r="E56" s="1448"/>
      <c r="F56" s="1440"/>
      <c r="I56" s="1449" t="s">
        <v>842</v>
      </c>
      <c r="J56" s="1450" t="s">
        <v>3400</v>
      </c>
      <c r="K56" s="1421" t="s">
        <v>843</v>
      </c>
      <c r="L56" s="1424" t="str">
        <f ca="1">IF(L48&lt;J51,"——",L48-J51)</f>
        <v>——</v>
      </c>
      <c r="O56" s="1418" t="s">
        <v>403</v>
      </c>
      <c r="P56" s="1419" t="s">
        <v>817</v>
      </c>
      <c r="Q56" s="1420">
        <f ca="1">C40+J29</f>
        <v>14383581</v>
      </c>
      <c r="R56" s="1420" t="s">
        <v>818</v>
      </c>
    </row>
    <row r="57" spans="1:18" s="1384" customFormat="1" ht="24.75" thickBot="1">
      <c r="A57" s="1451"/>
      <c r="B57" s="950" t="s">
        <v>767</v>
      </c>
      <c r="C57" s="238">
        <f ca="1">C29</f>
        <v>2492217</v>
      </c>
      <c r="D57" s="1452"/>
      <c r="E57" s="1453"/>
      <c r="F57" s="1454"/>
      <c r="I57" s="1455" t="s">
        <v>844</v>
      </c>
      <c r="J57" s="1456">
        <f ca="1">IF(OR(M47="住宅",J51&lt;L48,J56="是"),"——",J51-L48)</f>
        <v>14.57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52947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996887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76885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14383581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49844</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3103</v>
      </c>
      <c r="D65" s="964" t="s">
        <v>743</v>
      </c>
      <c r="E65" s="950" t="s">
        <v>744</v>
      </c>
      <c r="F65" s="330">
        <f t="shared" ca="1" si="0"/>
        <v>1.5E-3</v>
      </c>
      <c r="I65" s="1462" t="s">
        <v>867</v>
      </c>
      <c r="J65" s="1463">
        <v>40</v>
      </c>
      <c r="K65" s="1463">
        <v>30</v>
      </c>
      <c r="L65" s="1463">
        <v>50</v>
      </c>
      <c r="M65" s="1465">
        <v>0.02</v>
      </c>
      <c r="O65" s="1418" t="s">
        <v>403</v>
      </c>
      <c r="P65" s="1419" t="s">
        <v>868</v>
      </c>
      <c r="Q65" s="1420">
        <f ca="1">C40+J29</f>
        <v>14383581</v>
      </c>
      <c r="R65" s="1420" t="s">
        <v>818</v>
      </c>
    </row>
    <row r="66" spans="1:18" s="1384" customFormat="1" ht="16.5" thickBot="1">
      <c r="A66" s="982" t="s">
        <v>793</v>
      </c>
      <c r="B66" s="950" t="s">
        <v>728</v>
      </c>
      <c r="C66" s="21">
        <f ca="1">ROUND(C48*F66,0)</f>
        <v>0</v>
      </c>
      <c r="D66" s="964" t="s">
        <v>794</v>
      </c>
      <c r="E66" s="950" t="s">
        <v>712</v>
      </c>
      <c r="F66" s="312">
        <f t="shared" ca="1" si="0"/>
        <v>0.03</v>
      </c>
      <c r="O66" s="1418" t="s">
        <v>404</v>
      </c>
      <c r="P66" s="1419" t="s">
        <v>846</v>
      </c>
      <c r="Q66" s="1420">
        <f ca="1">L60</f>
        <v>0</v>
      </c>
      <c r="R66" s="1420" t="s">
        <v>869</v>
      </c>
    </row>
    <row r="67" spans="1:18" s="1384" customFormat="1" ht="16.5" thickBot="1">
      <c r="A67" s="957" t="s">
        <v>394</v>
      </c>
      <c r="B67" s="967" t="s">
        <v>752</v>
      </c>
      <c r="C67" s="316">
        <f ca="1">C48-C58</f>
        <v>-52947</v>
      </c>
      <c r="D67" s="963" t="s">
        <v>753</v>
      </c>
      <c r="E67" s="968"/>
      <c r="F67" s="969"/>
      <c r="O67" s="1428" t="s">
        <v>405</v>
      </c>
      <c r="P67" s="1419" t="s">
        <v>850</v>
      </c>
      <c r="Q67" s="1466">
        <f ca="1">L51</f>
        <v>9662244</v>
      </c>
      <c r="R67" s="1420" t="s">
        <v>870</v>
      </c>
    </row>
    <row r="68" spans="1:18" s="1384" customFormat="1" ht="16.5" thickBot="1">
      <c r="A68" s="947" t="s">
        <v>395</v>
      </c>
      <c r="B68" s="948" t="s">
        <v>774</v>
      </c>
      <c r="C68" s="301">
        <f ca="1">ROUND(C67*(1-((1+F70)/(1+F68))^F69)/(F68-F70),0)</f>
        <v>-818247</v>
      </c>
      <c r="D68" s="965" t="s">
        <v>758</v>
      </c>
      <c r="E68" s="950" t="s">
        <v>759</v>
      </c>
      <c r="F68" s="312">
        <f ca="1">F40</f>
        <v>5.5E-2</v>
      </c>
      <c r="O68" s="1428" t="s">
        <v>406</v>
      </c>
      <c r="P68" s="1467" t="s">
        <v>871</v>
      </c>
      <c r="Q68" s="1420">
        <f ca="1">ROUND(Q69-Q70*Q71,0)</f>
        <v>529266</v>
      </c>
      <c r="R68" s="1420" t="s">
        <v>414</v>
      </c>
    </row>
    <row r="69" spans="1:18" s="1384" customFormat="1" ht="13.5" thickBot="1">
      <c r="A69" s="951"/>
      <c r="B69" s="952"/>
      <c r="C69" s="306"/>
      <c r="D69" s="970" t="s">
        <v>762</v>
      </c>
      <c r="E69" s="950" t="s">
        <v>763</v>
      </c>
      <c r="F69" s="333">
        <f ca="1">F41</f>
        <v>35.43</v>
      </c>
      <c r="O69" s="1428" t="s">
        <v>411</v>
      </c>
      <c r="P69" s="1467" t="s">
        <v>872</v>
      </c>
      <c r="Q69" s="1420">
        <f ca="1">C39</f>
        <v>674064</v>
      </c>
      <c r="R69" s="1420" t="s">
        <v>818</v>
      </c>
    </row>
    <row r="70" spans="1:18" s="1384" customFormat="1" ht="13.5" thickBot="1">
      <c r="A70" s="954"/>
      <c r="B70" s="955"/>
      <c r="C70" s="310"/>
      <c r="D70" s="966"/>
      <c r="E70" s="950" t="s">
        <v>766</v>
      </c>
      <c r="F70" s="1054"/>
      <c r="O70" s="1428" t="s">
        <v>412</v>
      </c>
      <c r="P70" s="1467" t="s">
        <v>873</v>
      </c>
      <c r="Q70" s="1420">
        <f ca="1">C13</f>
        <v>2068540</v>
      </c>
      <c r="R70" s="1420" t="s">
        <v>818</v>
      </c>
    </row>
    <row r="71" spans="1:18" s="1384" customFormat="1" ht="13.5" thickBot="1">
      <c r="A71" s="971" t="s">
        <v>396</v>
      </c>
      <c r="B71" s="972" t="s">
        <v>776</v>
      </c>
      <c r="C71" s="336">
        <f ca="1">ROUND(C68/F71,0)</f>
        <v>-2107</v>
      </c>
      <c r="D71" s="973" t="s">
        <v>777</v>
      </c>
      <c r="E71" s="974" t="s">
        <v>778</v>
      </c>
      <c r="F71" s="339">
        <f ca="1">F43</f>
        <v>388.36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144798</v>
      </c>
      <c r="D75" s="1384"/>
      <c r="E75" s="1384"/>
      <c r="F75" s="1384"/>
      <c r="K75" s="1402"/>
      <c r="L75" s="1384"/>
      <c r="O75" s="1418" t="s">
        <v>409</v>
      </c>
      <c r="P75" s="1419" t="s">
        <v>838</v>
      </c>
      <c r="Q75" s="1420">
        <f ca="1">Q65+Q66</f>
        <v>14383581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0.78500000000000003</v>
      </c>
    </row>
    <row r="80" spans="1:18">
      <c r="B80" s="340" t="s">
        <v>800</v>
      </c>
      <c r="C80" s="274">
        <f ca="1">ROUND(C75/C39,3)</f>
        <v>0.215</v>
      </c>
    </row>
    <row r="81" spans="2:3">
      <c r="B81" s="270" t="s">
        <v>801</v>
      </c>
      <c r="C81" s="238"/>
    </row>
    <row r="82" spans="2:3">
      <c r="B82" s="273" t="s">
        <v>802</v>
      </c>
      <c r="C82" s="275">
        <f ca="1">1-C83</f>
        <v>0.85599999999999998</v>
      </c>
    </row>
    <row r="83" spans="2:3">
      <c r="B83" s="273" t="s">
        <v>803</v>
      </c>
      <c r="C83" s="274">
        <f ca="1">ROUND(C13/C40,3)</f>
        <v>0.14399999999999999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3359</v>
      </c>
      <c r="E2" s="3440"/>
      <c r="F2" s="2842"/>
      <c r="G2" s="2843"/>
      <c r="H2" s="2844"/>
      <c r="I2" s="2845"/>
      <c r="J2" s="3713" t="s">
        <v>2317</v>
      </c>
      <c r="K2" s="3714"/>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715" t="s">
        <v>2327</v>
      </c>
      <c r="K3" s="3716"/>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715" t="s">
        <v>2329</v>
      </c>
      <c r="K4" s="3716"/>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717" t="s">
        <v>2333</v>
      </c>
      <c r="B6" s="3718"/>
      <c r="C6" s="3719"/>
      <c r="D6" s="2866"/>
      <c r="E6" s="2867"/>
      <c r="F6" s="2868"/>
      <c r="G6" s="2869"/>
      <c r="H6" s="2844"/>
      <c r="I6" s="2845"/>
      <c r="J6" s="3720">
        <v>1</v>
      </c>
      <c r="K6" s="3721"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720"/>
      <c r="K7" s="3722"/>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724" t="s">
        <v>2347</v>
      </c>
      <c r="C8" s="3725"/>
      <c r="D8" s="2885" t="s">
        <v>2348</v>
      </c>
      <c r="E8" s="2886" t="s">
        <v>2349</v>
      </c>
      <c r="F8" s="2887" t="s">
        <v>2350</v>
      </c>
      <c r="G8" s="2888"/>
      <c r="H8" s="2844"/>
      <c r="I8" s="2845"/>
      <c r="J8" s="3720"/>
      <c r="K8" s="3722"/>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724" t="s">
        <v>2353</v>
      </c>
      <c r="C9" s="3725"/>
      <c r="D9" s="2885">
        <f>ROUND(D6*E9,0)</f>
        <v>0</v>
      </c>
      <c r="E9" s="2889"/>
      <c r="F9" s="2890" t="s">
        <v>2354</v>
      </c>
      <c r="G9" s="2869"/>
      <c r="H9" s="2844"/>
      <c r="I9" s="2845"/>
      <c r="J9" s="3720"/>
      <c r="K9" s="3722"/>
      <c r="L9" s="2879" t="s">
        <v>2355</v>
      </c>
      <c r="M9" s="2880"/>
      <c r="N9" s="2856"/>
      <c r="O9" s="2881"/>
      <c r="P9" s="2881"/>
      <c r="Q9" s="2882">
        <v>365</v>
      </c>
      <c r="R9" s="2883">
        <f t="shared" si="0"/>
        <v>0</v>
      </c>
      <c r="S9" s="2837"/>
      <c r="T9" s="2837"/>
      <c r="U9" s="2837"/>
      <c r="V9" s="2845"/>
    </row>
    <row r="10" spans="1:22" s="2849" customFormat="1" ht="13.15" customHeight="1">
      <c r="A10" s="2884">
        <v>2</v>
      </c>
      <c r="B10" s="3724" t="s">
        <v>2356</v>
      </c>
      <c r="C10" s="3725"/>
      <c r="D10" s="2885">
        <f>ROUND(D6*E10,0)</f>
        <v>0</v>
      </c>
      <c r="E10" s="2889"/>
      <c r="F10" s="2890" t="s">
        <v>2357</v>
      </c>
      <c r="G10" s="2869"/>
      <c r="H10" s="2844"/>
      <c r="I10" s="2845"/>
      <c r="J10" s="3720"/>
      <c r="K10" s="3722"/>
      <c r="L10" s="2879" t="s">
        <v>2358</v>
      </c>
      <c r="M10" s="2880"/>
      <c r="N10" s="2856"/>
      <c r="O10" s="2881"/>
      <c r="P10" s="2881"/>
      <c r="Q10" s="2882">
        <v>365</v>
      </c>
      <c r="R10" s="2883">
        <f t="shared" si="0"/>
        <v>0</v>
      </c>
      <c r="S10" s="2837"/>
      <c r="T10" s="2837"/>
      <c r="U10" s="2837"/>
      <c r="V10" s="2845"/>
    </row>
    <row r="11" spans="1:22" s="2849" customFormat="1" ht="13.15" customHeight="1">
      <c r="A11" s="2884">
        <v>3</v>
      </c>
      <c r="B11" s="3724" t="s">
        <v>2359</v>
      </c>
      <c r="C11" s="3725"/>
      <c r="D11" s="2885">
        <f>D12+D14+D15+D16</f>
        <v>0</v>
      </c>
      <c r="E11" s="2891" t="e">
        <f>D11/D6</f>
        <v>#DIV/0!</v>
      </c>
      <c r="F11" s="2887"/>
      <c r="G11" s="2888"/>
      <c r="H11" s="2844"/>
      <c r="I11" s="2845"/>
      <c r="J11" s="3720"/>
      <c r="K11" s="3722"/>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726" t="s">
        <v>2362</v>
      </c>
      <c r="C12" s="3727"/>
      <c r="D12" s="2893">
        <f>ROUND(D13*1.2%*(1-30%),0)</f>
        <v>0</v>
      </c>
      <c r="E12" s="2894">
        <v>1.2E-2</v>
      </c>
      <c r="F12" s="2887" t="s">
        <v>2363</v>
      </c>
      <c r="G12" s="2888"/>
      <c r="H12" s="2844"/>
      <c r="I12" s="2845"/>
      <c r="J12" s="3720"/>
      <c r="K12" s="3722"/>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720"/>
      <c r="K13" s="3722"/>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726" t="s">
        <v>2368</v>
      </c>
      <c r="C14" s="3727"/>
      <c r="D14" s="2893">
        <f>ROUND(E14*B5/10000,0)</f>
        <v>0</v>
      </c>
      <c r="E14" s="2882"/>
      <c r="F14" s="2887" t="s">
        <v>2369</v>
      </c>
      <c r="G14" s="2888"/>
      <c r="H14" s="2844"/>
      <c r="I14" s="2845"/>
      <c r="J14" s="3720"/>
      <c r="K14" s="3723"/>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726" t="s">
        <v>2372</v>
      </c>
      <c r="C15" s="3727"/>
      <c r="D15" s="2893">
        <f>ROUND(D6*E15,0)</f>
        <v>0</v>
      </c>
      <c r="E15" s="2894">
        <v>5.5E-2</v>
      </c>
      <c r="F15" s="2887" t="s">
        <v>2373</v>
      </c>
      <c r="G15" s="2869"/>
      <c r="H15" s="2844"/>
      <c r="I15" s="2845"/>
      <c r="J15" s="3720">
        <v>2</v>
      </c>
      <c r="K15" s="3721"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726" t="s">
        <v>2381</v>
      </c>
      <c r="C16" s="3727"/>
      <c r="D16" s="2904">
        <f>D6*E16</f>
        <v>0</v>
      </c>
      <c r="E16" s="2905"/>
      <c r="F16" s="2890" t="s">
        <v>2382</v>
      </c>
      <c r="G16" s="2869"/>
      <c r="H16" s="2844"/>
      <c r="I16" s="2845"/>
      <c r="J16" s="3720"/>
      <c r="K16" s="3722"/>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728" t="s">
        <v>2384</v>
      </c>
      <c r="C17" s="3729"/>
      <c r="D17" s="2907">
        <f>ROUND(D6*E17,0)</f>
        <v>0</v>
      </c>
      <c r="E17" s="2908"/>
      <c r="F17" s="2909" t="s">
        <v>2385</v>
      </c>
      <c r="G17" s="2869"/>
      <c r="H17" s="2844"/>
      <c r="I17" s="2845"/>
      <c r="J17" s="3720"/>
      <c r="K17" s="3722"/>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720"/>
      <c r="K18" s="3722"/>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720"/>
      <c r="K19" s="3723"/>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20">
        <v>3</v>
      </c>
      <c r="K20" s="3721"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720"/>
      <c r="K21" s="3722"/>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720"/>
      <c r="K22" s="3722"/>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720"/>
      <c r="K23" s="3722"/>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720"/>
      <c r="K24" s="3723"/>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730">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73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713" t="s">
        <v>2317</v>
      </c>
      <c r="K32" s="3714"/>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715" t="s">
        <v>2327</v>
      </c>
      <c r="K33" s="3716"/>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715" t="s">
        <v>2329</v>
      </c>
      <c r="K34" s="371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720">
        <v>1</v>
      </c>
      <c r="K36" s="3721"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720"/>
      <c r="K37" s="3722"/>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20"/>
      <c r="K38" s="3722"/>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720"/>
      <c r="K39" s="3722"/>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720"/>
      <c r="K40" s="3723"/>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730">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73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1446.0465999999999</v>
      </c>
      <c r="C2" s="1872" t="s">
        <v>1651</v>
      </c>
      <c r="D2" s="1873" t="s">
        <v>1652</v>
      </c>
      <c r="E2" s="2603">
        <f>SUM(E6:E13)</f>
        <v>388.36</v>
      </c>
      <c r="F2" s="2703"/>
      <c r="G2" s="1489"/>
      <c r="H2" s="1489"/>
      <c r="I2" s="1489"/>
      <c r="J2" s="1489"/>
      <c r="K2" s="1489"/>
      <c r="L2" s="1489"/>
      <c r="M2" s="1489"/>
      <c r="N2" s="1489"/>
      <c r="O2" s="1489"/>
      <c r="P2" s="1489"/>
      <c r="Q2" s="1489"/>
      <c r="R2" s="1489"/>
      <c r="S2" s="1489"/>
    </row>
    <row r="3" spans="1:22" ht="15.75">
      <c r="A3" s="1870" t="s">
        <v>686</v>
      </c>
      <c r="B3" s="2597">
        <f ca="1">ROUND(B2*10000/E2,0)</f>
        <v>37235</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732" t="s">
        <v>1654</v>
      </c>
      <c r="C5" s="3733"/>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1446.0465999999999</v>
      </c>
      <c r="C6" s="1872" t="s">
        <v>1651</v>
      </c>
      <c r="D6" s="2705"/>
      <c r="E6" s="2602">
        <f>IF(OR(A6=0,F6="否"),0,'数据-取费表'!K6+'数据-取费表'!S6)</f>
        <v>388.36</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388.36</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1"/>
      <c r="M4" s="2712"/>
      <c r="N4" s="2712"/>
      <c r="O4" s="2712"/>
      <c r="P4" s="3737" t="s">
        <v>1672</v>
      </c>
      <c r="Q4" s="3738"/>
      <c r="R4" s="3735" t="s">
        <v>1668</v>
      </c>
      <c r="S4" s="3736"/>
      <c r="T4" s="3735" t="s">
        <v>1669</v>
      </c>
      <c r="U4" s="3736"/>
      <c r="V4" s="3696" t="s">
        <v>1670</v>
      </c>
      <c r="W4" s="3696"/>
      <c r="X4" s="1355"/>
      <c r="Y4" s="3735" t="s">
        <v>1672</v>
      </c>
      <c r="Z4" s="3736"/>
      <c r="AA4" s="3734" t="s">
        <v>1668</v>
      </c>
      <c r="AB4" s="3734" t="s">
        <v>1669</v>
      </c>
      <c r="AC4" s="3734" t="s">
        <v>1670</v>
      </c>
    </row>
    <row r="5" spans="1:29" ht="15">
      <c r="A5" s="358"/>
      <c r="B5" s="359"/>
      <c r="C5" s="3673" t="s">
        <v>1673</v>
      </c>
      <c r="D5" s="3674"/>
      <c r="E5" s="3671" t="s">
        <v>1674</v>
      </c>
      <c r="F5" s="3672"/>
      <c r="G5" s="3673" t="s">
        <v>1675</v>
      </c>
      <c r="H5" s="3674"/>
      <c r="I5" s="3673" t="s">
        <v>1676</v>
      </c>
      <c r="J5" s="3674"/>
      <c r="K5" s="1890"/>
      <c r="L5" s="2711"/>
      <c r="M5" s="2712"/>
      <c r="N5" s="2712"/>
      <c r="O5" s="2712"/>
      <c r="P5" s="3739"/>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1"/>
      <c r="M6" s="2712"/>
      <c r="N6" s="2712"/>
      <c r="O6" s="2712"/>
      <c r="P6" s="3740"/>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65" t="s">
        <v>1680</v>
      </c>
      <c r="Q7" s="3698"/>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9"/>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79"/>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79"/>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79"/>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9"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00"/>
      <c r="Q16" s="1352"/>
      <c r="R16" s="705"/>
      <c r="S16" s="706"/>
      <c r="T16" s="705"/>
      <c r="U16" s="706"/>
      <c r="V16" s="705"/>
      <c r="W16" s="706"/>
      <c r="X16" s="1355"/>
      <c r="Y16" s="3702"/>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0"/>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00"/>
      <c r="Q18" s="1352"/>
      <c r="R18" s="705"/>
      <c r="S18" s="706"/>
      <c r="T18" s="705"/>
      <c r="U18" s="706"/>
      <c r="V18" s="705"/>
      <c r="W18" s="706"/>
      <c r="X18" s="1355"/>
      <c r="Y18" s="3702"/>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0"/>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00"/>
      <c r="Q20" s="1352"/>
      <c r="R20" s="705"/>
      <c r="S20" s="706"/>
      <c r="T20" s="705"/>
      <c r="U20" s="706"/>
      <c r="V20" s="705"/>
      <c r="W20" s="706"/>
      <c r="X20" s="1355"/>
      <c r="Y20" s="3702"/>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00"/>
      <c r="Q22" s="1352"/>
      <c r="R22" s="705"/>
      <c r="S22" s="706"/>
      <c r="T22" s="705"/>
      <c r="U22" s="706"/>
      <c r="V22" s="705"/>
      <c r="W22" s="706"/>
      <c r="X22" s="1355"/>
      <c r="Y22" s="3702"/>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0"/>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00"/>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00"/>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00"/>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00"/>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00"/>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00"/>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00"/>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708" t="str">
        <f>A47</f>
        <v>成交单价（元/平方米）</v>
      </c>
      <c r="Q47" s="3708"/>
      <c r="R47" s="3709">
        <f>E47</f>
        <v>0</v>
      </c>
      <c r="S47" s="3709"/>
      <c r="T47" s="3709">
        <f>G47</f>
        <v>0</v>
      </c>
      <c r="U47" s="3709"/>
      <c r="V47" s="3709">
        <f>I47</f>
        <v>0</v>
      </c>
      <c r="W47" s="370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388.36</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737" t="s">
        <v>1775</v>
      </c>
      <c r="Q4" s="3738"/>
      <c r="R4" s="3735" t="s">
        <v>1771</v>
      </c>
      <c r="S4" s="3736"/>
      <c r="T4" s="3735" t="s">
        <v>1772</v>
      </c>
      <c r="U4" s="3736"/>
      <c r="V4" s="3696" t="s">
        <v>1773</v>
      </c>
      <c r="W4" s="3696"/>
      <c r="X4" s="1355"/>
      <c r="Y4" s="3735" t="s">
        <v>1775</v>
      </c>
      <c r="Z4" s="3736"/>
      <c r="AA4" s="3734" t="s">
        <v>1771</v>
      </c>
      <c r="AB4" s="3696" t="s">
        <v>1772</v>
      </c>
      <c r="AC4" s="3734" t="s">
        <v>1773</v>
      </c>
    </row>
    <row r="5" spans="1:29" ht="15">
      <c r="A5" s="358"/>
      <c r="B5" s="359"/>
      <c r="C5" s="3673" t="s">
        <v>1673</v>
      </c>
      <c r="D5" s="3674"/>
      <c r="E5" s="3671" t="s">
        <v>1674</v>
      </c>
      <c r="F5" s="3672"/>
      <c r="G5" s="3673" t="s">
        <v>1675</v>
      </c>
      <c r="H5" s="3674"/>
      <c r="I5" s="3673" t="s">
        <v>1676</v>
      </c>
      <c r="J5" s="3674"/>
      <c r="K5" s="559"/>
      <c r="L5" s="2711"/>
      <c r="M5" s="2712"/>
      <c r="N5" s="2712"/>
      <c r="O5" s="2712"/>
      <c r="P5" s="3739"/>
      <c r="Q5" s="3690"/>
      <c r="R5" s="3669"/>
      <c r="S5" s="3670"/>
      <c r="T5" s="3669"/>
      <c r="U5" s="3670"/>
      <c r="V5" s="3696"/>
      <c r="W5" s="3696"/>
      <c r="X5" s="1355"/>
      <c r="Y5" s="3669"/>
      <c r="Z5" s="3670"/>
      <c r="AA5" s="3663"/>
      <c r="AB5" s="3696"/>
      <c r="AC5" s="3663"/>
    </row>
    <row r="6" spans="1:29" ht="15.75" thickBot="1">
      <c r="A6" s="360"/>
      <c r="B6" s="361"/>
      <c r="C6" s="3675" t="s">
        <v>1677</v>
      </c>
      <c r="D6" s="3676"/>
      <c r="E6" s="3677" t="s">
        <v>1677</v>
      </c>
      <c r="F6" s="3678"/>
      <c r="G6" s="3675" t="s">
        <v>1677</v>
      </c>
      <c r="H6" s="3676"/>
      <c r="I6" s="3675" t="s">
        <v>1677</v>
      </c>
      <c r="J6" s="3676"/>
      <c r="K6" s="559" t="s">
        <v>1678</v>
      </c>
      <c r="L6" s="2711"/>
      <c r="M6" s="2712"/>
      <c r="N6" s="2712"/>
      <c r="O6" s="2712"/>
      <c r="P6" s="3740"/>
      <c r="Q6" s="3692"/>
      <c r="R6" s="3669"/>
      <c r="S6" s="3670"/>
      <c r="T6" s="3693"/>
      <c r="U6" s="3694"/>
      <c r="V6" s="3696"/>
      <c r="W6" s="3696"/>
      <c r="X6" s="1355"/>
      <c r="Y6" s="3693"/>
      <c r="Z6" s="3694"/>
      <c r="AA6" s="3664"/>
      <c r="AB6" s="3696"/>
      <c r="AC6" s="3664"/>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79"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7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79"/>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99"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00"/>
      <c r="Q16" s="1352"/>
      <c r="R16" s="705"/>
      <c r="S16" s="706"/>
      <c r="T16" s="705"/>
      <c r="U16" s="706"/>
      <c r="V16" s="705"/>
      <c r="W16" s="706"/>
      <c r="X16" s="1355"/>
      <c r="Y16" s="3702"/>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00"/>
      <c r="Q18" s="1352"/>
      <c r="R18" s="705"/>
      <c r="S18" s="706"/>
      <c r="T18" s="705"/>
      <c r="U18" s="706"/>
      <c r="V18" s="705"/>
      <c r="W18" s="706"/>
      <c r="X18" s="1355"/>
      <c r="Y18" s="3702"/>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00"/>
      <c r="Q20" s="1352"/>
      <c r="R20" s="705"/>
      <c r="S20" s="706"/>
      <c r="T20" s="705"/>
      <c r="U20" s="706"/>
      <c r="V20" s="705"/>
      <c r="W20" s="706"/>
      <c r="X20" s="1355"/>
      <c r="Y20" s="3702"/>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00"/>
      <c r="Q22" s="1352"/>
      <c r="R22" s="705"/>
      <c r="S22" s="706"/>
      <c r="T22" s="705"/>
      <c r="U22" s="706"/>
      <c r="V22" s="705"/>
      <c r="W22" s="706"/>
      <c r="X22" s="1355"/>
      <c r="Y22" s="3702"/>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00"/>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00"/>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00"/>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0"/>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00"/>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0"/>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08" t="str">
        <f>A47</f>
        <v>成交单价（元/平方米）</v>
      </c>
      <c r="Q47" s="3708"/>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388.36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737" t="s">
        <v>1775</v>
      </c>
      <c r="Q4" s="3738"/>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673" t="s">
        <v>1673</v>
      </c>
      <c r="D5" s="3674"/>
      <c r="E5" s="3671" t="s">
        <v>1674</v>
      </c>
      <c r="F5" s="3672"/>
      <c r="G5" s="3673" t="s">
        <v>1675</v>
      </c>
      <c r="H5" s="3674"/>
      <c r="I5" s="3673" t="s">
        <v>1676</v>
      </c>
      <c r="J5" s="3674"/>
      <c r="K5" s="559"/>
      <c r="L5" s="913"/>
      <c r="M5" s="914"/>
      <c r="N5" s="914"/>
      <c r="O5" s="914"/>
      <c r="P5" s="3739"/>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740"/>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中国银行股份有限公司北京国贸支行：</v>
      </c>
    </row>
    <row r="4" spans="1:1" ht="36">
      <c r="A4" s="1480" t="str">
        <f>"受贵公司委托，我公司对"&amp;项目基本情况!S1&amp;"进行了预评估。"</f>
        <v>受贵公司委托，我公司对北京市朝阳区阜通东大街1号院6号楼12层1单元111511房地产抵押价值进行了预评估。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估价对象为北京市朝阳区阜通东大街1号院6号楼12层1单元111511房地产，为梁立志所有。根据《国有土地使用证》[]，估价对象（分摊）出让国有建设用地使用权面积为0平方米，建筑面积为388.36平方米。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6号楼12层1单元111511房地产,属梁立志开发建设的，该项目尚在开发建设中。根据《国有土地使用证》[]，估价对象（分摊）出让国有建设用地使用权面积为0平方米，规划建筑面积为388.36平方米。</v>
      </c>
    </row>
    <row r="11" spans="1:1" ht="76.5">
      <c r="A11" s="1483" t="s">
        <v>903</v>
      </c>
    </row>
    <row r="12" spans="1:1" ht="18.75">
      <c r="A12" s="1481" t="s">
        <v>904</v>
      </c>
    </row>
    <row r="13" spans="1:1" ht="38.25" customHeight="1">
      <c r="A13" s="1484" t="str">
        <f>IF(项目基本情况!B8="抵押",IF(项目基本情况!B5=项目基本情况!B6,定义!C51,定义!B51),定义!D51)</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737" t="s">
        <v>1775</v>
      </c>
      <c r="Q4" s="3738"/>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673" t="s">
        <v>1673</v>
      </c>
      <c r="D5" s="3674"/>
      <c r="E5" s="3671" t="s">
        <v>1674</v>
      </c>
      <c r="F5" s="3672"/>
      <c r="G5" s="3673" t="s">
        <v>1675</v>
      </c>
      <c r="H5" s="3674"/>
      <c r="I5" s="3673" t="s">
        <v>1676</v>
      </c>
      <c r="J5" s="3674"/>
      <c r="K5" s="559"/>
      <c r="L5" s="2711"/>
      <c r="M5" s="2712"/>
      <c r="N5" s="2712"/>
      <c r="O5" s="2712"/>
      <c r="P5" s="3739"/>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1"/>
      <c r="M6" s="2712"/>
      <c r="N6" s="2712"/>
      <c r="O6" s="2712"/>
      <c r="P6" s="3740"/>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5" t="s">
        <v>1680</v>
      </c>
      <c r="Q7" s="3698"/>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8"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02"/>
      <c r="Q15" s="1352"/>
      <c r="R15" s="705"/>
      <c r="S15" s="706"/>
      <c r="T15" s="705"/>
      <c r="U15" s="706"/>
      <c r="V15" s="705"/>
      <c r="W15" s="706"/>
      <c r="X15" s="1355"/>
      <c r="Y15" s="3702"/>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02"/>
      <c r="Q17" s="1352"/>
      <c r="R17" s="705"/>
      <c r="S17" s="706"/>
      <c r="T17" s="705"/>
      <c r="U17" s="706"/>
      <c r="V17" s="705"/>
      <c r="W17" s="706"/>
      <c r="X17" s="1355"/>
      <c r="Y17" s="3702"/>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02"/>
      <c r="Q19" s="1352"/>
      <c r="R19" s="705"/>
      <c r="S19" s="706"/>
      <c r="T19" s="705"/>
      <c r="U19" s="706"/>
      <c r="V19" s="705"/>
      <c r="W19" s="706"/>
      <c r="X19" s="1355"/>
      <c r="Y19" s="3702"/>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0"/>
      <c r="M37" s="2721"/>
      <c r="N37" s="2712"/>
      <c r="O37" s="2721"/>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41" t="str">
        <f>A39</f>
        <v>估价对象XX用房的比较价值（楼面单价，元/平方米）</v>
      </c>
      <c r="Q39" s="3742"/>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737" t="s">
        <v>1775</v>
      </c>
      <c r="Q4" s="3738"/>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673" t="s">
        <v>1673</v>
      </c>
      <c r="D5" s="3674"/>
      <c r="E5" s="3671" t="s">
        <v>1674</v>
      </c>
      <c r="F5" s="3672"/>
      <c r="G5" s="3673" t="s">
        <v>1675</v>
      </c>
      <c r="H5" s="3674"/>
      <c r="I5" s="3673" t="s">
        <v>1676</v>
      </c>
      <c r="J5" s="3674"/>
      <c r="K5" s="559"/>
      <c r="L5" s="2711"/>
      <c r="M5" s="2712"/>
      <c r="N5" s="2712"/>
      <c r="O5" s="2712"/>
      <c r="P5" s="3739"/>
      <c r="Q5" s="3690"/>
      <c r="R5" s="3669"/>
      <c r="S5" s="3670"/>
      <c r="T5" s="3669"/>
      <c r="U5" s="3670"/>
      <c r="V5" s="3696"/>
      <c r="W5" s="3696"/>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1"/>
      <c r="M6" s="2712"/>
      <c r="N6" s="2712"/>
      <c r="O6" s="2712"/>
      <c r="P6" s="3740"/>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45425</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65" t="s">
        <v>1680</v>
      </c>
      <c r="Q7" s="3698"/>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8"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02"/>
      <c r="Q15" s="1352"/>
      <c r="R15" s="705"/>
      <c r="S15" s="706"/>
      <c r="T15" s="705"/>
      <c r="U15" s="706"/>
      <c r="V15" s="705"/>
      <c r="W15" s="706"/>
      <c r="X15" s="1355"/>
      <c r="Y15" s="3702"/>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702"/>
      <c r="Q17" s="1352"/>
      <c r="R17" s="705"/>
      <c r="S17" s="706"/>
      <c r="T17" s="705"/>
      <c r="U17" s="706"/>
      <c r="V17" s="705"/>
      <c r="W17" s="706"/>
      <c r="X17" s="1355"/>
      <c r="Y17" s="3702"/>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702"/>
      <c r="Q19" s="1352"/>
      <c r="R19" s="705"/>
      <c r="S19" s="706"/>
      <c r="T19" s="705"/>
      <c r="U19" s="706"/>
      <c r="V19" s="705"/>
      <c r="W19" s="706"/>
      <c r="X19" s="1355"/>
      <c r="Y19" s="3702"/>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41" t="str">
        <f>A37</f>
        <v>估价对象XX用房的比较价值（楼面单价，元/平方米）</v>
      </c>
      <c r="Q37" s="3742"/>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1"/>
      <c r="M4" s="2712"/>
      <c r="N4" s="2712"/>
      <c r="O4" s="2712"/>
      <c r="P4" s="3737" t="s">
        <v>1775</v>
      </c>
      <c r="Q4" s="3738"/>
      <c r="R4" s="3735" t="s">
        <v>1771</v>
      </c>
      <c r="S4" s="3736"/>
      <c r="T4" s="3735" t="s">
        <v>1772</v>
      </c>
      <c r="U4" s="3736"/>
      <c r="V4" s="3696" t="s">
        <v>1773</v>
      </c>
      <c r="W4" s="3696"/>
      <c r="X4" s="1355"/>
      <c r="Y4" s="3735" t="s">
        <v>1775</v>
      </c>
      <c r="Z4" s="3736"/>
      <c r="AA4" s="3734" t="s">
        <v>1771</v>
      </c>
      <c r="AB4" s="3663" t="s">
        <v>1772</v>
      </c>
      <c r="AC4" s="3734" t="s">
        <v>1773</v>
      </c>
    </row>
    <row r="5" spans="1:30" ht="15">
      <c r="A5" s="358"/>
      <c r="B5" s="359"/>
      <c r="C5" s="3673" t="s">
        <v>1673</v>
      </c>
      <c r="D5" s="3674"/>
      <c r="E5" s="3671" t="s">
        <v>1674</v>
      </c>
      <c r="F5" s="3672"/>
      <c r="G5" s="3673" t="s">
        <v>1675</v>
      </c>
      <c r="H5" s="3674"/>
      <c r="I5" s="3673" t="s">
        <v>1676</v>
      </c>
      <c r="J5" s="3674"/>
      <c r="K5" s="559"/>
      <c r="L5" s="2711"/>
      <c r="M5" s="2712"/>
      <c r="N5" s="2712"/>
      <c r="O5" s="2712"/>
      <c r="P5" s="3739"/>
      <c r="Q5" s="3690"/>
      <c r="R5" s="3669"/>
      <c r="S5" s="3670"/>
      <c r="T5" s="3669"/>
      <c r="U5" s="3670"/>
      <c r="V5" s="3696"/>
      <c r="W5" s="3696"/>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1"/>
      <c r="M6" s="2712"/>
      <c r="N6" s="2712"/>
      <c r="O6" s="2712"/>
      <c r="P6" s="3740"/>
      <c r="Q6" s="3692"/>
      <c r="R6" s="3669"/>
      <c r="S6" s="3670"/>
      <c r="T6" s="3693"/>
      <c r="U6" s="3694"/>
      <c r="V6" s="3696"/>
      <c r="W6" s="3696"/>
      <c r="X6" s="1355"/>
      <c r="Y6" s="3693"/>
      <c r="Z6" s="3694"/>
      <c r="AA6" s="3664"/>
      <c r="AB6" s="3664"/>
      <c r="AC6" s="3664"/>
    </row>
    <row r="7" spans="1:30" s="108" customFormat="1" ht="15.75" thickBot="1">
      <c r="A7" s="362" t="s">
        <v>1679</v>
      </c>
      <c r="B7" s="363"/>
      <c r="C7" s="364">
        <f>'数据-取费表'!B2</f>
        <v>45425</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5"/>
      <c r="M10" s="2716"/>
      <c r="N10" s="2716"/>
      <c r="O10" s="2769"/>
      <c r="P10" s="3708"/>
      <c r="Q10" s="1343" t="str">
        <f t="shared" si="6"/>
        <v>土地使用年限（年）</v>
      </c>
      <c r="R10" s="701" t="s">
        <v>14</v>
      </c>
      <c r="S10" s="702">
        <f t="shared" si="0"/>
        <v>111</v>
      </c>
      <c r="T10" s="701" t="s">
        <v>14</v>
      </c>
      <c r="U10" s="702">
        <f t="shared" si="1"/>
        <v>111</v>
      </c>
      <c r="V10" s="701" t="s">
        <v>14</v>
      </c>
      <c r="W10" s="702">
        <f t="shared" si="2"/>
        <v>111</v>
      </c>
      <c r="X10" s="703"/>
      <c r="Y10" s="3630"/>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0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8"/>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702"/>
      <c r="Q16" s="1352"/>
      <c r="R16" s="705"/>
      <c r="S16" s="706"/>
      <c r="T16" s="705"/>
      <c r="U16" s="706"/>
      <c r="V16" s="705"/>
      <c r="W16" s="706"/>
      <c r="X16" s="1355"/>
      <c r="Y16" s="3702"/>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702"/>
      <c r="Q18" s="1352"/>
      <c r="R18" s="705"/>
      <c r="S18" s="706"/>
      <c r="T18" s="705"/>
      <c r="U18" s="706"/>
      <c r="V18" s="705"/>
      <c r="W18" s="706"/>
      <c r="X18" s="1355"/>
      <c r="Y18" s="3702"/>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702"/>
      <c r="Q20" s="1352"/>
      <c r="R20" s="705"/>
      <c r="S20" s="706"/>
      <c r="T20" s="705"/>
      <c r="U20" s="706"/>
      <c r="V20" s="705"/>
      <c r="W20" s="706"/>
      <c r="X20" s="1355"/>
      <c r="Y20" s="3702"/>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702"/>
      <c r="Q24" s="1352"/>
      <c r="R24" s="705"/>
      <c r="S24" s="706"/>
      <c r="T24" s="705"/>
      <c r="U24" s="706"/>
      <c r="V24" s="705"/>
      <c r="W24" s="706"/>
      <c r="X24" s="1355"/>
      <c r="Y24" s="3702"/>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702"/>
      <c r="Q26" s="1352"/>
      <c r="R26" s="705"/>
      <c r="S26" s="706"/>
      <c r="T26" s="705"/>
      <c r="U26" s="706"/>
      <c r="V26" s="705"/>
      <c r="W26" s="706"/>
      <c r="X26" s="1355"/>
      <c r="Y26" s="3702"/>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702"/>
      <c r="Q28" s="1343"/>
      <c r="R28" s="701"/>
      <c r="S28" s="702"/>
      <c r="T28" s="701"/>
      <c r="U28" s="702"/>
      <c r="V28" s="701"/>
      <c r="W28" s="702"/>
      <c r="X28" s="703"/>
      <c r="Y28" s="3702"/>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4"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708" t="str">
        <f>A46</f>
        <v>成交单价</v>
      </c>
      <c r="Q46" s="3708"/>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708" t="str">
        <f>A47</f>
        <v>比较价值（元/平方米）</v>
      </c>
      <c r="Q47" s="3708"/>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41" t="str">
        <f>A48</f>
        <v>估价对象XX用房的比较价值（楼面单价，元/平方米）</v>
      </c>
      <c r="Q48" s="3742"/>
      <c r="R48" s="3747" t="e">
        <f>ROUND(IF(D47="简单平均",AVERAGE(R47:W47),R47*F47+T47*H47+V47*J47),0)</f>
        <v>#DIV/0!</v>
      </c>
      <c r="S48" s="3747"/>
      <c r="T48" s="3747"/>
      <c r="U48" s="3747"/>
      <c r="V48" s="3747"/>
      <c r="W48" s="374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83" t="s">
        <v>1887</v>
      </c>
      <c r="H55" s="3748"/>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388.36</v>
      </c>
      <c r="F56" s="886" t="e">
        <f t="shared" ref="F56:F64" si="15">ROUND(B56*E56/10000,0)</f>
        <v>#DIV/0!</v>
      </c>
      <c r="G56" s="3679"/>
      <c r="H56" s="3708"/>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388.36</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737" t="s">
        <v>1775</v>
      </c>
      <c r="Q4" s="3738"/>
      <c r="R4" s="3735" t="s">
        <v>1771</v>
      </c>
      <c r="S4" s="3736"/>
      <c r="T4" s="3735" t="s">
        <v>1772</v>
      </c>
      <c r="U4" s="3736"/>
      <c r="V4" s="3696" t="s">
        <v>1773</v>
      </c>
      <c r="W4" s="3696"/>
      <c r="X4" s="1355"/>
      <c r="Y4" s="3735" t="s">
        <v>1775</v>
      </c>
      <c r="Z4" s="3736"/>
      <c r="AA4" s="3734" t="s">
        <v>1771</v>
      </c>
      <c r="AB4" s="3663" t="s">
        <v>1772</v>
      </c>
      <c r="AC4" s="3734" t="s">
        <v>1773</v>
      </c>
    </row>
    <row r="5" spans="1:29" ht="15">
      <c r="A5" s="358"/>
      <c r="B5" s="359"/>
      <c r="C5" s="3673" t="s">
        <v>1673</v>
      </c>
      <c r="D5" s="3674"/>
      <c r="E5" s="3671" t="s">
        <v>1674</v>
      </c>
      <c r="F5" s="3672"/>
      <c r="G5" s="3673" t="s">
        <v>1675</v>
      </c>
      <c r="H5" s="3674"/>
      <c r="I5" s="3673" t="s">
        <v>1676</v>
      </c>
      <c r="J5" s="3674"/>
      <c r="K5" s="559"/>
      <c r="L5" s="2711"/>
      <c r="M5" s="2712"/>
      <c r="N5" s="2712"/>
      <c r="O5" s="2712"/>
      <c r="P5" s="3739"/>
      <c r="Q5" s="3690"/>
      <c r="R5" s="3669"/>
      <c r="S5" s="3670"/>
      <c r="T5" s="3669"/>
      <c r="U5" s="3670"/>
      <c r="V5" s="3696"/>
      <c r="W5" s="3696"/>
      <c r="X5" s="1355"/>
      <c r="Y5" s="3669"/>
      <c r="Z5" s="3670"/>
      <c r="AA5" s="3663"/>
      <c r="AB5" s="3663"/>
      <c r="AC5" s="3663"/>
    </row>
    <row r="6" spans="1:29" ht="15.75" thickBot="1">
      <c r="A6" s="360"/>
      <c r="B6" s="361"/>
      <c r="C6" s="3749" t="s">
        <v>1919</v>
      </c>
      <c r="D6" s="3750"/>
      <c r="E6" s="3751" t="s">
        <v>1919</v>
      </c>
      <c r="F6" s="3752"/>
      <c r="G6" s="3749" t="s">
        <v>1919</v>
      </c>
      <c r="H6" s="3750"/>
      <c r="I6" s="3749" t="s">
        <v>1919</v>
      </c>
      <c r="J6" s="3750"/>
      <c r="K6" s="559" t="s">
        <v>1678</v>
      </c>
      <c r="L6" s="2711"/>
      <c r="M6" s="2712"/>
      <c r="N6" s="2712"/>
      <c r="O6" s="2712"/>
      <c r="P6" s="3740"/>
      <c r="Q6" s="3692"/>
      <c r="R6" s="3669"/>
      <c r="S6" s="3670"/>
      <c r="T6" s="3693"/>
      <c r="U6" s="3694"/>
      <c r="V6" s="3696"/>
      <c r="W6" s="3696"/>
      <c r="X6" s="1355"/>
      <c r="Y6" s="3693"/>
      <c r="Z6" s="3694"/>
      <c r="AA6" s="3664"/>
      <c r="AB6" s="3664"/>
      <c r="AC6" s="3664"/>
    </row>
    <row r="7" spans="1:29" s="108" customFormat="1" ht="15.75" thickBot="1">
      <c r="A7" s="362" t="s">
        <v>1679</v>
      </c>
      <c r="B7" s="363"/>
      <c r="C7" s="364">
        <f>'数据-取费表'!B2</f>
        <v>45425</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65" t="s">
        <v>1680</v>
      </c>
      <c r="Q7" s="3698"/>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08"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5"/>
      <c r="M10" s="2716"/>
      <c r="N10" s="2716"/>
      <c r="O10" s="2769"/>
      <c r="P10" s="3708"/>
      <c r="Q10" s="1343" t="str">
        <f t="shared" si="6"/>
        <v>土地使用年限（年）</v>
      </c>
      <c r="R10" s="701" t="s">
        <v>14</v>
      </c>
      <c r="S10" s="702">
        <f t="shared" si="0"/>
        <v>111</v>
      </c>
      <c r="T10" s="701" t="s">
        <v>14</v>
      </c>
      <c r="U10" s="702">
        <f t="shared" si="1"/>
        <v>111</v>
      </c>
      <c r="V10" s="701" t="s">
        <v>14</v>
      </c>
      <c r="W10" s="702">
        <f t="shared" si="2"/>
        <v>111</v>
      </c>
      <c r="X10" s="703"/>
      <c r="Y10" s="3630"/>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4"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708" t="str">
        <f>A41</f>
        <v>成交单价</v>
      </c>
      <c r="Q41" s="3708"/>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708" t="str">
        <f>A42</f>
        <v>比较价值（元/平方米）</v>
      </c>
      <c r="Q42" s="3708"/>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41" t="str">
        <f>A43</f>
        <v>估价对象XX用房的比较价值（楼面单价，元/平方米）</v>
      </c>
      <c r="Q43" s="3742"/>
      <c r="R43" s="3747" t="e">
        <f>ROUND(IF(D42="简单平均",AVERAGE(R42:W42),R42*F42+T42*H42+V42*J42),0)</f>
        <v>#DIV/0!</v>
      </c>
      <c r="S43" s="3747"/>
      <c r="T43" s="3747"/>
      <c r="U43" s="3747"/>
      <c r="V43" s="3747"/>
      <c r="W43" s="374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83" t="s">
        <v>1887</v>
      </c>
      <c r="H50" s="3748"/>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388.36</v>
      </c>
      <c r="F51" s="639" t="e">
        <f t="shared" ref="F51:F60" si="15">ROUND(B51*E51/10000,0)</f>
        <v>#DIV/0!</v>
      </c>
      <c r="G51" s="3679"/>
      <c r="H51" s="3708"/>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8" t="e">
        <f ca="1">SUMIF(B6:B13,"&lt;&gt;#ref!",B6:B13)</f>
        <v>#DIV/0!</v>
      </c>
      <c r="C2" s="2145" t="s">
        <v>2074</v>
      </c>
      <c r="D2" s="2145" t="s">
        <v>2075</v>
      </c>
      <c r="E2" s="2608">
        <f ca="1">SUMIF(E6:E13,"&lt;&gt;#ref!",E6:E13)</f>
        <v>0</v>
      </c>
      <c r="F2" s="2789"/>
      <c r="G2" s="2789"/>
      <c r="H2" s="2789"/>
      <c r="I2" s="2789"/>
      <c r="J2" s="2789"/>
      <c r="K2" s="2789"/>
      <c r="L2" s="2789"/>
      <c r="M2" s="2789"/>
      <c r="N2" s="2789"/>
      <c r="O2" s="2789"/>
      <c r="P2" s="2789"/>
    </row>
    <row r="3" spans="1:16" ht="15.75">
      <c r="A3" s="2145" t="s">
        <v>2076</v>
      </c>
      <c r="B3" s="2598"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6"/>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5"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5"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66"/>
      <c r="B4" s="3767"/>
      <c r="C4" s="3767"/>
      <c r="D4" s="3768"/>
      <c r="E4" s="3768"/>
      <c r="F4" s="3768"/>
      <c r="G4" s="3768"/>
      <c r="H4" s="3768"/>
      <c r="I4" s="3768"/>
      <c r="J4" s="37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65"/>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6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3248</v>
      </c>
      <c r="E18" s="3325"/>
      <c r="F18" s="3320" t="s">
        <v>3251</v>
      </c>
      <c r="G18" s="3324">
        <f>ROUND(1-(1/(POWER(1+G24,E18))),4)</f>
        <v>0</v>
      </c>
      <c r="H18" s="3320" t="s">
        <v>3253</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3249</v>
      </c>
      <c r="E19" s="3334"/>
      <c r="F19" s="3335" t="s">
        <v>3252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70" t="s">
        <v>3254</v>
      </c>
      <c r="B20" s="167" t="s">
        <v>1994</v>
      </c>
      <c r="C20" s="3321" t="e">
        <f>ROUND(IF(F21="与级别开发程度一致",0,(G21-E21)/C21),0)</f>
        <v>#DIV/0!</v>
      </c>
      <c r="D20" s="3337" t="s">
        <v>1998</v>
      </c>
      <c r="E20" s="3338"/>
      <c r="F20" s="3776" t="s">
        <v>1995</v>
      </c>
      <c r="G20" s="3777"/>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7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45425</v>
      </c>
      <c r="H23" s="3339" t="s">
        <v>3256</v>
      </c>
      <c r="I23" s="3340" t="str">
        <f>IF(H23="季度增幅（自定义）",SUMIF(N25:N28,E2,O25:O28),"")</f>
        <v/>
      </c>
      <c r="J23" s="3442" t="s">
        <v>3255</v>
      </c>
      <c r="K23" s="1125"/>
      <c r="L23" s="2055" t="s">
        <v>2004</v>
      </c>
      <c r="M23" s="1328">
        <f>ROUND(SUMIF(地价!B2:G2,E2,地价!B16:G16),0)</f>
        <v>0</v>
      </c>
      <c r="N23" s="2056" t="s">
        <v>2005</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3335</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3260</v>
      </c>
      <c r="G33" s="2099"/>
      <c r="H33" s="2099"/>
      <c r="I33" s="2099"/>
      <c r="J33" s="2100"/>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5"/>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3273</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3277</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3278</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3279</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2" t="s">
        <v>3294</v>
      </c>
      <c r="B103" s="3772"/>
      <c r="C103" s="3772"/>
      <c r="D103" s="3772"/>
      <c r="E103" s="3772"/>
      <c r="F103" s="3772"/>
      <c r="G103" s="3772"/>
      <c r="H103" s="3772"/>
      <c r="I103" s="3772"/>
      <c r="J103" s="3772"/>
      <c r="K103" s="3386"/>
      <c r="L103" s="3386"/>
      <c r="M103" s="3386"/>
      <c r="N103" s="3386"/>
    </row>
    <row r="104" spans="1:14">
      <c r="A104" s="3773" t="s">
        <v>3295</v>
      </c>
      <c r="B104" s="3773" t="s">
        <v>3296</v>
      </c>
      <c r="C104" s="3387" t="s">
        <v>3297</v>
      </c>
      <c r="D104" s="3388"/>
      <c r="E104" s="3388"/>
      <c r="F104" s="3388"/>
      <c r="G104" s="3388"/>
      <c r="H104" s="3388"/>
      <c r="I104" s="3388"/>
      <c r="J104" s="3389"/>
      <c r="K104" s="3390"/>
      <c r="L104" s="3390"/>
      <c r="M104" s="3390"/>
      <c r="N104" s="3390"/>
    </row>
    <row r="105" spans="1:14">
      <c r="A105" s="3773"/>
      <c r="B105" s="3773"/>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59"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0"/>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2" t="s">
        <v>3311</v>
      </c>
      <c r="B113" s="3762"/>
      <c r="C113" s="3762"/>
      <c r="D113" s="3762"/>
      <c r="E113" s="3762"/>
      <c r="F113" s="3762"/>
      <c r="G113" s="3762"/>
      <c r="H113" s="3762"/>
      <c r="I113" s="3762"/>
      <c r="J113" s="376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2000" t="s">
        <v>3314</v>
      </c>
      <c r="F116" s="3398">
        <f>E2</f>
        <v>0</v>
      </c>
      <c r="G116" s="2000" t="s">
        <v>3315</v>
      </c>
      <c r="H116" s="3398">
        <f>G2</f>
        <v>0</v>
      </c>
      <c r="I116" s="2000"/>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2612</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85" t="s">
        <v>2607</v>
      </c>
      <c r="B20" s="3778" t="s">
        <v>2628</v>
      </c>
      <c r="C20" s="3099" t="s">
        <v>2439</v>
      </c>
      <c r="D20" s="3100"/>
      <c r="E20" s="3101">
        <v>1</v>
      </c>
      <c r="F20" s="3102" t="s">
        <v>2440</v>
      </c>
      <c r="G20" s="3102"/>
    </row>
    <row r="21" spans="1:13" ht="19.5" customHeight="1">
      <c r="A21" s="3786"/>
      <c r="B21" s="3779"/>
      <c r="C21" s="3103" t="s">
        <v>2441</v>
      </c>
      <c r="D21" s="3104"/>
      <c r="E21" s="3105">
        <v>1</v>
      </c>
      <c r="F21" s="3102" t="s">
        <v>2442</v>
      </c>
      <c r="G21" s="3102"/>
    </row>
    <row r="22" spans="1:13" ht="19.5" customHeight="1">
      <c r="A22" s="3786"/>
      <c r="B22" s="3779"/>
      <c r="C22" s="3103" t="s">
        <v>2443</v>
      </c>
      <c r="D22" s="3104"/>
      <c r="E22" s="3105">
        <v>0.9</v>
      </c>
      <c r="F22" s="3102" t="s">
        <v>2444</v>
      </c>
      <c r="G22" s="3102"/>
    </row>
    <row r="23" spans="1:13" ht="19.5" customHeight="1">
      <c r="A23" s="3786"/>
      <c r="B23" s="3779"/>
      <c r="C23" s="3103" t="s">
        <v>2445</v>
      </c>
      <c r="D23" s="3104"/>
      <c r="E23" s="3105">
        <v>0.9</v>
      </c>
      <c r="F23" s="3102" t="s">
        <v>2446</v>
      </c>
      <c r="G23" s="3102"/>
    </row>
    <row r="24" spans="1:13" ht="19.5" customHeight="1">
      <c r="A24" s="3786"/>
      <c r="B24" s="3779"/>
      <c r="C24" s="3103" t="s">
        <v>2447</v>
      </c>
      <c r="D24" s="3104"/>
      <c r="E24" s="3105">
        <v>0.8</v>
      </c>
      <c r="F24" s="3102" t="s">
        <v>2448</v>
      </c>
      <c r="G24" s="3102"/>
    </row>
    <row r="25" spans="1:13" ht="19.5" customHeight="1" thickBot="1">
      <c r="A25" s="3787"/>
      <c r="B25" s="3780"/>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81" t="s">
        <v>2631</v>
      </c>
      <c r="B27" s="3778" t="s">
        <v>2612</v>
      </c>
      <c r="C27" s="3099" t="s">
        <v>2452</v>
      </c>
      <c r="D27" s="3100"/>
      <c r="E27" s="3101">
        <v>1</v>
      </c>
      <c r="F27" s="3102" t="s">
        <v>2453</v>
      </c>
      <c r="G27" s="3102"/>
    </row>
    <row r="28" spans="1:13" ht="19.5" customHeight="1">
      <c r="A28" s="3782"/>
      <c r="B28" s="3779"/>
      <c r="C28" s="3103" t="s">
        <v>2454</v>
      </c>
      <c r="D28" s="3104"/>
      <c r="E28" s="3105">
        <v>1</v>
      </c>
      <c r="F28" s="3102" t="s">
        <v>2455</v>
      </c>
      <c r="G28" s="3102"/>
    </row>
    <row r="29" spans="1:13" ht="19.5" customHeight="1">
      <c r="A29" s="3782"/>
      <c r="B29" s="3779"/>
      <c r="C29" s="3103" t="s">
        <v>2456</v>
      </c>
      <c r="D29" s="3104"/>
      <c r="E29" s="3105">
        <v>0.8</v>
      </c>
      <c r="F29" s="3102" t="s">
        <v>2457</v>
      </c>
      <c r="G29" s="3102"/>
    </row>
    <row r="30" spans="1:13" ht="19.5" customHeight="1">
      <c r="A30" s="3782"/>
      <c r="B30" s="3779"/>
      <c r="C30" s="3103" t="s">
        <v>2458</v>
      </c>
      <c r="D30" s="3104"/>
      <c r="E30" s="3105">
        <v>0.8</v>
      </c>
      <c r="F30" s="3102" t="s">
        <v>2459</v>
      </c>
      <c r="G30" s="3102"/>
    </row>
    <row r="31" spans="1:13" ht="19.5" customHeight="1">
      <c r="A31" s="3782"/>
      <c r="B31" s="3779"/>
      <c r="C31" s="3103" t="s">
        <v>2460</v>
      </c>
      <c r="D31" s="3104"/>
      <c r="E31" s="3105">
        <v>0.8</v>
      </c>
      <c r="F31" s="3102" t="s">
        <v>2461</v>
      </c>
      <c r="G31" s="3102"/>
    </row>
    <row r="32" spans="1:13" ht="19.5" customHeight="1">
      <c r="A32" s="3782"/>
      <c r="B32" s="3779"/>
      <c r="C32" s="3103" t="s">
        <v>2462</v>
      </c>
      <c r="D32" s="3104"/>
      <c r="E32" s="3105">
        <v>0.7</v>
      </c>
      <c r="F32" s="3102" t="s">
        <v>2463</v>
      </c>
      <c r="G32" s="3102"/>
    </row>
    <row r="33" spans="1:7" ht="19.5" customHeight="1">
      <c r="A33" s="3782"/>
      <c r="B33" s="3779"/>
      <c r="C33" s="3103" t="s">
        <v>2464</v>
      </c>
      <c r="D33" s="3104"/>
      <c r="E33" s="3105">
        <v>0.8</v>
      </c>
      <c r="F33" s="3102" t="s">
        <v>2465</v>
      </c>
      <c r="G33" s="3102"/>
    </row>
    <row r="34" spans="1:7" ht="19.5" customHeight="1">
      <c r="A34" s="3782"/>
      <c r="B34" s="3779"/>
      <c r="C34" s="3103" t="s">
        <v>2466</v>
      </c>
      <c r="D34" s="3104"/>
      <c r="E34" s="3105">
        <v>0.6</v>
      </c>
      <c r="F34" s="3102" t="s">
        <v>2467</v>
      </c>
      <c r="G34" s="3102"/>
    </row>
    <row r="35" spans="1:7" ht="19.5" customHeight="1">
      <c r="A35" s="3782"/>
      <c r="B35" s="3779"/>
      <c r="C35" s="3103" t="s">
        <v>2468</v>
      </c>
      <c r="D35" s="3104"/>
      <c r="E35" s="3105">
        <v>0.2</v>
      </c>
      <c r="F35" s="3102" t="s">
        <v>2469</v>
      </c>
      <c r="G35" s="3102"/>
    </row>
    <row r="36" spans="1:7" ht="19.5" customHeight="1">
      <c r="A36" s="3782"/>
      <c r="B36" s="3779"/>
      <c r="C36" s="3103" t="s">
        <v>2470</v>
      </c>
      <c r="D36" s="3104"/>
      <c r="E36" s="3105">
        <v>0.2</v>
      </c>
      <c r="F36" s="3102" t="s">
        <v>2471</v>
      </c>
      <c r="G36" s="3102"/>
    </row>
    <row r="37" spans="1:7" ht="19.5" customHeight="1">
      <c r="A37" s="3782"/>
      <c r="B37" s="3784" t="s">
        <v>2632</v>
      </c>
      <c r="C37" s="3103" t="s">
        <v>2472</v>
      </c>
      <c r="D37" s="3104"/>
      <c r="E37" s="3105">
        <v>0.6</v>
      </c>
      <c r="F37" s="3102" t="s">
        <v>2473</v>
      </c>
      <c r="G37" s="3102"/>
    </row>
    <row r="38" spans="1:7" ht="19.5" customHeight="1">
      <c r="A38" s="3782"/>
      <c r="B38" s="3779"/>
      <c r="C38" s="3103" t="s">
        <v>2474</v>
      </c>
      <c r="D38" s="3104"/>
      <c r="E38" s="3105">
        <v>0.6</v>
      </c>
      <c r="F38" s="3102" t="s">
        <v>2475</v>
      </c>
      <c r="G38" s="3102"/>
    </row>
    <row r="39" spans="1:7" ht="19.5" customHeight="1" thickBot="1">
      <c r="A39" s="3783"/>
      <c r="B39" s="3780"/>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85" t="s">
        <v>2610</v>
      </c>
      <c r="B41" s="3778" t="s">
        <v>2634</v>
      </c>
      <c r="C41" s="3099" t="s">
        <v>2479</v>
      </c>
      <c r="D41" s="3100"/>
      <c r="E41" s="3101">
        <v>1</v>
      </c>
      <c r="F41" s="3102" t="s">
        <v>2480</v>
      </c>
      <c r="G41" s="3102"/>
    </row>
    <row r="42" spans="1:7" ht="19.5" customHeight="1">
      <c r="A42" s="3786"/>
      <c r="B42" s="3779"/>
      <c r="C42" s="3103" t="s">
        <v>2481</v>
      </c>
      <c r="D42" s="3104"/>
      <c r="E42" s="3105">
        <v>1</v>
      </c>
      <c r="F42" s="3102" t="s">
        <v>2482</v>
      </c>
      <c r="G42" s="3102"/>
    </row>
    <row r="43" spans="1:7" ht="19.5" customHeight="1">
      <c r="A43" s="3786"/>
      <c r="B43" s="3788"/>
      <c r="C43" s="3103" t="s">
        <v>2483</v>
      </c>
      <c r="D43" s="3104"/>
      <c r="E43" s="3105">
        <v>1.5</v>
      </c>
      <c r="F43" s="3102" t="s">
        <v>2484</v>
      </c>
      <c r="G43" s="3102"/>
    </row>
    <row r="44" spans="1:7" ht="19.5" customHeight="1">
      <c r="A44" s="3786"/>
      <c r="B44" s="3114" t="s">
        <v>2635</v>
      </c>
      <c r="C44" s="3103" t="s">
        <v>2636</v>
      </c>
      <c r="D44" s="3104"/>
      <c r="E44" s="3105">
        <v>2</v>
      </c>
      <c r="F44" s="3102" t="s">
        <v>2485</v>
      </c>
      <c r="G44" s="3102"/>
    </row>
    <row r="45" spans="1:7" ht="19.5" customHeight="1">
      <c r="A45" s="3786"/>
      <c r="B45" s="3784" t="s">
        <v>2637</v>
      </c>
      <c r="C45" s="3103" t="s">
        <v>2486</v>
      </c>
      <c r="D45" s="3104"/>
      <c r="E45" s="3105">
        <v>1</v>
      </c>
      <c r="F45" s="3102" t="s">
        <v>2487</v>
      </c>
      <c r="G45" s="3102"/>
    </row>
    <row r="46" spans="1:7" ht="19.5" customHeight="1">
      <c r="A46" s="3786"/>
      <c r="B46" s="3779"/>
      <c r="C46" s="3103" t="s">
        <v>2488</v>
      </c>
      <c r="D46" s="3104"/>
      <c r="E46" s="3105">
        <v>1</v>
      </c>
      <c r="F46" s="3102" t="s">
        <v>2489</v>
      </c>
      <c r="G46" s="3102"/>
    </row>
    <row r="47" spans="1:7" ht="19.5" customHeight="1">
      <c r="A47" s="3786"/>
      <c r="B47" s="3779"/>
      <c r="C47" s="3103" t="s">
        <v>2490</v>
      </c>
      <c r="D47" s="3104"/>
      <c r="E47" s="3105">
        <v>1</v>
      </c>
      <c r="F47" s="3102" t="s">
        <v>2491</v>
      </c>
      <c r="G47" s="3102"/>
    </row>
    <row r="48" spans="1:7" ht="19.5" customHeight="1">
      <c r="A48" s="3786"/>
      <c r="B48" s="3779"/>
      <c r="C48" s="3103" t="s">
        <v>2492</v>
      </c>
      <c r="D48" s="3104"/>
      <c r="E48" s="3105">
        <v>1</v>
      </c>
      <c r="F48" s="3102" t="s">
        <v>2493</v>
      </c>
      <c r="G48" s="3102"/>
    </row>
    <row r="49" spans="1:7" ht="19.5" customHeight="1">
      <c r="A49" s="3786"/>
      <c r="B49" s="3779"/>
      <c r="C49" s="3103" t="s">
        <v>2494</v>
      </c>
      <c r="D49" s="3104"/>
      <c r="E49" s="3105">
        <v>1</v>
      </c>
      <c r="F49" s="3102" t="s">
        <v>2495</v>
      </c>
      <c r="G49" s="3102"/>
    </row>
    <row r="50" spans="1:7" ht="19.5" customHeight="1">
      <c r="A50" s="3786"/>
      <c r="B50" s="3779"/>
      <c r="C50" s="3103" t="s">
        <v>2496</v>
      </c>
      <c r="D50" s="3104"/>
      <c r="E50" s="3105">
        <v>1</v>
      </c>
      <c r="F50" s="3102" t="s">
        <v>2497</v>
      </c>
      <c r="G50" s="3102"/>
    </row>
    <row r="51" spans="1:7" ht="19.5" customHeight="1" thickBot="1">
      <c r="A51" s="3787"/>
      <c r="B51" s="3780"/>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84" t="s">
        <v>2651</v>
      </c>
      <c r="C73" s="3088" t="s">
        <v>2652</v>
      </c>
      <c r="D73" s="3088" t="s">
        <v>2653</v>
      </c>
      <c r="E73" s="3114">
        <v>0.2</v>
      </c>
      <c r="F73" s="3114">
        <v>25</v>
      </c>
    </row>
    <row r="74" spans="1:7" ht="24">
      <c r="A74" s="3114">
        <v>2</v>
      </c>
      <c r="B74" s="3779"/>
      <c r="C74" s="3088" t="s">
        <v>2654</v>
      </c>
      <c r="D74" s="3088" t="s">
        <v>2655</v>
      </c>
      <c r="E74" s="3114">
        <v>0.2</v>
      </c>
      <c r="F74" s="3114">
        <v>25</v>
      </c>
    </row>
    <row r="75" spans="1:7" ht="24">
      <c r="A75" s="3114">
        <v>3</v>
      </c>
      <c r="B75" s="3779"/>
      <c r="C75" s="3088" t="s">
        <v>2656</v>
      </c>
      <c r="D75" s="3088" t="s">
        <v>2657</v>
      </c>
      <c r="E75" s="3114">
        <v>0.2</v>
      </c>
      <c r="F75" s="3114">
        <v>25</v>
      </c>
    </row>
    <row r="76" spans="1:7" ht="13.5">
      <c r="A76" s="3114">
        <v>4</v>
      </c>
      <c r="B76" s="3779"/>
      <c r="C76" s="3088" t="s">
        <v>2658</v>
      </c>
      <c r="D76" s="3088" t="s">
        <v>2659</v>
      </c>
      <c r="E76" s="3114">
        <v>0.15</v>
      </c>
      <c r="F76" s="3114">
        <v>20</v>
      </c>
    </row>
    <row r="77" spans="1:7" ht="24">
      <c r="A77" s="3114">
        <v>5</v>
      </c>
      <c r="B77" s="3779"/>
      <c r="C77" s="3088" t="s">
        <v>2660</v>
      </c>
      <c r="D77" s="3088" t="s">
        <v>2661</v>
      </c>
      <c r="E77" s="3114">
        <v>0.15</v>
      </c>
      <c r="F77" s="3114">
        <v>20</v>
      </c>
    </row>
    <row r="78" spans="1:7" ht="24">
      <c r="A78" s="3114">
        <v>6</v>
      </c>
      <c r="B78" s="3779"/>
      <c r="C78" s="3088" t="s">
        <v>2662</v>
      </c>
      <c r="D78" s="3088" t="s">
        <v>2663</v>
      </c>
      <c r="E78" s="3114">
        <v>0.15</v>
      </c>
      <c r="F78" s="3114">
        <v>20</v>
      </c>
    </row>
    <row r="79" spans="1:7" ht="24">
      <c r="A79" s="3114">
        <v>7</v>
      </c>
      <c r="B79" s="3779"/>
      <c r="C79" s="3088" t="s">
        <v>2664</v>
      </c>
      <c r="D79" s="3088" t="s">
        <v>2665</v>
      </c>
      <c r="E79" s="3114">
        <v>0.15</v>
      </c>
      <c r="F79" s="3114">
        <v>20</v>
      </c>
    </row>
    <row r="80" spans="1:7" ht="24">
      <c r="A80" s="3114">
        <v>8</v>
      </c>
      <c r="B80" s="3779"/>
      <c r="C80" s="3088" t="s">
        <v>2666</v>
      </c>
      <c r="D80" s="3088" t="s">
        <v>2667</v>
      </c>
      <c r="E80" s="3114">
        <v>0.1</v>
      </c>
      <c r="F80" s="3114">
        <v>15</v>
      </c>
    </row>
    <row r="81" spans="1:6" ht="24">
      <c r="A81" s="3114">
        <v>9</v>
      </c>
      <c r="B81" s="3779"/>
      <c r="C81" s="3088" t="s">
        <v>2668</v>
      </c>
      <c r="D81" s="3088" t="s">
        <v>2669</v>
      </c>
      <c r="E81" s="3114">
        <v>0.1</v>
      </c>
      <c r="F81" s="3114">
        <v>15</v>
      </c>
    </row>
    <row r="82" spans="1:6" ht="24">
      <c r="A82" s="3114">
        <v>10</v>
      </c>
      <c r="B82" s="3779"/>
      <c r="C82" s="3088" t="s">
        <v>2670</v>
      </c>
      <c r="D82" s="3088" t="s">
        <v>2671</v>
      </c>
      <c r="E82" s="3114">
        <v>0.1</v>
      </c>
      <c r="F82" s="3114">
        <v>15</v>
      </c>
    </row>
    <row r="83" spans="1:6" ht="24">
      <c r="A83" s="3114">
        <v>11</v>
      </c>
      <c r="B83" s="3779"/>
      <c r="C83" s="3088" t="s">
        <v>2672</v>
      </c>
      <c r="D83" s="3088" t="s">
        <v>2673</v>
      </c>
      <c r="E83" s="3114">
        <v>0.1</v>
      </c>
      <c r="F83" s="3114">
        <v>15</v>
      </c>
    </row>
    <row r="84" spans="1:6" ht="24">
      <c r="A84" s="3114">
        <v>12</v>
      </c>
      <c r="B84" s="3779"/>
      <c r="C84" s="3088" t="s">
        <v>2674</v>
      </c>
      <c r="D84" s="3088" t="s">
        <v>2675</v>
      </c>
      <c r="E84" s="3114">
        <v>0.1</v>
      </c>
      <c r="F84" s="3114">
        <v>15</v>
      </c>
    </row>
    <row r="85" spans="1:6" ht="13.5">
      <c r="A85" s="3114">
        <v>13</v>
      </c>
      <c r="B85" s="3779"/>
      <c r="C85" s="3088" t="s">
        <v>2676</v>
      </c>
      <c r="D85" s="3088" t="s">
        <v>2677</v>
      </c>
      <c r="E85" s="3114">
        <v>0.1</v>
      </c>
      <c r="F85" s="3114">
        <v>15</v>
      </c>
    </row>
    <row r="86" spans="1:6" ht="13.5">
      <c r="A86" s="3114">
        <v>14</v>
      </c>
      <c r="B86" s="3779"/>
      <c r="C86" s="3088" t="s">
        <v>2678</v>
      </c>
      <c r="D86" s="3088" t="s">
        <v>2679</v>
      </c>
      <c r="E86" s="3114">
        <v>0.1</v>
      </c>
      <c r="F86" s="3114">
        <v>15</v>
      </c>
    </row>
    <row r="87" spans="1:6" ht="13.5">
      <c r="A87" s="3114">
        <v>15</v>
      </c>
      <c r="B87" s="3779"/>
      <c r="C87" s="3088" t="s">
        <v>2680</v>
      </c>
      <c r="D87" s="3088" t="s">
        <v>2681</v>
      </c>
      <c r="E87" s="3114">
        <v>0.1</v>
      </c>
      <c r="F87" s="3114">
        <v>15</v>
      </c>
    </row>
    <row r="88" spans="1:6" ht="24">
      <c r="A88" s="3114">
        <v>16</v>
      </c>
      <c r="B88" s="3779"/>
      <c r="C88" s="3088" t="s">
        <v>2682</v>
      </c>
      <c r="D88" s="3088" t="s">
        <v>2683</v>
      </c>
      <c r="E88" s="3114">
        <v>0.1</v>
      </c>
      <c r="F88" s="3114">
        <v>15</v>
      </c>
    </row>
    <row r="89" spans="1:6" ht="24">
      <c r="A89" s="3114">
        <v>17</v>
      </c>
      <c r="B89" s="3788"/>
      <c r="C89" s="3088" t="s">
        <v>2684</v>
      </c>
      <c r="D89" s="3088" t="s">
        <v>2685</v>
      </c>
      <c r="E89" s="3114">
        <v>0.1</v>
      </c>
      <c r="F89" s="3114">
        <v>15</v>
      </c>
    </row>
    <row r="90" spans="1:6" ht="13.5">
      <c r="A90" s="3114">
        <v>18</v>
      </c>
      <c r="B90" s="3784" t="s">
        <v>2686</v>
      </c>
      <c r="C90" s="3088" t="s">
        <v>2687</v>
      </c>
      <c r="D90" s="3088" t="s">
        <v>2688</v>
      </c>
      <c r="E90" s="3114">
        <v>0.2</v>
      </c>
      <c r="F90" s="3114">
        <v>25</v>
      </c>
    </row>
    <row r="91" spans="1:6" ht="24">
      <c r="A91" s="3114">
        <v>19</v>
      </c>
      <c r="B91" s="3779"/>
      <c r="C91" s="3088" t="s">
        <v>2689</v>
      </c>
      <c r="D91" s="3088" t="s">
        <v>2690</v>
      </c>
      <c r="E91" s="3114">
        <v>0.2</v>
      </c>
      <c r="F91" s="3114">
        <v>25</v>
      </c>
    </row>
    <row r="92" spans="1:6" ht="13.5">
      <c r="A92" s="3114">
        <v>20</v>
      </c>
      <c r="B92" s="3779"/>
      <c r="C92" s="3088" t="s">
        <v>2691</v>
      </c>
      <c r="D92" s="3088" t="s">
        <v>2692</v>
      </c>
      <c r="E92" s="3114">
        <v>0.15</v>
      </c>
      <c r="F92" s="3114">
        <v>20</v>
      </c>
    </row>
    <row r="93" spans="1:6" ht="13.5">
      <c r="A93" s="3114">
        <v>21</v>
      </c>
      <c r="B93" s="3779"/>
      <c r="C93" s="3088" t="s">
        <v>2693</v>
      </c>
      <c r="D93" s="3088" t="s">
        <v>2694</v>
      </c>
      <c r="E93" s="3114">
        <v>0.15</v>
      </c>
      <c r="F93" s="3114">
        <v>20</v>
      </c>
    </row>
    <row r="94" spans="1:6" ht="13.5">
      <c r="A94" s="3114">
        <v>22</v>
      </c>
      <c r="B94" s="3779"/>
      <c r="C94" s="3088" t="s">
        <v>2695</v>
      </c>
      <c r="D94" s="3088" t="s">
        <v>2696</v>
      </c>
      <c r="E94" s="3114">
        <v>0.15</v>
      </c>
      <c r="F94" s="3114">
        <v>20</v>
      </c>
    </row>
    <row r="95" spans="1:6" ht="36">
      <c r="A95" s="3114">
        <v>23</v>
      </c>
      <c r="B95" s="3779"/>
      <c r="C95" s="3088" t="s">
        <v>2697</v>
      </c>
      <c r="D95" s="3088" t="s">
        <v>2698</v>
      </c>
      <c r="E95" s="3114">
        <v>0.15</v>
      </c>
      <c r="F95" s="3114">
        <v>20</v>
      </c>
    </row>
    <row r="96" spans="1:6" ht="13.5">
      <c r="A96" s="3114">
        <v>24</v>
      </c>
      <c r="B96" s="3779"/>
      <c r="C96" s="3088" t="s">
        <v>2699</v>
      </c>
      <c r="D96" s="3088" t="s">
        <v>2700</v>
      </c>
      <c r="E96" s="3114">
        <v>0.1</v>
      </c>
      <c r="F96" s="3114">
        <v>15</v>
      </c>
    </row>
    <row r="97" spans="1:6" ht="13.5">
      <c r="A97" s="3114">
        <v>25</v>
      </c>
      <c r="B97" s="3779"/>
      <c r="C97" s="3088" t="s">
        <v>2701</v>
      </c>
      <c r="D97" s="3088" t="s">
        <v>2702</v>
      </c>
      <c r="E97" s="3114">
        <v>0.1</v>
      </c>
      <c r="F97" s="3114">
        <v>15</v>
      </c>
    </row>
    <row r="98" spans="1:6" ht="24">
      <c r="A98" s="3114">
        <v>26</v>
      </c>
      <c r="B98" s="3779"/>
      <c r="C98" s="3088" t="s">
        <v>2703</v>
      </c>
      <c r="D98" s="3088" t="s">
        <v>2704</v>
      </c>
      <c r="E98" s="3114">
        <v>0.1</v>
      </c>
      <c r="F98" s="3114">
        <v>15</v>
      </c>
    </row>
    <row r="99" spans="1:6" ht="24">
      <c r="A99" s="3114">
        <v>27</v>
      </c>
      <c r="B99" s="3779"/>
      <c r="C99" s="3088" t="s">
        <v>2705</v>
      </c>
      <c r="D99" s="3088" t="s">
        <v>2706</v>
      </c>
      <c r="E99" s="3114">
        <v>0.1</v>
      </c>
      <c r="F99" s="3114">
        <v>15</v>
      </c>
    </row>
    <row r="100" spans="1:6" ht="13.5">
      <c r="A100" s="3114">
        <v>28</v>
      </c>
      <c r="B100" s="3779"/>
      <c r="C100" s="3088" t="s">
        <v>2707</v>
      </c>
      <c r="D100" s="3088" t="s">
        <v>2708</v>
      </c>
      <c r="E100" s="3114">
        <v>0.1</v>
      </c>
      <c r="F100" s="3114">
        <v>15</v>
      </c>
    </row>
    <row r="101" spans="1:6" ht="13.5">
      <c r="A101" s="3114">
        <v>29</v>
      </c>
      <c r="B101" s="3779"/>
      <c r="C101" s="3088" t="s">
        <v>2709</v>
      </c>
      <c r="D101" s="3088" t="s">
        <v>2710</v>
      </c>
      <c r="E101" s="3114">
        <v>0.1</v>
      </c>
      <c r="F101" s="3114">
        <v>15</v>
      </c>
    </row>
    <row r="102" spans="1:6" ht="13.5">
      <c r="A102" s="3114">
        <v>30</v>
      </c>
      <c r="B102" s="3779"/>
      <c r="C102" s="3088" t="s">
        <v>2711</v>
      </c>
      <c r="D102" s="3088" t="s">
        <v>2712</v>
      </c>
      <c r="E102" s="3114">
        <v>0.1</v>
      </c>
      <c r="F102" s="3114">
        <v>15</v>
      </c>
    </row>
    <row r="103" spans="1:6" ht="24">
      <c r="A103" s="3114">
        <v>31</v>
      </c>
      <c r="B103" s="3779"/>
      <c r="C103" s="3088" t="s">
        <v>2713</v>
      </c>
      <c r="D103" s="3088" t="s">
        <v>2714</v>
      </c>
      <c r="E103" s="3114">
        <v>0.1</v>
      </c>
      <c r="F103" s="3114">
        <v>15</v>
      </c>
    </row>
    <row r="104" spans="1:6" ht="24">
      <c r="A104" s="3114">
        <v>32</v>
      </c>
      <c r="B104" s="3779"/>
      <c r="C104" s="3088" t="s">
        <v>2715</v>
      </c>
      <c r="D104" s="3088" t="s">
        <v>2716</v>
      </c>
      <c r="E104" s="3114">
        <v>0.1</v>
      </c>
      <c r="F104" s="3114">
        <v>15</v>
      </c>
    </row>
    <row r="105" spans="1:6" ht="24">
      <c r="A105" s="3114">
        <v>33</v>
      </c>
      <c r="B105" s="3779"/>
      <c r="C105" s="3088" t="s">
        <v>2717</v>
      </c>
      <c r="D105" s="3088" t="s">
        <v>2718</v>
      </c>
      <c r="E105" s="3114">
        <v>0.1</v>
      </c>
      <c r="F105" s="3114">
        <v>15</v>
      </c>
    </row>
    <row r="106" spans="1:6" ht="24">
      <c r="A106" s="3114">
        <v>34</v>
      </c>
      <c r="B106" s="3788"/>
      <c r="C106" s="3088" t="s">
        <v>2719</v>
      </c>
      <c r="D106" s="3088" t="s">
        <v>2720</v>
      </c>
      <c r="E106" s="3114">
        <v>0.1</v>
      </c>
      <c r="F106" s="3114">
        <v>15</v>
      </c>
    </row>
    <row r="107" spans="1:6" ht="24">
      <c r="A107" s="3114">
        <v>35</v>
      </c>
      <c r="B107" s="3784" t="s">
        <v>2721</v>
      </c>
      <c r="C107" s="3114" t="s">
        <v>2722</v>
      </c>
      <c r="D107" s="3088" t="s">
        <v>2723</v>
      </c>
      <c r="E107" s="3114">
        <v>0.15</v>
      </c>
      <c r="F107" s="3114">
        <v>20</v>
      </c>
    </row>
    <row r="108" spans="1:6" ht="13.5">
      <c r="A108" s="3114">
        <v>36</v>
      </c>
      <c r="B108" s="3779"/>
      <c r="C108" s="3114" t="s">
        <v>2724</v>
      </c>
      <c r="D108" s="3088" t="s">
        <v>2725</v>
      </c>
      <c r="E108" s="3114">
        <v>0.15</v>
      </c>
      <c r="F108" s="3114">
        <v>20</v>
      </c>
    </row>
    <row r="109" spans="1:6" ht="13.5">
      <c r="A109" s="3114">
        <v>37</v>
      </c>
      <c r="B109" s="3779"/>
      <c r="C109" s="3114" t="s">
        <v>2726</v>
      </c>
      <c r="D109" s="3088" t="s">
        <v>2727</v>
      </c>
      <c r="E109" s="3114">
        <v>0.15</v>
      </c>
      <c r="F109" s="3114">
        <v>20</v>
      </c>
    </row>
    <row r="110" spans="1:6" ht="13.5">
      <c r="A110" s="3114">
        <v>38</v>
      </c>
      <c r="B110" s="3779"/>
      <c r="C110" s="3114" t="s">
        <v>2728</v>
      </c>
      <c r="D110" s="3088" t="s">
        <v>2729</v>
      </c>
      <c r="E110" s="3114">
        <v>0.1</v>
      </c>
      <c r="F110" s="3114">
        <v>15</v>
      </c>
    </row>
    <row r="111" spans="1:6" ht="24">
      <c r="A111" s="3114">
        <v>39</v>
      </c>
      <c r="B111" s="3779"/>
      <c r="C111" s="3114" t="s">
        <v>2730</v>
      </c>
      <c r="D111" s="3088" t="s">
        <v>2731</v>
      </c>
      <c r="E111" s="3114">
        <v>0.1</v>
      </c>
      <c r="F111" s="3114">
        <v>15</v>
      </c>
    </row>
    <row r="112" spans="1:6" ht="24">
      <c r="A112" s="3114">
        <v>40</v>
      </c>
      <c r="B112" s="3788"/>
      <c r="C112" s="3114" t="s">
        <v>2732</v>
      </c>
      <c r="D112" s="3088" t="s">
        <v>2733</v>
      </c>
      <c r="E112" s="3114">
        <v>0.1</v>
      </c>
      <c r="F112" s="3114">
        <v>15</v>
      </c>
    </row>
    <row r="113" spans="1:6" ht="13.5">
      <c r="A113" s="3114">
        <v>41</v>
      </c>
      <c r="B113" s="3789" t="s">
        <v>2734</v>
      </c>
      <c r="C113" s="3114" t="s">
        <v>2735</v>
      </c>
      <c r="D113" s="3088" t="s">
        <v>2736</v>
      </c>
      <c r="E113" s="3114">
        <v>0.1</v>
      </c>
      <c r="F113" s="3114">
        <v>15</v>
      </c>
    </row>
    <row r="114" spans="1:6" ht="13.5">
      <c r="A114" s="3114">
        <v>42</v>
      </c>
      <c r="B114" s="3789"/>
      <c r="C114" s="3114" t="s">
        <v>2737</v>
      </c>
      <c r="D114" s="3088" t="s">
        <v>2738</v>
      </c>
      <c r="E114" s="3114">
        <v>0.1</v>
      </c>
      <c r="F114" s="3114">
        <v>15</v>
      </c>
    </row>
    <row r="115" spans="1:6" ht="24">
      <c r="A115" s="3114">
        <v>43</v>
      </c>
      <c r="B115" s="3789"/>
      <c r="C115" s="3114" t="s">
        <v>2739</v>
      </c>
      <c r="D115" s="3088" t="s">
        <v>2740</v>
      </c>
      <c r="E115" s="3114">
        <v>0.1</v>
      </c>
      <c r="F115" s="3114">
        <v>15</v>
      </c>
    </row>
    <row r="116" spans="1:6" ht="13.5">
      <c r="A116" s="3114">
        <v>44</v>
      </c>
      <c r="B116" s="3784" t="s">
        <v>2741</v>
      </c>
      <c r="C116" s="3114" t="s">
        <v>2742</v>
      </c>
      <c r="D116" s="3088" t="s">
        <v>2743</v>
      </c>
      <c r="E116" s="3114">
        <v>0.1</v>
      </c>
      <c r="F116" s="3114">
        <v>15</v>
      </c>
    </row>
    <row r="117" spans="1:6" ht="24">
      <c r="A117" s="3114">
        <v>45</v>
      </c>
      <c r="B117" s="3788"/>
      <c r="C117" s="3088" t="s">
        <v>2744</v>
      </c>
      <c r="D117" s="3088" t="s">
        <v>2745</v>
      </c>
      <c r="E117" s="3114">
        <v>0.1</v>
      </c>
      <c r="F117" s="3114">
        <v>15</v>
      </c>
    </row>
    <row r="118" spans="1:6" ht="24">
      <c r="A118" s="3114">
        <v>46</v>
      </c>
      <c r="B118" s="3784" t="s">
        <v>2746</v>
      </c>
      <c r="C118" s="3114" t="s">
        <v>2747</v>
      </c>
      <c r="D118" s="3088" t="s">
        <v>2748</v>
      </c>
      <c r="E118" s="3114">
        <v>0.1</v>
      </c>
      <c r="F118" s="3114">
        <v>15</v>
      </c>
    </row>
    <row r="119" spans="1:6" ht="24">
      <c r="A119" s="3114">
        <v>47</v>
      </c>
      <c r="B119" s="3788"/>
      <c r="C119" s="3114" t="s">
        <v>2749</v>
      </c>
      <c r="D119" s="3088" t="s">
        <v>2750</v>
      </c>
      <c r="E119" s="3114">
        <v>0.1</v>
      </c>
      <c r="F119" s="3114">
        <v>15</v>
      </c>
    </row>
    <row r="120" spans="1:6" ht="13.5">
      <c r="A120" s="3114">
        <v>48</v>
      </c>
      <c r="B120" s="3784" t="s">
        <v>2751</v>
      </c>
      <c r="C120" s="3114" t="s">
        <v>2752</v>
      </c>
      <c r="D120" s="3088" t="s">
        <v>2753</v>
      </c>
      <c r="E120" s="3114">
        <v>0.1</v>
      </c>
      <c r="F120" s="3114">
        <v>15</v>
      </c>
    </row>
    <row r="121" spans="1:6" ht="13.5">
      <c r="A121" s="3114">
        <v>49</v>
      </c>
      <c r="B121" s="3788"/>
      <c r="C121" s="3114" t="s">
        <v>2754</v>
      </c>
      <c r="D121" s="3088" t="s">
        <v>2755</v>
      </c>
      <c r="E121" s="3114">
        <v>0.1</v>
      </c>
      <c r="F121" s="3114">
        <v>15</v>
      </c>
    </row>
    <row r="122" spans="1:6" ht="24">
      <c r="A122" s="3114">
        <v>50</v>
      </c>
      <c r="B122" s="3789" t="s">
        <v>2756</v>
      </c>
      <c r="C122" s="3114" t="s">
        <v>2757</v>
      </c>
      <c r="D122" s="3088" t="s">
        <v>2758</v>
      </c>
      <c r="E122" s="3114">
        <v>0.1</v>
      </c>
      <c r="F122" s="3114">
        <v>15</v>
      </c>
    </row>
    <row r="123" spans="1:6" ht="24">
      <c r="A123" s="3114">
        <v>51</v>
      </c>
      <c r="B123" s="3789"/>
      <c r="C123" s="3114" t="s">
        <v>2759</v>
      </c>
      <c r="D123" s="3088" t="s">
        <v>2760</v>
      </c>
      <c r="E123" s="3114">
        <v>0.1</v>
      </c>
      <c r="F123" s="3114">
        <v>15</v>
      </c>
    </row>
    <row r="124" spans="1:6" ht="24">
      <c r="A124" s="3114">
        <v>52</v>
      </c>
      <c r="B124" s="3789" t="s">
        <v>2761</v>
      </c>
      <c r="C124" s="3114" t="s">
        <v>2762</v>
      </c>
      <c r="D124" s="3088" t="s">
        <v>2763</v>
      </c>
      <c r="E124" s="3114">
        <v>0.1</v>
      </c>
      <c r="F124" s="3114">
        <v>15</v>
      </c>
    </row>
    <row r="125" spans="1:6" ht="24">
      <c r="A125" s="3114">
        <v>53</v>
      </c>
      <c r="B125" s="3789"/>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89" t="s">
        <v>2769</v>
      </c>
      <c r="C127" s="3114" t="s">
        <v>2770</v>
      </c>
      <c r="D127" s="3088" t="s">
        <v>2771</v>
      </c>
      <c r="E127" s="3114">
        <v>0.1</v>
      </c>
      <c r="F127" s="3114">
        <v>15</v>
      </c>
    </row>
    <row r="128" spans="1:6" ht="13.5">
      <c r="A128" s="3114">
        <v>56</v>
      </c>
      <c r="B128" s="3789"/>
      <c r="C128" s="3114" t="s">
        <v>2772</v>
      </c>
      <c r="D128" s="3088" t="s">
        <v>2773</v>
      </c>
      <c r="E128" s="3114">
        <v>0.1</v>
      </c>
      <c r="F128" s="3114">
        <v>15</v>
      </c>
    </row>
    <row r="129" spans="1:6" ht="24">
      <c r="A129" s="3114">
        <v>57</v>
      </c>
      <c r="B129" s="3789"/>
      <c r="C129" s="3114" t="s">
        <v>2774</v>
      </c>
      <c r="D129" s="3088" t="s">
        <v>2775</v>
      </c>
      <c r="E129" s="3114">
        <v>0.1</v>
      </c>
      <c r="F129" s="3114">
        <v>15</v>
      </c>
    </row>
    <row r="130" spans="1:6" ht="24">
      <c r="A130" s="3114">
        <v>58</v>
      </c>
      <c r="B130" s="3789" t="s">
        <v>2776</v>
      </c>
      <c r="C130" s="3114" t="s">
        <v>2777</v>
      </c>
      <c r="D130" s="3088" t="s">
        <v>2778</v>
      </c>
      <c r="E130" s="3114">
        <v>0.1</v>
      </c>
      <c r="F130" s="3114">
        <v>15</v>
      </c>
    </row>
    <row r="131" spans="1:6" ht="13.5">
      <c r="A131" s="3114">
        <v>59</v>
      </c>
      <c r="B131" s="3789"/>
      <c r="C131" s="3114" t="s">
        <v>2779</v>
      </c>
      <c r="D131" s="3088" t="s">
        <v>2780</v>
      </c>
      <c r="E131" s="3114">
        <v>0.1</v>
      </c>
      <c r="F131" s="3114">
        <v>15</v>
      </c>
    </row>
    <row r="132" spans="1:6" ht="13.5">
      <c r="A132" s="3114">
        <v>60</v>
      </c>
      <c r="B132" s="3784" t="s">
        <v>2781</v>
      </c>
      <c r="C132" s="3114" t="s">
        <v>2782</v>
      </c>
      <c r="D132" s="3088" t="s">
        <v>2783</v>
      </c>
      <c r="E132" s="3114">
        <v>0.1</v>
      </c>
      <c r="F132" s="3114">
        <v>15</v>
      </c>
    </row>
    <row r="133" spans="1:6" ht="13.5">
      <c r="A133" s="3114">
        <v>61</v>
      </c>
      <c r="B133" s="3788"/>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89" t="s">
        <v>2789</v>
      </c>
      <c r="C135" s="3114" t="s">
        <v>2790</v>
      </c>
      <c r="D135" s="3088" t="s">
        <v>2791</v>
      </c>
      <c r="E135" s="3114">
        <v>0.1</v>
      </c>
      <c r="F135" s="3114">
        <v>15</v>
      </c>
    </row>
    <row r="136" spans="1:6" ht="13.5">
      <c r="A136" s="3114">
        <v>64</v>
      </c>
      <c r="B136" s="3789"/>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0</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27996</v>
      </c>
      <c r="C2" s="2" t="s">
        <v>106</v>
      </c>
      <c r="D2" s="199"/>
      <c r="E2" s="199"/>
      <c r="F2" s="199"/>
      <c r="G2" s="199"/>
    </row>
    <row r="3" spans="1:7" s="200" customFormat="1" ht="18" customHeight="1" thickBot="1">
      <c r="A3" s="203" t="s">
        <v>58</v>
      </c>
      <c r="B3" s="204">
        <f ca="1">ROUND(B2*10000/'数据-汇总表'!E3,0)</f>
        <v>720878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v>
      </c>
      <c r="D10" s="845">
        <f>'数据-汇总表'!E6</f>
        <v>388.36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388.36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175</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v>
      </c>
      <c r="D37" s="217">
        <f>'数据-汇总表'!E3</f>
        <v>388.36</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54" t="s">
        <v>94</v>
      </c>
    </row>
    <row r="43" spans="1:7" ht="13.5" customHeight="1">
      <c r="A43" s="780" t="s">
        <v>347</v>
      </c>
      <c r="B43" s="215" t="s">
        <v>426</v>
      </c>
      <c r="C43" s="238">
        <f ca="1">ROUND(IF('数据-取费表'!B22&lt;=1,C39*F22*'数据-取费表'!B21/2,C39*(POWER((1+F22),'数据-取费表'!B21/2)-1)),0)</f>
        <v>0</v>
      </c>
      <c r="D43" s="238"/>
      <c r="E43" s="238"/>
      <c r="F43" s="239"/>
      <c r="G43" s="3655"/>
    </row>
    <row r="44" spans="1:7" ht="13.5" customHeight="1">
      <c r="A44" s="780" t="s">
        <v>348</v>
      </c>
      <c r="B44" s="215" t="s">
        <v>428</v>
      </c>
      <c r="C44" s="238">
        <f ca="1">ROUND(IF('数据-取费表'!B22&lt;=1,C40*F22*'数据-取费表'!B21/2,C40*(POWER((1+F22),'数据-取费表'!B21/2)-1)),4)</f>
        <v>6.9999999999999999E-4</v>
      </c>
      <c r="D44" s="238"/>
      <c r="E44" s="238"/>
      <c r="F44" s="239"/>
      <c r="G44" s="3656"/>
    </row>
    <row r="45" spans="1:7" s="214" customFormat="1" ht="13.5" customHeight="1">
      <c r="A45" s="777" t="s">
        <v>341</v>
      </c>
      <c r="B45" s="244" t="s">
        <v>85</v>
      </c>
      <c r="C45" s="245">
        <f>C46</f>
        <v>29</v>
      </c>
      <c r="D45" s="235">
        <f>C47</f>
        <v>3.0000000000000001E-3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250</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208</v>
      </c>
      <c r="D51" s="232"/>
      <c r="E51" s="232"/>
      <c r="F51" s="264"/>
      <c r="G51" s="234" t="s">
        <v>37</v>
      </c>
    </row>
    <row r="52" spans="1:7" s="208" customFormat="1" ht="16.5" thickBot="1">
      <c r="A52" s="265" t="s">
        <v>38</v>
      </c>
      <c r="B52" s="266"/>
      <c r="C52" s="267">
        <f ca="1">C31+C51</f>
        <v>27996</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1467</v>
      </c>
      <c r="E5" s="1491"/>
    </row>
    <row r="6" spans="1:5" ht="15.75">
      <c r="A6" s="1491"/>
      <c r="B6" s="3473"/>
      <c r="C6" s="1494" t="s">
        <v>911</v>
      </c>
      <c r="D6" s="850" t="str">
        <f ca="1">NUMBERSTRING(INT(D5*10000),2)&amp;"元整"</f>
        <v>壹仟肆佰陆拾柒万元整</v>
      </c>
      <c r="E6" s="1491"/>
    </row>
    <row r="7" spans="1:5" ht="15.75">
      <c r="A7" s="1491"/>
      <c r="B7" s="3478"/>
      <c r="C7" s="1495" t="s">
        <v>912</v>
      </c>
      <c r="D7" s="851">
        <f ca="1">结果表!H102</f>
        <v>37772</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1467</v>
      </c>
      <c r="E13" s="1491"/>
    </row>
    <row r="14" spans="1:5" ht="15.75">
      <c r="A14" s="1491"/>
      <c r="B14" s="3473"/>
      <c r="C14" s="1494" t="s">
        <v>911</v>
      </c>
      <c r="D14" s="850" t="str">
        <f ca="1">NUMBERSTRING(INT(D13*10000),2)&amp;"元整"</f>
        <v>壹仟肆佰陆拾柒万元整</v>
      </c>
      <c r="E14" s="1491"/>
    </row>
    <row r="15" spans="1:5" ht="15">
      <c r="A15" s="1491"/>
      <c r="B15" s="3478"/>
      <c r="C15" s="1495" t="s">
        <v>921</v>
      </c>
      <c r="D15" s="859">
        <f ca="1">结果表!H108</f>
        <v>37772</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v>
      </c>
      <c r="C19" s="1499" t="s">
        <v>910</v>
      </c>
      <c r="D19" s="851" t="str">
        <f>结果表!H111</f>
        <v>——</v>
      </c>
      <c r="E19" s="1491"/>
    </row>
    <row r="20" spans="1:5" ht="15.75">
      <c r="A20" s="1491"/>
      <c r="B20" s="3473"/>
      <c r="C20" s="1494" t="s">
        <v>923</v>
      </c>
      <c r="D20" s="850" t="e">
        <f>NUMBERSTRING(INT(D19*10000),2)&amp;"元整"</f>
        <v>#VALUE!</v>
      </c>
      <c r="E20" s="1491"/>
    </row>
    <row r="21" spans="1:5" ht="15.75" thickBot="1">
      <c r="A21" s="1491"/>
      <c r="B21" s="347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2" t="s">
        <v>2839</v>
      </c>
      <c r="B1" s="3792"/>
      <c r="C1" s="3792"/>
      <c r="D1" s="3792"/>
      <c r="E1" s="3792"/>
      <c r="F1" s="3792"/>
      <c r="G1" s="3793"/>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90"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791"/>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4" t="s">
        <v>3181</v>
      </c>
      <c r="B1" s="3794"/>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5" t="s">
        <v>3232</v>
      </c>
      <c r="B1" s="3795"/>
      <c r="C1" s="3795"/>
      <c r="D1" s="3795"/>
      <c r="E1" s="3795"/>
      <c r="F1" s="3796"/>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45425</v>
      </c>
      <c r="B1" s="3206" t="s">
        <v>3371</v>
      </c>
      <c r="C1" s="3207"/>
      <c r="D1" s="3207"/>
      <c r="E1" s="3207"/>
      <c r="F1" s="3207"/>
      <c r="G1" s="3207"/>
      <c r="H1" s="3207"/>
      <c r="I1" s="3207"/>
      <c r="J1" s="3161"/>
      <c r="K1" s="3207" t="s">
        <v>454</v>
      </c>
      <c r="L1" s="3207"/>
      <c r="M1" s="3207"/>
      <c r="N1" s="3207"/>
      <c r="O1" s="3207"/>
      <c r="P1" s="3207"/>
      <c r="Q1" s="3161"/>
      <c r="R1" s="3797" t="s">
        <v>456</v>
      </c>
      <c r="S1" s="3798"/>
      <c r="T1" s="3798"/>
      <c r="U1" s="3798"/>
      <c r="V1" s="3798"/>
      <c r="W1" s="3798"/>
      <c r="X1" s="3161"/>
      <c r="Y1" s="3797" t="s">
        <v>457</v>
      </c>
      <c r="Z1" s="3798"/>
      <c r="AA1" s="3798"/>
      <c r="AB1" s="3798"/>
      <c r="AC1" s="3798"/>
      <c r="AD1" s="3798"/>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3375</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3377</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3378</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3366</v>
      </c>
    </row>
    <row r="21" spans="1:30" s="3005" customFormat="1">
      <c r="I21" s="3204" t="s">
        <v>2825</v>
      </c>
    </row>
    <row r="22" spans="1:30" s="3005" customFormat="1"/>
    <row r="23" spans="1:30" s="3205" customFormat="1" ht="12.75">
      <c r="B23" s="3206" t="s">
        <v>3372</v>
      </c>
      <c r="C23" s="3207"/>
      <c r="D23" s="3207"/>
      <c r="E23" s="3207"/>
      <c r="F23" s="3207"/>
      <c r="G23" s="3207"/>
      <c r="H23" s="3207"/>
      <c r="I23" s="3207"/>
      <c r="J23" s="3161"/>
      <c r="K23" s="3207" t="s">
        <v>2826</v>
      </c>
      <c r="L23" s="3207"/>
      <c r="M23" s="3207"/>
      <c r="N23" s="3207"/>
      <c r="O23" s="3207"/>
      <c r="P23" s="3207"/>
      <c r="Q23" s="3161"/>
      <c r="R23" s="3797" t="s">
        <v>2827</v>
      </c>
      <c r="S23" s="3798"/>
      <c r="T23" s="3798"/>
      <c r="U23" s="3798"/>
      <c r="V23" s="3798"/>
      <c r="W23" s="3798"/>
      <c r="X23" s="3161"/>
      <c r="Y23" s="3797" t="s">
        <v>2828</v>
      </c>
      <c r="Z23" s="3798"/>
      <c r="AA23" s="3798"/>
      <c r="AB23" s="3798"/>
      <c r="AC23" s="3798"/>
      <c r="AD23" s="3798"/>
    </row>
    <row r="24" spans="1:30" s="3139" customFormat="1" ht="14.25" thickBot="1">
      <c r="B24" s="3140"/>
      <c r="C24" s="3141"/>
      <c r="D24" s="3142" t="s">
        <v>2829</v>
      </c>
      <c r="E24" s="3143" t="s">
        <v>2830</v>
      </c>
      <c r="F24" s="3143" t="s">
        <v>2831</v>
      </c>
      <c r="G24" s="3143" t="s">
        <v>2832</v>
      </c>
      <c r="H24" s="3143"/>
      <c r="I24" s="3143" t="s">
        <v>2833</v>
      </c>
      <c r="J24" s="3144"/>
      <c r="K24" s="3142" t="s">
        <v>2829</v>
      </c>
      <c r="L24" s="3143" t="s">
        <v>2830</v>
      </c>
      <c r="M24" s="3143" t="s">
        <v>2831</v>
      </c>
      <c r="N24" s="3143" t="s">
        <v>2832</v>
      </c>
      <c r="O24" s="3143"/>
      <c r="P24" s="3143" t="s">
        <v>2833</v>
      </c>
      <c r="Q24" s="3144"/>
      <c r="R24" s="3142" t="s">
        <v>2829</v>
      </c>
      <c r="S24" s="3143" t="s">
        <v>2830</v>
      </c>
      <c r="T24" s="3143" t="s">
        <v>2831</v>
      </c>
      <c r="U24" s="3143" t="s">
        <v>2832</v>
      </c>
      <c r="V24" s="3143"/>
      <c r="W24" s="3143" t="s">
        <v>2833</v>
      </c>
      <c r="X24" s="3144"/>
      <c r="Y24" s="3142" t="s">
        <v>2829</v>
      </c>
      <c r="Z24" s="3143" t="s">
        <v>2830</v>
      </c>
      <c r="AA24" s="3143" t="s">
        <v>2831</v>
      </c>
      <c r="AB24" s="3143" t="s">
        <v>2832</v>
      </c>
      <c r="AC24" s="3143"/>
      <c r="AD24" s="3143" t="s">
        <v>2833</v>
      </c>
    </row>
    <row r="25" spans="1:30" s="3157" customFormat="1" ht="12.75">
      <c r="A25" s="3145" t="s">
        <v>2834</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3375</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3379</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3378</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I43" sqref="I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3413</v>
      </c>
      <c r="F1" s="1879" t="s">
        <v>3435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0.2447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6.3</v>
      </c>
      <c r="C3" s="354" t="s">
        <v>1768</v>
      </c>
      <c r="D3" s="353">
        <f>IF(D1="",'数据-汇总表'!E3,SUMIF('数据-汇总表'!$C19:$C33,D1,'数据-汇总表'!$E19:$E33))</f>
        <v>388.36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687" t="s">
        <v>1775</v>
      </c>
      <c r="Q4" s="3688"/>
      <c r="R4" s="3667" t="s">
        <v>1771</v>
      </c>
      <c r="S4" s="3668"/>
      <c r="T4" s="3667" t="s">
        <v>1772</v>
      </c>
      <c r="U4" s="3668"/>
      <c r="V4" s="3695" t="s">
        <v>1773</v>
      </c>
      <c r="W4" s="3695"/>
      <c r="X4" s="3452"/>
      <c r="Y4" s="3667" t="s">
        <v>1775</v>
      </c>
      <c r="Z4" s="3668"/>
      <c r="AA4" s="3662" t="s">
        <v>1771</v>
      </c>
      <c r="AB4" s="3662" t="s">
        <v>1772</v>
      </c>
      <c r="AC4" s="3680" t="s">
        <v>1773</v>
      </c>
    </row>
    <row r="5" spans="1:29" ht="15">
      <c r="A5" s="358"/>
      <c r="B5" s="359"/>
      <c r="C5" s="3673" t="s">
        <v>1673</v>
      </c>
      <c r="D5" s="3674"/>
      <c r="E5" s="3671" t="str">
        <f>案例!A24</f>
        <v>望京SOHO</v>
      </c>
      <c r="F5" s="3672"/>
      <c r="G5" s="3673" t="str">
        <f>案例!A27</f>
        <v>方恒国际中心</v>
      </c>
      <c r="H5" s="3674"/>
      <c r="I5" s="3673" t="str">
        <f>案例!A28</f>
        <v>万科时代中心</v>
      </c>
      <c r="J5" s="3674"/>
      <c r="K5" s="559"/>
      <c r="L5" s="2711"/>
      <c r="M5" s="2712"/>
      <c r="N5" s="2712"/>
      <c r="O5" s="2712"/>
      <c r="P5" s="3689"/>
      <c r="Q5" s="3690"/>
      <c r="R5" s="3669"/>
      <c r="S5" s="3670"/>
      <c r="T5" s="3669"/>
      <c r="U5" s="3670"/>
      <c r="V5" s="3696"/>
      <c r="W5" s="3696"/>
      <c r="X5" s="3450"/>
      <c r="Y5" s="3669"/>
      <c r="Z5" s="3670"/>
      <c r="AA5" s="3663"/>
      <c r="AB5" s="3663"/>
      <c r="AC5" s="3681"/>
    </row>
    <row r="6" spans="1:29" ht="15.75" thickBot="1">
      <c r="A6" s="360"/>
      <c r="B6" s="361"/>
      <c r="C6" s="3675" t="s">
        <v>1677</v>
      </c>
      <c r="D6" s="3676"/>
      <c r="E6" s="3677" t="s">
        <v>1677</v>
      </c>
      <c r="F6" s="3678"/>
      <c r="G6" s="3675" t="s">
        <v>1677</v>
      </c>
      <c r="H6" s="3676"/>
      <c r="I6" s="3675" t="s">
        <v>1677</v>
      </c>
      <c r="J6" s="3676"/>
      <c r="K6" s="559" t="s">
        <v>1678</v>
      </c>
      <c r="L6" s="2711"/>
      <c r="M6" s="2712"/>
      <c r="N6" s="2712"/>
      <c r="O6" s="2712"/>
      <c r="P6" s="3691"/>
      <c r="Q6" s="3692"/>
      <c r="R6" s="3669"/>
      <c r="S6" s="3670"/>
      <c r="T6" s="3693"/>
      <c r="U6" s="3694"/>
      <c r="V6" s="3696"/>
      <c r="W6" s="3696"/>
      <c r="X6" s="3450"/>
      <c r="Y6" s="3693"/>
      <c r="Z6" s="3694"/>
      <c r="AA6" s="3664"/>
      <c r="AB6" s="3664"/>
      <c r="AC6" s="3682"/>
    </row>
    <row r="7" spans="1:29" s="108" customFormat="1" ht="15.75" thickBot="1">
      <c r="A7" s="362" t="s">
        <v>1679</v>
      </c>
      <c r="B7" s="363"/>
      <c r="C7" s="364">
        <f>'数据-取费表'!B2</f>
        <v>45425</v>
      </c>
      <c r="D7" s="365">
        <v>100</v>
      </c>
      <c r="E7" s="366">
        <f>C7</f>
        <v>45425</v>
      </c>
      <c r="F7" s="367">
        <f>SUMIF(59:59,YEAR(E7)&amp;"-"&amp;MONTH(E7),60:60)</f>
        <v>100</v>
      </c>
      <c r="G7" s="366">
        <f>C7</f>
        <v>45425</v>
      </c>
      <c r="H7" s="365">
        <f>SUMIF(59:59,YEAR(G7)&amp;"-"&amp;MONTH(G7),60:60)</f>
        <v>100</v>
      </c>
      <c r="I7" s="366">
        <f>C7</f>
        <v>45425</v>
      </c>
      <c r="J7" s="365">
        <f>SUMIF(59:59,YEAR(I7)&amp;"-"&amp;MONTH(I7),60:60)</f>
        <v>100</v>
      </c>
      <c r="K7" s="560"/>
      <c r="L7" s="2713"/>
      <c r="M7" s="2714"/>
      <c r="N7" s="2714"/>
      <c r="O7" s="2714"/>
      <c r="P7" s="3697" t="s">
        <v>1680</v>
      </c>
      <c r="Q7" s="3698"/>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1959">
        <f>D7/J7</f>
        <v>1</v>
      </c>
    </row>
    <row r="8" spans="1:29" s="108" customFormat="1" ht="15.75" thickBot="1">
      <c r="A8" s="362" t="s">
        <v>1681</v>
      </c>
      <c r="B8" s="363"/>
      <c r="C8" s="368" t="s">
        <v>3414</v>
      </c>
      <c r="D8" s="365">
        <v>100</v>
      </c>
      <c r="E8" s="368" t="s">
        <v>3415</v>
      </c>
      <c r="F8" s="367">
        <f>SUMIF(62:62,E8,63:63)-SUMIF(62:62,C8,63:63)+100</f>
        <v>101</v>
      </c>
      <c r="G8" s="368" t="s">
        <v>3415</v>
      </c>
      <c r="H8" s="365">
        <f>SUMIF(62:62,G8,63:63)-SUMIF(62:62,C8,63:63)+100</f>
        <v>101</v>
      </c>
      <c r="I8" s="368" t="s">
        <v>3415</v>
      </c>
      <c r="J8" s="365">
        <f>SUMIF(62:62,I8,63:63)-SUMIF(62:62,C8,63:63)+100</f>
        <v>101</v>
      </c>
      <c r="K8" s="560"/>
      <c r="L8" s="2713"/>
      <c r="M8" s="2714"/>
      <c r="N8" s="2714"/>
      <c r="O8" s="2714"/>
      <c r="P8" s="3697" t="s">
        <v>1683</v>
      </c>
      <c r="Q8" s="3666"/>
      <c r="R8" s="701" t="s">
        <v>14</v>
      </c>
      <c r="S8" s="702">
        <f t="shared" si="0"/>
        <v>101</v>
      </c>
      <c r="T8" s="701" t="s">
        <v>14</v>
      </c>
      <c r="U8" s="702">
        <f t="shared" si="1"/>
        <v>101</v>
      </c>
      <c r="V8" s="701" t="s">
        <v>14</v>
      </c>
      <c r="W8" s="702">
        <f t="shared" si="2"/>
        <v>101</v>
      </c>
      <c r="X8" s="703"/>
      <c r="Y8" s="3665" t="s">
        <v>1683</v>
      </c>
      <c r="Z8" s="3666"/>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65" t="s">
        <v>3432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79" t="s">
        <v>1686</v>
      </c>
      <c r="Q9" s="3446" t="str">
        <f t="shared" ref="Q9:Q15" si="6">B9</f>
        <v>用途</v>
      </c>
      <c r="R9" s="701" t="s">
        <v>14</v>
      </c>
      <c r="S9" s="702">
        <f t="shared" si="0"/>
        <v>100</v>
      </c>
      <c r="T9" s="701" t="s">
        <v>14</v>
      </c>
      <c r="U9" s="702">
        <f t="shared" si="1"/>
        <v>100</v>
      </c>
      <c r="V9" s="701" t="s">
        <v>14</v>
      </c>
      <c r="W9" s="702">
        <f t="shared" si="2"/>
        <v>100</v>
      </c>
      <c r="X9" s="703"/>
      <c r="Y9" s="3630" t="s">
        <v>1687</v>
      </c>
      <c r="Z9" s="3445"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9"/>
      <c r="Q10" s="3446" t="str">
        <f t="shared" si="6"/>
        <v>土地使用年限（年）</v>
      </c>
      <c r="R10" s="701" t="s">
        <v>14</v>
      </c>
      <c r="S10" s="702">
        <f t="shared" si="0"/>
        <v>100</v>
      </c>
      <c r="T10" s="701" t="s">
        <v>14</v>
      </c>
      <c r="U10" s="702">
        <f t="shared" si="1"/>
        <v>100</v>
      </c>
      <c r="V10" s="701" t="s">
        <v>14</v>
      </c>
      <c r="W10" s="702">
        <f t="shared" si="2"/>
        <v>100</v>
      </c>
      <c r="X10" s="703"/>
      <c r="Y10" s="3630"/>
      <c r="Z10" s="3445"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9"/>
      <c r="Q11" s="3446" t="str">
        <f t="shared" si="6"/>
        <v>容积率</v>
      </c>
      <c r="R11" s="701" t="s">
        <v>14</v>
      </c>
      <c r="S11" s="702">
        <f t="shared" si="0"/>
        <v>100</v>
      </c>
      <c r="T11" s="701" t="s">
        <v>14</v>
      </c>
      <c r="U11" s="702">
        <f t="shared" si="1"/>
        <v>100</v>
      </c>
      <c r="V11" s="701" t="s">
        <v>14</v>
      </c>
      <c r="W11" s="702">
        <f t="shared" si="2"/>
        <v>100</v>
      </c>
      <c r="X11" s="703"/>
      <c r="Y11" s="3630"/>
      <c r="Z11" s="3445"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79"/>
      <c r="Q12" s="3446">
        <f t="shared" si="6"/>
        <v>111</v>
      </c>
      <c r="R12" s="701" t="s">
        <v>14</v>
      </c>
      <c r="S12" s="702">
        <f t="shared" si="0"/>
        <v>100</v>
      </c>
      <c r="T12" s="701" t="s">
        <v>14</v>
      </c>
      <c r="U12" s="702">
        <f t="shared" si="1"/>
        <v>100</v>
      </c>
      <c r="V12" s="701" t="s">
        <v>14</v>
      </c>
      <c r="W12" s="702">
        <f t="shared" si="2"/>
        <v>100</v>
      </c>
      <c r="X12" s="703"/>
      <c r="Y12" s="3630"/>
      <c r="Z12" s="3445">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79"/>
      <c r="Q13" s="3446">
        <f t="shared" si="6"/>
        <v>111</v>
      </c>
      <c r="R13" s="701" t="s">
        <v>14</v>
      </c>
      <c r="S13" s="702">
        <f t="shared" si="0"/>
        <v>100</v>
      </c>
      <c r="T13" s="701" t="s">
        <v>14</v>
      </c>
      <c r="U13" s="702">
        <f t="shared" si="1"/>
        <v>100</v>
      </c>
      <c r="V13" s="701" t="s">
        <v>14</v>
      </c>
      <c r="W13" s="702">
        <f t="shared" si="2"/>
        <v>100</v>
      </c>
      <c r="X13" s="703"/>
      <c r="Y13" s="3630"/>
      <c r="Z13" s="3445">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79"/>
      <c r="Q14" s="3446">
        <f t="shared" si="6"/>
        <v>111</v>
      </c>
      <c r="R14" s="701" t="s">
        <v>14</v>
      </c>
      <c r="S14" s="702">
        <f t="shared" si="0"/>
        <v>100</v>
      </c>
      <c r="T14" s="701" t="s">
        <v>14</v>
      </c>
      <c r="U14" s="702">
        <f t="shared" si="1"/>
        <v>100</v>
      </c>
      <c r="V14" s="701" t="s">
        <v>14</v>
      </c>
      <c r="W14" s="702">
        <f t="shared" si="2"/>
        <v>100</v>
      </c>
      <c r="X14" s="703"/>
      <c r="Y14" s="3630"/>
      <c r="Z14" s="3445">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8"/>
      <c r="M15" s="2712"/>
      <c r="N15" s="2712"/>
      <c r="O15" s="2712"/>
      <c r="P15" s="3699" t="s">
        <v>1691</v>
      </c>
      <c r="Q15" s="3448" t="str">
        <f t="shared" si="6"/>
        <v>办公集聚程度</v>
      </c>
      <c r="R15" s="705" t="s">
        <v>14</v>
      </c>
      <c r="S15" s="706">
        <f t="shared" si="0"/>
        <v>100</v>
      </c>
      <c r="T15" s="705" t="s">
        <v>14</v>
      </c>
      <c r="U15" s="706">
        <f t="shared" si="1"/>
        <v>100</v>
      </c>
      <c r="V15" s="705" t="s">
        <v>14</v>
      </c>
      <c r="W15" s="706">
        <f t="shared" si="2"/>
        <v>100</v>
      </c>
      <c r="X15" s="3450"/>
      <c r="Y15" s="3701" t="s">
        <v>1691</v>
      </c>
      <c r="Z15" s="3451" t="str">
        <f t="shared" si="7"/>
        <v>办公集聚程度</v>
      </c>
      <c r="AA15" s="3449">
        <f t="shared" si="3"/>
        <v>1</v>
      </c>
      <c r="AB15" s="3449">
        <f t="shared" si="4"/>
        <v>1</v>
      </c>
      <c r="AC15" s="1962">
        <f t="shared" si="5"/>
        <v>1</v>
      </c>
    </row>
    <row r="16" spans="1:29" ht="15">
      <c r="A16" s="379"/>
      <c r="B16" s="578"/>
      <c r="C16" s="1904" t="s">
        <v>3391</v>
      </c>
      <c r="D16" s="399"/>
      <c r="E16" s="398" t="s">
        <v>3391</v>
      </c>
      <c r="F16" s="399"/>
      <c r="G16" s="398" t="s">
        <v>3391</v>
      </c>
      <c r="H16" s="401"/>
      <c r="I16" s="398" t="s">
        <v>3391</v>
      </c>
      <c r="J16" s="399"/>
      <c r="K16" s="564"/>
      <c r="L16" s="2718"/>
      <c r="M16" s="2712"/>
      <c r="N16" s="2712"/>
      <c r="O16" s="2712"/>
      <c r="P16" s="3700"/>
      <c r="Q16" s="3448"/>
      <c r="R16" s="705"/>
      <c r="S16" s="706"/>
      <c r="T16" s="705"/>
      <c r="U16" s="706"/>
      <c r="V16" s="705"/>
      <c r="W16" s="706"/>
      <c r="X16" s="3450"/>
      <c r="Y16" s="3702"/>
      <c r="Z16" s="3451"/>
      <c r="AA16" s="3449">
        <v>1</v>
      </c>
      <c r="AB16" s="3449">
        <v>1</v>
      </c>
      <c r="AC16" s="1962">
        <v>1</v>
      </c>
    </row>
    <row r="17" spans="1:29" ht="15">
      <c r="A17" s="379"/>
      <c r="B17" s="579" t="s">
        <v>1259</v>
      </c>
      <c r="C17" s="1963"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8"/>
      <c r="M17" s="2712"/>
      <c r="N17" s="2712"/>
      <c r="O17" s="2712"/>
      <c r="P17" s="3700"/>
      <c r="Q17" s="3448" t="str">
        <f>B17</f>
        <v>交通便捷度</v>
      </c>
      <c r="R17" s="705" t="s">
        <v>14</v>
      </c>
      <c r="S17" s="706">
        <f>F17</f>
        <v>100</v>
      </c>
      <c r="T17" s="705" t="s">
        <v>14</v>
      </c>
      <c r="U17" s="706">
        <f>H17</f>
        <v>100</v>
      </c>
      <c r="V17" s="705" t="s">
        <v>14</v>
      </c>
      <c r="W17" s="706">
        <f>J17</f>
        <v>100</v>
      </c>
      <c r="X17" s="3450"/>
      <c r="Y17" s="3702"/>
      <c r="Z17" s="3451" t="str">
        <f>Q17</f>
        <v>交通便捷度</v>
      </c>
      <c r="AA17" s="3449">
        <f t="shared" si="3"/>
        <v>1</v>
      </c>
      <c r="AB17" s="3449">
        <f t="shared" si="4"/>
        <v>1</v>
      </c>
      <c r="AC17" s="1962">
        <f t="shared" si="5"/>
        <v>1</v>
      </c>
    </row>
    <row r="18" spans="1:29" ht="15">
      <c r="A18" s="379"/>
      <c r="B18" s="580"/>
      <c r="C18" s="1964" t="s">
        <v>3391</v>
      </c>
      <c r="D18" s="401"/>
      <c r="E18" s="1902" t="s">
        <v>3391</v>
      </c>
      <c r="F18" s="401"/>
      <c r="G18" s="1902" t="s">
        <v>3391</v>
      </c>
      <c r="H18" s="399"/>
      <c r="I18" s="1902" t="s">
        <v>3391</v>
      </c>
      <c r="J18" s="399"/>
      <c r="K18" s="564"/>
      <c r="L18" s="2718"/>
      <c r="M18" s="2712"/>
      <c r="N18" s="2712"/>
      <c r="O18" s="2712"/>
      <c r="P18" s="3700"/>
      <c r="Q18" s="3448"/>
      <c r="R18" s="705"/>
      <c r="S18" s="706"/>
      <c r="T18" s="705"/>
      <c r="U18" s="706"/>
      <c r="V18" s="705"/>
      <c r="W18" s="706"/>
      <c r="X18" s="3450"/>
      <c r="Y18" s="3702"/>
      <c r="Z18" s="3451"/>
      <c r="AA18" s="3449">
        <v>1</v>
      </c>
      <c r="AB18" s="3449">
        <v>1</v>
      </c>
      <c r="AC18" s="1962">
        <v>1</v>
      </c>
    </row>
    <row r="19" spans="1:29" ht="15">
      <c r="A19" s="379"/>
      <c r="B19" s="579" t="s">
        <v>1812</v>
      </c>
      <c r="C19" s="1963"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8"/>
      <c r="M19" s="2712"/>
      <c r="N19" s="2712"/>
      <c r="O19" s="2712"/>
      <c r="P19" s="3700"/>
      <c r="Q19" s="3448" t="str">
        <f>B19</f>
        <v>公共配套设施</v>
      </c>
      <c r="R19" s="705" t="s">
        <v>14</v>
      </c>
      <c r="S19" s="706">
        <f>F19</f>
        <v>100</v>
      </c>
      <c r="T19" s="705" t="s">
        <v>14</v>
      </c>
      <c r="U19" s="706">
        <f>H19</f>
        <v>100</v>
      </c>
      <c r="V19" s="705" t="s">
        <v>14</v>
      </c>
      <c r="W19" s="706">
        <f>J19</f>
        <v>100</v>
      </c>
      <c r="X19" s="3450"/>
      <c r="Y19" s="3702"/>
      <c r="Z19" s="3451" t="str">
        <f>Q19</f>
        <v>公共配套设施</v>
      </c>
      <c r="AA19" s="3449">
        <f t="shared" si="3"/>
        <v>1</v>
      </c>
      <c r="AB19" s="3449">
        <f t="shared" si="4"/>
        <v>1</v>
      </c>
      <c r="AC19" s="1962">
        <f t="shared" si="5"/>
        <v>1</v>
      </c>
    </row>
    <row r="20" spans="1:29" ht="15">
      <c r="A20" s="379"/>
      <c r="B20" s="580"/>
      <c r="C20" s="1904" t="s">
        <v>3391</v>
      </c>
      <c r="D20" s="399"/>
      <c r="E20" s="1897" t="s">
        <v>3391</v>
      </c>
      <c r="F20" s="399"/>
      <c r="G20" s="1897" t="s">
        <v>3391</v>
      </c>
      <c r="H20" s="399"/>
      <c r="I20" s="1897" t="s">
        <v>3391</v>
      </c>
      <c r="J20" s="399"/>
      <c r="K20" s="564"/>
      <c r="L20" s="2718"/>
      <c r="M20" s="2712"/>
      <c r="N20" s="2712"/>
      <c r="O20" s="2712"/>
      <c r="P20" s="3700"/>
      <c r="Q20" s="3448"/>
      <c r="R20" s="705"/>
      <c r="S20" s="706"/>
      <c r="T20" s="705"/>
      <c r="U20" s="706"/>
      <c r="V20" s="705"/>
      <c r="W20" s="706"/>
      <c r="X20" s="3450"/>
      <c r="Y20" s="3702"/>
      <c r="Z20" s="3451"/>
      <c r="AA20" s="3449">
        <v>1</v>
      </c>
      <c r="AB20" s="3449">
        <v>1</v>
      </c>
      <c r="AC20" s="1962">
        <v>1</v>
      </c>
    </row>
    <row r="21" spans="1:29" ht="15">
      <c r="A21" s="379"/>
      <c r="B21" s="581" t="s">
        <v>1813</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8"/>
      <c r="M21" s="2712"/>
      <c r="N21" s="2712"/>
      <c r="O21" s="2712"/>
      <c r="P21" s="3700"/>
      <c r="Q21" s="3448" t="str">
        <f>B21</f>
        <v>基础设施水平</v>
      </c>
      <c r="R21" s="705" t="s">
        <v>14</v>
      </c>
      <c r="S21" s="706">
        <f>F21</f>
        <v>100</v>
      </c>
      <c r="T21" s="705" t="s">
        <v>14</v>
      </c>
      <c r="U21" s="706">
        <f>H21</f>
        <v>100</v>
      </c>
      <c r="V21" s="705" t="s">
        <v>14</v>
      </c>
      <c r="W21" s="706">
        <f>J21</f>
        <v>100</v>
      </c>
      <c r="X21" s="3450"/>
      <c r="Y21" s="3702"/>
      <c r="Z21" s="3451" t="str">
        <f>Q21</f>
        <v>基础设施水平</v>
      </c>
      <c r="AA21" s="3449">
        <f t="shared" ref="AA21" si="8">D21/F21</f>
        <v>1</v>
      </c>
      <c r="AB21" s="3449">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8"/>
      <c r="M22" s="2712"/>
      <c r="N22" s="2712"/>
      <c r="O22" s="2712"/>
      <c r="P22" s="3700"/>
      <c r="Q22" s="3448"/>
      <c r="R22" s="705"/>
      <c r="S22" s="706"/>
      <c r="T22" s="705"/>
      <c r="U22" s="706"/>
      <c r="V22" s="705"/>
      <c r="W22" s="706"/>
      <c r="X22" s="3450"/>
      <c r="Y22" s="3702"/>
      <c r="Z22" s="3451"/>
      <c r="AA22" s="3449">
        <v>1</v>
      </c>
      <c r="AB22" s="3449">
        <v>1</v>
      </c>
      <c r="AC22" s="1962">
        <v>1</v>
      </c>
    </row>
    <row r="23" spans="1:29" ht="15">
      <c r="A23" s="379"/>
      <c r="B23" s="579" t="s">
        <v>1814</v>
      </c>
      <c r="C23" s="1963"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8"/>
      <c r="M23" s="2712"/>
      <c r="N23" s="2712"/>
      <c r="O23" s="2712"/>
      <c r="P23" s="3700"/>
      <c r="Q23" s="3448" t="str">
        <f>B23</f>
        <v>环境质量</v>
      </c>
      <c r="R23" s="705" t="s">
        <v>14</v>
      </c>
      <c r="S23" s="706">
        <f>F23</f>
        <v>100</v>
      </c>
      <c r="T23" s="705" t="s">
        <v>14</v>
      </c>
      <c r="U23" s="706">
        <f>H23</f>
        <v>100</v>
      </c>
      <c r="V23" s="705" t="s">
        <v>14</v>
      </c>
      <c r="W23" s="706">
        <f>J23</f>
        <v>100</v>
      </c>
      <c r="X23" s="3450"/>
      <c r="Y23" s="3702"/>
      <c r="Z23" s="3451" t="str">
        <f>Q23</f>
        <v>环境质量</v>
      </c>
      <c r="AA23" s="3449">
        <f t="shared" si="3"/>
        <v>1</v>
      </c>
      <c r="AB23" s="3449">
        <f t="shared" si="4"/>
        <v>1</v>
      </c>
      <c r="AC23" s="1962">
        <f t="shared" si="5"/>
        <v>1</v>
      </c>
    </row>
    <row r="24" spans="1:29" ht="15">
      <c r="A24" s="379"/>
      <c r="B24" s="581"/>
      <c r="C24" s="1904" t="s">
        <v>3391</v>
      </c>
      <c r="D24" s="399"/>
      <c r="E24" s="1897" t="s">
        <v>3391</v>
      </c>
      <c r="F24" s="399"/>
      <c r="G24" s="1897" t="s">
        <v>3391</v>
      </c>
      <c r="H24" s="399"/>
      <c r="I24" s="1897" t="s">
        <v>3391</v>
      </c>
      <c r="J24" s="399"/>
      <c r="K24" s="564"/>
      <c r="L24" s="2718"/>
      <c r="M24" s="2712"/>
      <c r="N24" s="2712"/>
      <c r="O24" s="2712"/>
      <c r="P24" s="3700"/>
      <c r="Q24" s="3448"/>
      <c r="R24" s="705"/>
      <c r="S24" s="706"/>
      <c r="T24" s="705"/>
      <c r="U24" s="706"/>
      <c r="V24" s="705"/>
      <c r="W24" s="706"/>
      <c r="X24" s="3450"/>
      <c r="Y24" s="3702"/>
      <c r="Z24" s="3451"/>
      <c r="AA24" s="3449">
        <v>1</v>
      </c>
      <c r="AB24" s="3449">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00"/>
      <c r="Q25" s="3448" t="str">
        <f>B25</f>
        <v>毗邻道路的类型与等级</v>
      </c>
      <c r="R25" s="705" t="s">
        <v>14</v>
      </c>
      <c r="S25" s="706">
        <f>F25</f>
        <v>100</v>
      </c>
      <c r="T25" s="705" t="s">
        <v>14</v>
      </c>
      <c r="U25" s="706">
        <f>H25</f>
        <v>100</v>
      </c>
      <c r="V25" s="705" t="s">
        <v>14</v>
      </c>
      <c r="W25" s="706">
        <f>J25</f>
        <v>100</v>
      </c>
      <c r="X25" s="3450"/>
      <c r="Y25" s="3702"/>
      <c r="Z25" s="3451" t="str">
        <f>Q25</f>
        <v>毗邻道路的类型与等级</v>
      </c>
      <c r="AA25" s="3449">
        <f t="shared" si="3"/>
        <v>1</v>
      </c>
      <c r="AB25" s="3449">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700"/>
      <c r="Q26" s="3448"/>
      <c r="R26" s="705"/>
      <c r="S26" s="706"/>
      <c r="T26" s="705"/>
      <c r="U26" s="706"/>
      <c r="V26" s="705"/>
      <c r="W26" s="706"/>
      <c r="X26" s="3450"/>
      <c r="Y26" s="3702"/>
      <c r="Z26" s="3451"/>
      <c r="AA26" s="3449">
        <v>1</v>
      </c>
      <c r="AB26" s="3449">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00"/>
      <c r="Q27" s="3448" t="str">
        <f t="shared" ref="Q27:Q47" si="11">B27</f>
        <v>楼层</v>
      </c>
      <c r="R27" s="705" t="s">
        <v>14</v>
      </c>
      <c r="S27" s="706">
        <f>F27</f>
        <v>100</v>
      </c>
      <c r="T27" s="705" t="s">
        <v>14</v>
      </c>
      <c r="U27" s="706">
        <f>H27</f>
        <v>100</v>
      </c>
      <c r="V27" s="705" t="s">
        <v>14</v>
      </c>
      <c r="W27" s="706">
        <f>J27</f>
        <v>100</v>
      </c>
      <c r="X27" s="3450"/>
      <c r="Y27" s="3702"/>
      <c r="Z27" s="3451" t="str">
        <f>Q27</f>
        <v>楼层</v>
      </c>
      <c r="AA27" s="3449">
        <f t="shared" si="3"/>
        <v>1</v>
      </c>
      <c r="AB27" s="3449">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00"/>
      <c r="Q28" s="3446" t="str">
        <f t="shared" si="11"/>
        <v>朝向</v>
      </c>
      <c r="R28" s="701" t="s">
        <v>14</v>
      </c>
      <c r="S28" s="702">
        <f>F28</f>
        <v>100</v>
      </c>
      <c r="T28" s="701" t="s">
        <v>14</v>
      </c>
      <c r="U28" s="702">
        <f>H28</f>
        <v>100</v>
      </c>
      <c r="V28" s="701" t="s">
        <v>14</v>
      </c>
      <c r="W28" s="702">
        <f>J28</f>
        <v>100</v>
      </c>
      <c r="X28" s="703"/>
      <c r="Y28" s="3702"/>
      <c r="Z28" s="3445" t="str">
        <f>Q28</f>
        <v>朝向</v>
      </c>
      <c r="AA28" s="3449">
        <f>D28/F28</f>
        <v>1</v>
      </c>
      <c r="AB28" s="3449">
        <f>D28/H28</f>
        <v>1</v>
      </c>
      <c r="AC28" s="1962">
        <f>D28/J28</f>
        <v>1</v>
      </c>
    </row>
    <row r="29" spans="1:29" ht="15.75" thickBot="1">
      <c r="A29" s="379"/>
      <c r="B29" s="3466" t="s">
        <v>3433</v>
      </c>
      <c r="C29" s="3467" t="s">
        <v>3418</v>
      </c>
      <c r="D29" s="386">
        <v>100</v>
      </c>
      <c r="E29" s="3467" t="s">
        <v>3418</v>
      </c>
      <c r="F29" s="386">
        <f>SUMIF(93:93,E29,94:94)-SUMIF(93:93,C29,94:94)+100</f>
        <v>100</v>
      </c>
      <c r="G29" s="3467" t="s">
        <v>3418</v>
      </c>
      <c r="H29" s="386">
        <f>SUMIF(93:93,G29,94:94)-SUMIF(93:93,C29,94:94)+100</f>
        <v>100</v>
      </c>
      <c r="I29" s="3467" t="s">
        <v>3418</v>
      </c>
      <c r="J29" s="386">
        <f>SUMIF(93:93,I29,94:94)-SUMIF(93:93,C29,94:94)+100</f>
        <v>100</v>
      </c>
      <c r="K29" s="562"/>
      <c r="L29" s="2718"/>
      <c r="M29" s="2712"/>
      <c r="N29" s="2712"/>
      <c r="O29" s="2712"/>
      <c r="P29" s="3700"/>
      <c r="Q29" s="3448" t="str">
        <f t="shared" si="11"/>
        <v>楼层</v>
      </c>
      <c r="R29" s="705" t="s">
        <v>14</v>
      </c>
      <c r="S29" s="706">
        <f t="shared" ref="S29:S47" si="12">F29</f>
        <v>100</v>
      </c>
      <c r="T29" s="705" t="s">
        <v>14</v>
      </c>
      <c r="U29" s="706">
        <f t="shared" ref="U29:U47" si="13">H29</f>
        <v>100</v>
      </c>
      <c r="V29" s="705" t="s">
        <v>14</v>
      </c>
      <c r="W29" s="706">
        <f t="shared" ref="W29:W47" si="14">J29</f>
        <v>100</v>
      </c>
      <c r="X29" s="3450"/>
      <c r="Y29" s="3702"/>
      <c r="Z29" s="3451" t="str">
        <f t="shared" ref="Z29:Z47" si="15">Q29</f>
        <v>楼层</v>
      </c>
      <c r="AA29" s="3449">
        <f t="shared" si="3"/>
        <v>1</v>
      </c>
      <c r="AB29" s="3449">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00"/>
      <c r="Q30" s="3448">
        <f t="shared" si="11"/>
        <v>111</v>
      </c>
      <c r="R30" s="705" t="s">
        <v>14</v>
      </c>
      <c r="S30" s="706">
        <f t="shared" si="12"/>
        <v>100</v>
      </c>
      <c r="T30" s="705" t="s">
        <v>14</v>
      </c>
      <c r="U30" s="706">
        <f t="shared" si="13"/>
        <v>100</v>
      </c>
      <c r="V30" s="705" t="s">
        <v>14</v>
      </c>
      <c r="W30" s="706">
        <f t="shared" si="14"/>
        <v>100</v>
      </c>
      <c r="X30" s="3450"/>
      <c r="Y30" s="3702"/>
      <c r="Z30" s="3451">
        <f t="shared" si="15"/>
        <v>111</v>
      </c>
      <c r="AA30" s="3449">
        <f t="shared" si="3"/>
        <v>1</v>
      </c>
      <c r="AB30" s="3449">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00"/>
      <c r="Q31" s="3448">
        <f t="shared" si="11"/>
        <v>111</v>
      </c>
      <c r="R31" s="705" t="s">
        <v>14</v>
      </c>
      <c r="S31" s="706">
        <f t="shared" si="12"/>
        <v>100</v>
      </c>
      <c r="T31" s="705" t="s">
        <v>14</v>
      </c>
      <c r="U31" s="706">
        <f t="shared" si="13"/>
        <v>100</v>
      </c>
      <c r="V31" s="705" t="s">
        <v>14</v>
      </c>
      <c r="W31" s="706">
        <f t="shared" si="14"/>
        <v>100</v>
      </c>
      <c r="X31" s="3450"/>
      <c r="Y31" s="3702"/>
      <c r="Z31" s="3451">
        <f t="shared" si="15"/>
        <v>111</v>
      </c>
      <c r="AA31" s="3449">
        <f t="shared" si="3"/>
        <v>1</v>
      </c>
      <c r="AB31" s="3449">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00"/>
      <c r="Q32" s="3448">
        <f t="shared" si="11"/>
        <v>111</v>
      </c>
      <c r="R32" s="705" t="s">
        <v>14</v>
      </c>
      <c r="S32" s="706">
        <f t="shared" si="12"/>
        <v>100</v>
      </c>
      <c r="T32" s="705" t="s">
        <v>14</v>
      </c>
      <c r="U32" s="706">
        <f t="shared" si="13"/>
        <v>100</v>
      </c>
      <c r="V32" s="705" t="s">
        <v>14</v>
      </c>
      <c r="W32" s="706">
        <f t="shared" si="14"/>
        <v>100</v>
      </c>
      <c r="X32" s="3450"/>
      <c r="Y32" s="3702"/>
      <c r="Z32" s="3451">
        <f t="shared" si="15"/>
        <v>111</v>
      </c>
      <c r="AA32" s="3449">
        <f t="shared" si="3"/>
        <v>1</v>
      </c>
      <c r="AB32" s="3449">
        <f t="shared" si="4"/>
        <v>1</v>
      </c>
      <c r="AC32" s="1962">
        <f t="shared" si="5"/>
        <v>1</v>
      </c>
    </row>
    <row r="33" spans="1:29" ht="15">
      <c r="A33" s="391" t="s">
        <v>1694</v>
      </c>
      <c r="B33" s="63" t="s">
        <v>1817</v>
      </c>
      <c r="C33" s="1967" t="s">
        <v>3420</v>
      </c>
      <c r="D33" s="418">
        <v>100</v>
      </c>
      <c r="E33" s="1967" t="s">
        <v>3420</v>
      </c>
      <c r="F33" s="412">
        <f>SUMIF(101:101,E33,102:102)-SUMIF(101:101,C33,102:102)+100</f>
        <v>100</v>
      </c>
      <c r="G33" s="1967" t="s">
        <v>3420</v>
      </c>
      <c r="H33" s="386">
        <f>SUMIF(101:101,G33,102:102)-SUMIF(101:101,C33,102:102)+100</f>
        <v>100</v>
      </c>
      <c r="I33" s="1967" t="s">
        <v>3420</v>
      </c>
      <c r="J33" s="418">
        <f>SUMIF(101:101,I33,102:102)-SUMIF(101:101,C33,102:102)+100</f>
        <v>100</v>
      </c>
      <c r="K33" s="561">
        <v>2</v>
      </c>
      <c r="L33" s="2718"/>
      <c r="M33" s="2712"/>
      <c r="N33" s="2712"/>
      <c r="O33" s="2712"/>
      <c r="P33" s="3703" t="s">
        <v>1696</v>
      </c>
      <c r="Q33" s="3448" t="str">
        <f t="shared" si="11"/>
        <v>建筑类型</v>
      </c>
      <c r="R33" s="705" t="s">
        <v>14</v>
      </c>
      <c r="S33" s="706">
        <f t="shared" si="12"/>
        <v>100</v>
      </c>
      <c r="T33" s="705" t="s">
        <v>14</v>
      </c>
      <c r="U33" s="706">
        <f t="shared" si="13"/>
        <v>100</v>
      </c>
      <c r="V33" s="705" t="s">
        <v>14</v>
      </c>
      <c r="W33" s="706">
        <f t="shared" si="14"/>
        <v>100</v>
      </c>
      <c r="X33" s="3450"/>
      <c r="Y33" s="3706" t="s">
        <v>1696</v>
      </c>
      <c r="Z33" s="3451" t="str">
        <f t="shared" si="15"/>
        <v>建筑类型</v>
      </c>
      <c r="AA33" s="3449">
        <f t="shared" si="3"/>
        <v>1</v>
      </c>
      <c r="AB33" s="3449">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7"/>
      <c r="M34" s="2719"/>
      <c r="N34" s="2719"/>
      <c r="O34" s="2719"/>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3449">
        <f t="shared" si="3"/>
        <v>1</v>
      </c>
      <c r="AB34" s="3449">
        <f t="shared" si="4"/>
        <v>1</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2</v>
      </c>
      <c r="L35" s="2718"/>
      <c r="M35" s="2712"/>
      <c r="N35" s="2712"/>
      <c r="O35" s="2712"/>
      <c r="P35" s="3704"/>
      <c r="Q35" s="3448" t="str">
        <f t="shared" si="11"/>
        <v>建筑结构</v>
      </c>
      <c r="R35" s="705" t="s">
        <v>14</v>
      </c>
      <c r="S35" s="706">
        <f t="shared" si="12"/>
        <v>100</v>
      </c>
      <c r="T35" s="705" t="s">
        <v>14</v>
      </c>
      <c r="U35" s="706">
        <f t="shared" si="13"/>
        <v>100</v>
      </c>
      <c r="V35" s="705" t="s">
        <v>14</v>
      </c>
      <c r="W35" s="706">
        <f t="shared" si="14"/>
        <v>100</v>
      </c>
      <c r="X35" s="3450"/>
      <c r="Y35" s="3706"/>
      <c r="Z35" s="3451" t="str">
        <f t="shared" si="15"/>
        <v>建筑结构</v>
      </c>
      <c r="AA35" s="3449">
        <f t="shared" si="3"/>
        <v>1</v>
      </c>
      <c r="AB35" s="3449">
        <f t="shared" si="4"/>
        <v>1</v>
      </c>
      <c r="AC35" s="1962">
        <f t="shared" si="5"/>
        <v>1</v>
      </c>
    </row>
    <row r="36" spans="1:29" ht="15">
      <c r="A36" s="423"/>
      <c r="B36" s="375" t="s">
        <v>1785</v>
      </c>
      <c r="C36" s="411" t="s">
        <v>3424</v>
      </c>
      <c r="D36" s="386">
        <v>100</v>
      </c>
      <c r="E36" s="411" t="s">
        <v>3424</v>
      </c>
      <c r="F36" s="412">
        <f>SUMIF(108:108,E36,109:109)-SUMIF(108:108,C36,109:109)+100</f>
        <v>100</v>
      </c>
      <c r="G36" s="411" t="s">
        <v>3424</v>
      </c>
      <c r="H36" s="386">
        <f>SUMIF(108:108,G36,109:109)-SUMIF(108:108,C36,109:109)+100</f>
        <v>100</v>
      </c>
      <c r="I36" s="411" t="s">
        <v>3424</v>
      </c>
      <c r="J36" s="386">
        <f>SUMIF(108:108,I36,109:109)-SUMIF(108:108,C36,109:109)+100</f>
        <v>100</v>
      </c>
      <c r="K36" s="561">
        <v>2</v>
      </c>
      <c r="L36" s="2718"/>
      <c r="M36" s="2712"/>
      <c r="N36" s="2712"/>
      <c r="O36" s="2712"/>
      <c r="P36" s="3704"/>
      <c r="Q36" s="3448" t="str">
        <f t="shared" si="11"/>
        <v>公共部分装修</v>
      </c>
      <c r="R36" s="705" t="s">
        <v>14</v>
      </c>
      <c r="S36" s="706">
        <f t="shared" si="12"/>
        <v>100</v>
      </c>
      <c r="T36" s="705" t="s">
        <v>14</v>
      </c>
      <c r="U36" s="706">
        <f t="shared" si="13"/>
        <v>100</v>
      </c>
      <c r="V36" s="705" t="s">
        <v>14</v>
      </c>
      <c r="W36" s="706">
        <f t="shared" si="14"/>
        <v>100</v>
      </c>
      <c r="X36" s="3450"/>
      <c r="Y36" s="3706"/>
      <c r="Z36" s="3451" t="str">
        <f t="shared" si="15"/>
        <v>公共部分装修</v>
      </c>
      <c r="AA36" s="3449">
        <f t="shared" si="3"/>
        <v>1</v>
      </c>
      <c r="AB36" s="3449">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704"/>
      <c r="Q37" s="3448" t="str">
        <f t="shared" si="11"/>
        <v>成新度</v>
      </c>
      <c r="R37" s="705" t="s">
        <v>14</v>
      </c>
      <c r="S37" s="706">
        <f t="shared" si="12"/>
        <v>100</v>
      </c>
      <c r="T37" s="705" t="s">
        <v>14</v>
      </c>
      <c r="U37" s="706">
        <f t="shared" si="13"/>
        <v>100</v>
      </c>
      <c r="V37" s="705" t="s">
        <v>14</v>
      </c>
      <c r="W37" s="706">
        <f t="shared" si="14"/>
        <v>100</v>
      </c>
      <c r="X37" s="3450"/>
      <c r="Y37" s="3706"/>
      <c r="Z37" s="3451" t="str">
        <f t="shared" si="15"/>
        <v>成新度</v>
      </c>
      <c r="AA37" s="3449">
        <f t="shared" si="3"/>
        <v>1</v>
      </c>
      <c r="AB37" s="3449">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4"/>
      <c r="Q38" s="3446" t="str">
        <f t="shared" si="11"/>
        <v>写字楼等级</v>
      </c>
      <c r="R38" s="701" t="s">
        <v>14</v>
      </c>
      <c r="S38" s="702">
        <f t="shared" si="12"/>
        <v>100</v>
      </c>
      <c r="T38" s="701" t="s">
        <v>14</v>
      </c>
      <c r="U38" s="702">
        <f t="shared" si="13"/>
        <v>100</v>
      </c>
      <c r="V38" s="701" t="s">
        <v>14</v>
      </c>
      <c r="W38" s="702">
        <f t="shared" si="14"/>
        <v>100</v>
      </c>
      <c r="X38" s="703"/>
      <c r="Y38" s="3706"/>
      <c r="Z38" s="3445" t="str">
        <f t="shared" si="15"/>
        <v>写字楼等级</v>
      </c>
      <c r="AA38" s="704">
        <f t="shared" si="3"/>
        <v>1</v>
      </c>
      <c r="AB38" s="704">
        <f t="shared" si="4"/>
        <v>1</v>
      </c>
      <c r="AC38" s="1959">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8"/>
      <c r="M39" s="2712"/>
      <c r="N39" s="2712"/>
      <c r="O39" s="2712"/>
      <c r="P39" s="3704" t="s">
        <v>1696</v>
      </c>
      <c r="Q39" s="3448" t="str">
        <f t="shared" si="11"/>
        <v>物业管理</v>
      </c>
      <c r="R39" s="705" t="s">
        <v>14</v>
      </c>
      <c r="S39" s="706">
        <f t="shared" si="12"/>
        <v>100</v>
      </c>
      <c r="T39" s="705" t="s">
        <v>14</v>
      </c>
      <c r="U39" s="706">
        <f t="shared" si="13"/>
        <v>100</v>
      </c>
      <c r="V39" s="705" t="s">
        <v>14</v>
      </c>
      <c r="W39" s="706">
        <f t="shared" si="14"/>
        <v>100</v>
      </c>
      <c r="X39" s="3450"/>
      <c r="Y39" s="3706" t="s">
        <v>1696</v>
      </c>
      <c r="Z39" s="3451" t="str">
        <f t="shared" si="15"/>
        <v>物业管理</v>
      </c>
      <c r="AA39" s="3449">
        <f t="shared" si="3"/>
        <v>1</v>
      </c>
      <c r="AB39" s="3449">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18"/>
      <c r="M40" s="2712"/>
      <c r="N40" s="2712"/>
      <c r="O40" s="2712"/>
      <c r="P40" s="3704"/>
      <c r="Q40" s="3448" t="str">
        <f t="shared" si="11"/>
        <v>市政基础设施</v>
      </c>
      <c r="R40" s="705" t="s">
        <v>14</v>
      </c>
      <c r="S40" s="706">
        <f t="shared" si="12"/>
        <v>100</v>
      </c>
      <c r="T40" s="705" t="s">
        <v>14</v>
      </c>
      <c r="U40" s="706">
        <f t="shared" si="13"/>
        <v>100</v>
      </c>
      <c r="V40" s="705" t="s">
        <v>14</v>
      </c>
      <c r="W40" s="706">
        <f t="shared" si="14"/>
        <v>100</v>
      </c>
      <c r="X40" s="3450"/>
      <c r="Y40" s="3706"/>
      <c r="Z40" s="3451" t="str">
        <f t="shared" si="15"/>
        <v>市政基础设施</v>
      </c>
      <c r="AA40" s="3449">
        <f t="shared" si="3"/>
        <v>1</v>
      </c>
      <c r="AB40" s="3449">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4"/>
      <c r="Q41" s="3448" t="str">
        <f t="shared" si="11"/>
        <v>层高</v>
      </c>
      <c r="R41" s="705" t="s">
        <v>14</v>
      </c>
      <c r="S41" s="706">
        <f t="shared" si="12"/>
        <v>100</v>
      </c>
      <c r="T41" s="705" t="s">
        <v>14</v>
      </c>
      <c r="U41" s="706">
        <f t="shared" si="13"/>
        <v>100</v>
      </c>
      <c r="V41" s="705" t="s">
        <v>14</v>
      </c>
      <c r="W41" s="706">
        <f t="shared" si="14"/>
        <v>100</v>
      </c>
      <c r="X41" s="3450"/>
      <c r="Y41" s="3706"/>
      <c r="Z41" s="3451" t="str">
        <f t="shared" si="15"/>
        <v>层高</v>
      </c>
      <c r="AA41" s="3449">
        <f t="shared" si="3"/>
        <v>1</v>
      </c>
      <c r="AB41" s="3449">
        <f t="shared" si="4"/>
        <v>1</v>
      </c>
      <c r="AC41" s="1962">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3449">
        <f t="shared" si="3"/>
        <v>1</v>
      </c>
      <c r="AB42" s="3449">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18"/>
      <c r="M43" s="2712"/>
      <c r="N43" s="2712"/>
      <c r="O43" s="2712"/>
      <c r="P43" s="3704"/>
      <c r="Q43" s="3448" t="str">
        <f t="shared" si="11"/>
        <v>内部装修</v>
      </c>
      <c r="R43" s="705" t="s">
        <v>14</v>
      </c>
      <c r="S43" s="706">
        <f t="shared" si="12"/>
        <v>100</v>
      </c>
      <c r="T43" s="705" t="s">
        <v>14</v>
      </c>
      <c r="U43" s="706">
        <f t="shared" si="13"/>
        <v>100</v>
      </c>
      <c r="V43" s="705" t="s">
        <v>14</v>
      </c>
      <c r="W43" s="706">
        <f t="shared" si="14"/>
        <v>100</v>
      </c>
      <c r="X43" s="3450"/>
      <c r="Y43" s="3706"/>
      <c r="Z43" s="3451" t="str">
        <f t="shared" si="15"/>
        <v>内部装修</v>
      </c>
      <c r="AA43" s="3449">
        <f t="shared" si="3"/>
        <v>1</v>
      </c>
      <c r="AB43" s="3449">
        <f t="shared" si="4"/>
        <v>1</v>
      </c>
      <c r="AC43" s="1962">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8"/>
      <c r="M44" s="2712"/>
      <c r="N44" s="2712"/>
      <c r="O44" s="2712"/>
      <c r="P44" s="3704"/>
      <c r="Q44" s="3448" t="str">
        <f t="shared" si="11"/>
        <v>内部装修维护情况</v>
      </c>
      <c r="R44" s="705" t="s">
        <v>14</v>
      </c>
      <c r="S44" s="706">
        <f t="shared" si="12"/>
        <v>100</v>
      </c>
      <c r="T44" s="705" t="s">
        <v>14</v>
      </c>
      <c r="U44" s="706">
        <f t="shared" si="13"/>
        <v>100</v>
      </c>
      <c r="V44" s="705" t="s">
        <v>14</v>
      </c>
      <c r="W44" s="706">
        <f t="shared" si="14"/>
        <v>100</v>
      </c>
      <c r="X44" s="3450"/>
      <c r="Y44" s="3706"/>
      <c r="Z44" s="3451" t="str">
        <f t="shared" si="15"/>
        <v>内部装修维护情况</v>
      </c>
      <c r="AA44" s="3449">
        <f t="shared" si="3"/>
        <v>1</v>
      </c>
      <c r="AB44" s="3449">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4"/>
      <c r="Q45" s="3446">
        <f t="shared" si="11"/>
        <v>111</v>
      </c>
      <c r="R45" s="701" t="s">
        <v>14</v>
      </c>
      <c r="S45" s="702">
        <f t="shared" si="12"/>
        <v>100</v>
      </c>
      <c r="T45" s="701" t="s">
        <v>14</v>
      </c>
      <c r="U45" s="702">
        <f t="shared" si="13"/>
        <v>100</v>
      </c>
      <c r="V45" s="701" t="s">
        <v>14</v>
      </c>
      <c r="W45" s="702">
        <f t="shared" si="14"/>
        <v>100</v>
      </c>
      <c r="X45" s="703"/>
      <c r="Y45" s="3706"/>
      <c r="Z45" s="3445">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4"/>
      <c r="Q46" s="3448">
        <f t="shared" si="11"/>
        <v>111</v>
      </c>
      <c r="R46" s="705" t="s">
        <v>14</v>
      </c>
      <c r="S46" s="706">
        <f t="shared" si="12"/>
        <v>100</v>
      </c>
      <c r="T46" s="705" t="s">
        <v>14</v>
      </c>
      <c r="U46" s="706">
        <f t="shared" si="13"/>
        <v>100</v>
      </c>
      <c r="V46" s="705" t="s">
        <v>14</v>
      </c>
      <c r="W46" s="706">
        <f t="shared" si="14"/>
        <v>100</v>
      </c>
      <c r="X46" s="3450"/>
      <c r="Y46" s="3706"/>
      <c r="Z46" s="3451">
        <f t="shared" si="15"/>
        <v>111</v>
      </c>
      <c r="AA46" s="3449">
        <f t="shared" si="3"/>
        <v>1</v>
      </c>
      <c r="AB46" s="3449">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5"/>
      <c r="Q47" s="3448">
        <f t="shared" si="11"/>
        <v>111</v>
      </c>
      <c r="R47" s="705" t="s">
        <v>14</v>
      </c>
      <c r="S47" s="706">
        <f t="shared" si="12"/>
        <v>100</v>
      </c>
      <c r="T47" s="705" t="s">
        <v>14</v>
      </c>
      <c r="U47" s="706">
        <f t="shared" si="13"/>
        <v>100</v>
      </c>
      <c r="V47" s="705" t="s">
        <v>14</v>
      </c>
      <c r="W47" s="706">
        <f t="shared" si="14"/>
        <v>100</v>
      </c>
      <c r="X47" s="3450"/>
      <c r="Y47" s="3707"/>
      <c r="Z47" s="3451">
        <f t="shared" si="15"/>
        <v>111</v>
      </c>
      <c r="AA47" s="3449">
        <f t="shared" si="3"/>
        <v>1</v>
      </c>
      <c r="AB47" s="3449">
        <f t="shared" si="4"/>
        <v>1</v>
      </c>
      <c r="AC47" s="1962">
        <f t="shared" si="5"/>
        <v>1</v>
      </c>
    </row>
    <row r="48" spans="1:29" ht="15">
      <c r="A48" s="430" t="s">
        <v>1708</v>
      </c>
      <c r="B48" s="431"/>
      <c r="C48" s="1154" t="s">
        <v>0</v>
      </c>
      <c r="D48" s="1155"/>
      <c r="E48" s="1156">
        <f>案例!C24</f>
        <v>6.28</v>
      </c>
      <c r="F48" s="1157"/>
      <c r="G48" s="1158">
        <f>案例!C27</f>
        <v>6.5</v>
      </c>
      <c r="H48" s="1159"/>
      <c r="I48" s="1156">
        <f>案例!C28</f>
        <v>6.5</v>
      </c>
      <c r="J48" s="436"/>
      <c r="K48" s="714"/>
      <c r="L48" s="2720"/>
      <c r="M48" s="2712"/>
      <c r="N48" s="2712"/>
      <c r="O48" s="2712"/>
      <c r="P48" s="3679" t="str">
        <f>A48</f>
        <v>成交单价（元/平方米）</v>
      </c>
      <c r="Q48" s="3708"/>
      <c r="R48" s="3709">
        <f>E48</f>
        <v>6.28</v>
      </c>
      <c r="S48" s="3709"/>
      <c r="T48" s="3709">
        <f>G48</f>
        <v>6.5</v>
      </c>
      <c r="U48" s="3709"/>
      <c r="V48" s="3709">
        <f>I48</f>
        <v>6.5</v>
      </c>
      <c r="W48" s="3709"/>
      <c r="X48" s="397"/>
      <c r="Y48" s="712"/>
      <c r="Z48" s="397"/>
      <c r="AA48" s="397"/>
      <c r="AB48" s="397"/>
      <c r="AC48" s="578"/>
    </row>
    <row r="49" spans="1:29" ht="15.75" thickBot="1">
      <c r="A49" s="437" t="s">
        <v>1793</v>
      </c>
      <c r="B49" s="438"/>
      <c r="C49" s="1160">
        <f>R50</f>
        <v>6.3</v>
      </c>
      <c r="D49" s="2317" t="s">
        <v>2138</v>
      </c>
      <c r="E49" s="1161">
        <f>R49</f>
        <v>6.2</v>
      </c>
      <c r="F49" s="2318"/>
      <c r="G49" s="1160">
        <f>T49</f>
        <v>6.4</v>
      </c>
      <c r="H49" s="2318"/>
      <c r="I49" s="1161">
        <f>V49</f>
        <v>6.4</v>
      </c>
      <c r="J49" s="2318"/>
      <c r="K49" s="2320">
        <f>F49+H49+J49</f>
        <v>0</v>
      </c>
      <c r="L49" s="2720"/>
      <c r="M49" s="2712"/>
      <c r="N49" s="2712"/>
      <c r="O49" s="2712"/>
      <c r="P49" s="3679" t="str">
        <f>A49</f>
        <v>比较价值（元/平方米）</v>
      </c>
      <c r="Q49" s="3708"/>
      <c r="R49" s="3709">
        <f>IF(F1="售价",ROUND(PRODUCT(R48,AA7:AA47),0),ROUND(PRODUCT(R48,AA7:AA47),1))</f>
        <v>6.2</v>
      </c>
      <c r="S49" s="3709"/>
      <c r="T49" s="3709">
        <f>IF(F1="售价",ROUND(PRODUCT(T48,AB7:AB47),0),ROUND(PRODUCT(T48,AB7:AB47),1))</f>
        <v>6.4</v>
      </c>
      <c r="U49" s="3709"/>
      <c r="V49" s="3709">
        <f>IF(F1="售价",ROUND(PRODUCT(V48,AC7:AC47),0),ROUND(PRODUCT(V48,AC7:AC47),1))</f>
        <v>6.4</v>
      </c>
      <c r="W49" s="3709"/>
      <c r="X49" s="397"/>
      <c r="Y49" s="397"/>
      <c r="Z49" s="397"/>
      <c r="AA49" s="397"/>
      <c r="AB49" s="397"/>
      <c r="AC49" s="578"/>
    </row>
    <row r="50" spans="1:29" ht="15.75" thickBot="1">
      <c r="A50" s="441" t="s">
        <v>1794</v>
      </c>
      <c r="B50" s="442"/>
      <c r="C50" s="1163">
        <f>R50</f>
        <v>6.3</v>
      </c>
      <c r="D50" s="1163"/>
      <c r="E50" s="1163"/>
      <c r="F50" s="1163"/>
      <c r="G50" s="1163"/>
      <c r="H50" s="1163"/>
      <c r="I50" s="1163"/>
      <c r="J50" s="443"/>
      <c r="K50" s="715"/>
      <c r="L50" s="2720"/>
      <c r="M50" s="2712"/>
      <c r="N50" s="2712"/>
      <c r="O50" s="2712"/>
      <c r="P50" s="3710" t="str">
        <f>A50</f>
        <v>估价对象XX用房的比较价值（楼面单价，元/平方米）</v>
      </c>
      <c r="Q50" s="3711"/>
      <c r="R50" s="3712">
        <f>IF(F1="售价",ROUND(IF(D49="简单平均",AVERAGE(R49:V49),R49*F49+T49*H49+V49*J49),0),ROUND(IF(D49="简单平均",AVERAGE(R49:V49),R49*F49+T49*H49+V49*J49),1))</f>
        <v>6.3</v>
      </c>
      <c r="S50" s="3712"/>
      <c r="T50" s="3712"/>
      <c r="U50" s="3712"/>
      <c r="V50" s="3712"/>
      <c r="W50" s="3712"/>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1.2903225806451646E-2</v>
      </c>
      <c r="F53" s="449" t="str">
        <f>IF(OR(E53&gt;=0.3,E53&lt;=-0.3),"超过30%","")</f>
        <v/>
      </c>
      <c r="G53" s="448">
        <f>IF(G48&lt;G49,G49/G48-1,G48/G49-1)</f>
        <v>1.5625E-2</v>
      </c>
      <c r="H53" s="449" t="str">
        <f>IF(OR(G53&gt;=0.3,G53&lt;=-0.3),"超过30%","")</f>
        <v/>
      </c>
      <c r="I53" s="448">
        <f>IF(I48&lt;I49,I49/I48-1,I48/I49-1)</f>
        <v>1.5625E-2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3.2258064516129004E-2</v>
      </c>
      <c r="F54" s="449" t="str">
        <f>IF(OR(E54&gt;=0.2,E54&lt;=-0.2),"超过20%","")</f>
        <v/>
      </c>
      <c r="G54" s="448">
        <f>IF(G49&lt;I49,I49/G49-1,G49/I49-1)</f>
        <v>0</v>
      </c>
      <c r="H54" s="449" t="str">
        <f>IF(OR(G54&gt;=0.2,G54&lt;=-0.2),"超过20%","")</f>
        <v/>
      </c>
      <c r="I54" s="448">
        <f>IF(I49&lt;E49,E49/I49-1,I49/E49-1)</f>
        <v>3.2258064516129004E-2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3.5031847133757843E-2</v>
      </c>
      <c r="F55" s="449" t="str">
        <f>IF(OR(E55&gt;=0.3,E55&lt;=-0.3),"超过30%","")</f>
        <v/>
      </c>
      <c r="G55" s="448">
        <f>IF(G48&lt;I48,I48/G48-1,G48/I48-1)</f>
        <v>0</v>
      </c>
      <c r="H55" s="449" t="str">
        <f>IF(OR(G55&gt;=0.3,G55&lt;=-0.3),"超过30%","")</f>
        <v/>
      </c>
      <c r="I55" s="448">
        <f>IF(I48&lt;E48,E48/I48-1,I48/E48-1)</f>
        <v>3.5031847133757843E-2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3416</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101</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3417</v>
      </c>
      <c r="D93" s="3462" t="s">
        <v>3418</v>
      </c>
      <c r="E93" s="3462" t="s">
        <v>3419</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C94-2</f>
        <v>98</v>
      </c>
      <c r="E94" s="485">
        <f>D94-2</f>
        <v>96</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4">
        <v>1000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f>D105+2</f>
        <v>102</v>
      </c>
      <c r="D105" s="485">
        <v>100</v>
      </c>
      <c r="E105" s="485">
        <f>D105-2</f>
        <v>98</v>
      </c>
      <c r="F105" s="485">
        <f>E105-2</f>
        <v>96</v>
      </c>
      <c r="G105" s="485" t="s">
        <v>3422</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3425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3427</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3429</v>
      </c>
      <c r="D123" s="3462" t="s">
        <v>3425</v>
      </c>
      <c r="E123" s="3462" t="s">
        <v>3430</v>
      </c>
      <c r="F123" s="3464" t="s">
        <v>3431</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C29" sqref="C29"/>
    </sheetView>
  </sheetViews>
  <sheetFormatPr defaultRowHeight="13.5"/>
  <sheetData>
    <row r="1" spans="1:5">
      <c r="A1" s="3460" t="s">
        <v>3402</v>
      </c>
      <c r="B1" s="3460" t="s">
        <v>3404</v>
      </c>
      <c r="C1" s="3460" t="s">
        <v>3405</v>
      </c>
      <c r="D1" s="3460" t="s">
        <v>3406</v>
      </c>
      <c r="E1" s="3460" t="s">
        <v>3408</v>
      </c>
    </row>
    <row r="2" spans="1:5">
      <c r="A2" s="3460" t="s">
        <v>3403</v>
      </c>
      <c r="B2">
        <v>37579</v>
      </c>
      <c r="C2">
        <v>146.36000000000001</v>
      </c>
      <c r="D2" s="3460" t="s">
        <v>3407</v>
      </c>
      <c r="E2" s="3460" t="s">
        <v>3409</v>
      </c>
    </row>
    <row r="3" spans="1:5">
      <c r="A3" s="3460" t="s">
        <v>3410</v>
      </c>
      <c r="B3">
        <v>39878</v>
      </c>
      <c r="C3">
        <v>195.6</v>
      </c>
      <c r="D3" s="3460" t="s">
        <v>3411</v>
      </c>
      <c r="E3" s="3460" t="s">
        <v>3409</v>
      </c>
    </row>
    <row r="4" spans="1:5">
      <c r="A4" t="str">
        <f>A3</f>
        <v>方恒国际中心</v>
      </c>
      <c r="B4">
        <v>36992</v>
      </c>
      <c r="C4">
        <v>197.34</v>
      </c>
      <c r="D4" s="3460" t="s">
        <v>3412</v>
      </c>
      <c r="E4" s="3460" t="s">
        <v>3409</v>
      </c>
    </row>
    <row r="22" spans="1:3">
      <c r="A22" s="3460" t="s">
        <v>3357</v>
      </c>
      <c r="B22" s="3460" t="s">
        <v>2567</v>
      </c>
      <c r="C22" s="3460" t="s">
        <v>3404</v>
      </c>
    </row>
    <row r="23" spans="1:3">
      <c r="A23" s="3460" t="s">
        <v>3436</v>
      </c>
      <c r="B23" s="3460" t="s">
        <v>3437</v>
      </c>
    </row>
    <row r="24" spans="1:3">
      <c r="A24" s="3460" t="s">
        <v>3403</v>
      </c>
      <c r="B24" s="3460" t="s">
        <v>3438</v>
      </c>
      <c r="C24">
        <v>6.28</v>
      </c>
    </row>
    <row r="25" spans="1:3">
      <c r="A25" s="3460" t="s">
        <v>3439</v>
      </c>
      <c r="B25" s="3460" t="s">
        <v>3440</v>
      </c>
      <c r="C25">
        <v>5.5</v>
      </c>
    </row>
    <row r="26" spans="1:3">
      <c r="A26" s="3460" t="s">
        <v>3441</v>
      </c>
      <c r="B26" s="3460" t="s">
        <v>3442</v>
      </c>
      <c r="C26">
        <v>5</v>
      </c>
    </row>
    <row r="27" spans="1:3">
      <c r="A27" s="3460" t="s">
        <v>3410</v>
      </c>
      <c r="B27" s="3460" t="s">
        <v>3443</v>
      </c>
      <c r="C27">
        <v>6.5</v>
      </c>
    </row>
    <row r="28" spans="1:3">
      <c r="A28" s="3460" t="s">
        <v>3444</v>
      </c>
      <c r="B28" s="3460" t="s">
        <v>3445</v>
      </c>
      <c r="C28">
        <v>6.5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854" t="s">
        <v>925</v>
      </c>
      <c r="E3" s="854" t="s">
        <v>931</v>
      </c>
      <c r="F3" s="854" t="s">
        <v>925</v>
      </c>
      <c r="G3" s="854" t="s">
        <v>926</v>
      </c>
      <c r="H3" s="854" t="s">
        <v>925</v>
      </c>
      <c r="I3" s="854" t="s">
        <v>926</v>
      </c>
    </row>
    <row r="4" spans="1:9" ht="45">
      <c r="A4" s="1505" t="str">
        <f>项目基本情况!S2</f>
        <v>北京市朝阳区阜通东大街1号院6号楼12层1单元111511房地产</v>
      </c>
      <c r="B4" s="854">
        <f>项目基本情况!C17</f>
        <v>388.36</v>
      </c>
      <c r="C4" s="854">
        <f>项目基本情况!C18</f>
        <v>0</v>
      </c>
      <c r="D4" s="854" t="e">
        <f ca="1">结果表!D118</f>
        <v>#REF!</v>
      </c>
      <c r="E4" s="854" t="e">
        <f ca="1">结果表!E118</f>
        <v>#REF!</v>
      </c>
      <c r="F4" s="854" t="e">
        <f ca="1">结果表!F118</f>
        <v>#REF!</v>
      </c>
      <c r="G4" s="854" t="e">
        <f ca="1">结果表!G118</f>
        <v>#REF!</v>
      </c>
      <c r="H4" s="854">
        <f ca="1">结果表!H118</f>
        <v>1467</v>
      </c>
      <c r="I4" s="854">
        <f ca="1">结果表!I118</f>
        <v>37772</v>
      </c>
    </row>
    <row r="5" spans="1:9" ht="30" customHeight="1">
      <c r="A5" s="3484" t="s">
        <v>927</v>
      </c>
      <c r="B5" s="3484"/>
      <c r="C5" s="3484"/>
      <c r="D5" s="3484" t="e">
        <f ca="1">结果表!D119</f>
        <v>#REF!</v>
      </c>
      <c r="E5" s="3484"/>
      <c r="F5" s="3484" t="e">
        <f ca="1">结果表!F119</f>
        <v>#REF!</v>
      </c>
      <c r="G5" s="3484"/>
      <c r="H5" s="3484" t="str">
        <f ca="1">结果表!H119</f>
        <v>壹仟肆佰陆拾柒万元整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房地产抵押价值</v>
      </c>
      <c r="B8" s="3485"/>
      <c r="C8" s="3485"/>
      <c r="D8" s="3485">
        <f ca="1">结果表!D122</f>
        <v>1467</v>
      </c>
      <c r="E8" s="3485"/>
      <c r="F8" s="3485"/>
      <c r="G8" s="3485"/>
      <c r="H8" s="3485"/>
      <c r="I8" s="3485"/>
    </row>
    <row r="9" spans="1:9" ht="15">
      <c r="A9" s="3484" t="s">
        <v>927</v>
      </c>
      <c r="B9" s="3484"/>
      <c r="C9" s="3484"/>
      <c r="D9" s="3484" t="str">
        <f ca="1">结果表!D123</f>
        <v>壹仟肆佰陆拾柒万元整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比较法-租金</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2024-05-13T05:28:20Z</dcterms:modified>
</cp:coreProperties>
</file>