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8" r:id="rId14"/>
    <sheet name="面积表" sheetId="77"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79" r:id="rId24"/>
    <sheet name="假设开发法" sheetId="12" r:id="rId25"/>
    <sheet name="收益法" sheetId="15" state="hidden" r:id="rId26"/>
    <sheet name="收益法 (元)" sheetId="67" state="hidden"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80" state="hidden" r:id="rId48"/>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7">'收益法（汇总）'!$A$1:$F$13</definedName>
    <definedName name="_xlnm.Print_Area" localSheetId="15">'数据-汇总表'!$A$1:$P$32</definedName>
    <definedName name="_xlnm.Print_Area" localSheetId="35">'土地比较法-工业'!$A$1:$K$61,'土地比较法-工业'!$A$64:$M$121</definedName>
    <definedName name="_xlnm.Print_Area" localSheetId="22">'土地比较法-住宅、综合'!$A$1:$K$66,'土地比较法-住宅、综合'!$A$69:$M$132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D20" i="12"/>
  <c r="D14" i="12"/>
  <c r="J50" i="78" l="1"/>
  <c r="N26" i="78"/>
  <c r="M26" i="78" s="1"/>
  <c r="L26" i="78"/>
  <c r="H50" i="78" l="1"/>
  <c r="R28" i="1" l="1"/>
  <c r="R30" i="1" s="1"/>
  <c r="R29" i="1"/>
  <c r="R21" i="1"/>
  <c r="R22" i="1"/>
  <c r="R23" i="1"/>
  <c r="R24" i="1"/>
  <c r="R25" i="1"/>
  <c r="R26" i="1"/>
  <c r="R27" i="1"/>
  <c r="R20" i="1"/>
  <c r="Q28" i="1"/>
  <c r="Q27" i="1"/>
  <c r="Q23" i="1"/>
  <c r="Q26" i="1"/>
  <c r="Q22" i="1"/>
  <c r="Q25" i="1"/>
  <c r="Q21" i="1"/>
  <c r="Q20" i="1"/>
  <c r="Q24" i="1" s="1"/>
  <c r="F50" i="78"/>
  <c r="I51" i="78"/>
  <c r="O28" i="1"/>
  <c r="P20" i="1"/>
  <c r="N28" i="1"/>
  <c r="I50" i="78" l="1"/>
  <c r="I52" i="78" s="1"/>
  <c r="I46" i="39"/>
  <c r="G46" i="39"/>
  <c r="E46" i="39"/>
  <c r="D10" i="68"/>
  <c r="L14" i="1" l="1"/>
  <c r="S18" i="1" s="1"/>
  <c r="J48" i="78"/>
  <c r="H48" i="78"/>
  <c r="F48" i="78"/>
  <c r="N14" i="1" l="1"/>
  <c r="P28" i="1"/>
  <c r="P21" i="1"/>
  <c r="P22" i="1"/>
  <c r="P23" i="1"/>
  <c r="P24" i="1"/>
  <c r="P25" i="1"/>
  <c r="P26" i="1"/>
  <c r="P27" i="1"/>
  <c r="N27" i="1"/>
  <c r="N26" i="1"/>
  <c r="N25" i="1"/>
  <c r="N24" i="1"/>
  <c r="N23" i="1"/>
  <c r="N22" i="1"/>
  <c r="N21" i="1"/>
  <c r="N20" i="1"/>
  <c r="I38" i="39"/>
  <c r="G38" i="39"/>
  <c r="E38" i="39"/>
  <c r="C11" i="39"/>
  <c r="E71" i="39"/>
  <c r="F71" i="39" s="1"/>
  <c r="G71" i="39" s="1"/>
  <c r="H71" i="39" s="1"/>
  <c r="I71" i="39" s="1"/>
  <c r="J71" i="39" s="1"/>
  <c r="K71" i="39" s="1"/>
  <c r="L71" i="39" s="1"/>
  <c r="M71" i="39" s="1"/>
  <c r="D71" i="39"/>
  <c r="I7" i="39"/>
  <c r="G7" i="39"/>
  <c r="I5" i="39"/>
  <c r="G5" i="39"/>
  <c r="E5" i="39"/>
  <c r="E7" i="39"/>
  <c r="Q3" i="79"/>
  <c r="Q4" i="79"/>
  <c r="Q5" i="79"/>
  <c r="Q6" i="79"/>
  <c r="Q7" i="79"/>
  <c r="Q8" i="79"/>
  <c r="Q9" i="79"/>
  <c r="Q10" i="79"/>
  <c r="Q11" i="79"/>
  <c r="Q12" i="79"/>
  <c r="Q13" i="79"/>
  <c r="Q14" i="79"/>
  <c r="Q15" i="79"/>
  <c r="Q16" i="79"/>
  <c r="Q2" i="79"/>
  <c r="F19" i="6"/>
  <c r="I16" i="3"/>
  <c r="I14" i="3"/>
  <c r="I13" i="3"/>
  <c r="AN13" i="3"/>
  <c r="D37" i="77"/>
  <c r="E38" i="77" s="1"/>
  <c r="D36" i="77"/>
  <c r="D35" i="77"/>
  <c r="F38" i="77" s="1"/>
  <c r="G37" i="77"/>
  <c r="G36" i="77"/>
  <c r="G35" i="77"/>
  <c r="G38" i="77" l="1"/>
  <c r="D38" i="77"/>
  <c r="F21" i="78"/>
  <c r="D28" i="77"/>
  <c r="P27" i="77"/>
  <c r="P28" i="77" s="1"/>
  <c r="L27" i="77"/>
  <c r="Q26" i="77"/>
  <c r="Q27" i="77" s="1"/>
  <c r="Q28" i="77" s="1"/>
  <c r="O25" i="77"/>
  <c r="N25" i="77"/>
  <c r="O24" i="77"/>
  <c r="N24" i="77"/>
  <c r="O23" i="77"/>
  <c r="N23" i="77"/>
  <c r="M22" i="77"/>
  <c r="M27" i="77" s="1"/>
  <c r="M28" i="77" s="1"/>
  <c r="N21" i="77"/>
  <c r="O21" i="77" s="1"/>
  <c r="L19" i="77"/>
  <c r="D19" i="77"/>
  <c r="C19" i="77"/>
  <c r="O18" i="77"/>
  <c r="N18" i="77"/>
  <c r="M18" i="77"/>
  <c r="L18" i="77"/>
  <c r="Q17" i="77"/>
  <c r="Q16" i="77"/>
  <c r="Q15" i="77"/>
  <c r="Q18" i="77" s="1"/>
  <c r="P14" i="77"/>
  <c r="Q13" i="77"/>
  <c r="Q19" i="77" s="1"/>
  <c r="M13" i="77"/>
  <c r="M19" i="77" s="1"/>
  <c r="L13" i="77"/>
  <c r="N12" i="77"/>
  <c r="O12" i="77" s="1"/>
  <c r="P12" i="77" s="1"/>
  <c r="O11" i="77"/>
  <c r="P11" i="77" s="1"/>
  <c r="N11" i="77"/>
  <c r="N13" i="77" s="1"/>
  <c r="N19" i="77" s="1"/>
  <c r="P10" i="77"/>
  <c r="P9" i="77"/>
  <c r="O9" i="77"/>
  <c r="M9" i="77"/>
  <c r="D9" i="77"/>
  <c r="C9" i="77"/>
  <c r="Q8" i="77"/>
  <c r="Q9" i="77" s="1"/>
  <c r="Q29" i="77" s="1"/>
  <c r="P8" i="77"/>
  <c r="N7" i="77"/>
  <c r="N9" i="77" s="1"/>
  <c r="Q6" i="77"/>
  <c r="O6" i="77"/>
  <c r="N6" i="77"/>
  <c r="L6" i="77"/>
  <c r="D6" i="77"/>
  <c r="D29" i="77" s="1"/>
  <c r="C6" i="77"/>
  <c r="C29" i="77" s="1"/>
  <c r="P5" i="77"/>
  <c r="P4" i="77"/>
  <c r="P6" i="77" s="1"/>
  <c r="P3" i="77"/>
  <c r="P13" i="77" l="1"/>
  <c r="P19" i="77" s="1"/>
  <c r="P29" i="77" s="1"/>
  <c r="O13" i="77"/>
  <c r="O19" i="77" s="1"/>
  <c r="M6" i="77"/>
  <c r="N22" i="77"/>
  <c r="O22" i="77" s="1"/>
  <c r="O27" i="77" s="1"/>
  <c r="O28" i="77" s="1"/>
  <c r="N27" i="77" l="1"/>
  <c r="N28" i="77" s="1"/>
  <c r="N29" i="77" s="1"/>
  <c r="M29" i="77"/>
  <c r="M3" i="77"/>
  <c r="O29" i="77"/>
  <c r="AH5" i="7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s="1"/>
  <c r="F17" i="39"/>
  <c r="AA17" i="39" s="1"/>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W17" i="39" s="1"/>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F30"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S21" i="39" s="1"/>
  <c r="G95" i="39"/>
  <c r="H21" i="39"/>
  <c r="U21" i="39" s="1"/>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B11"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AQ9" i="1"/>
  <c r="AR11" i="1"/>
  <c r="T9" i="1"/>
  <c r="T13" i="1"/>
  <c r="S7" i="1"/>
  <c r="AR7" i="1" s="1"/>
  <c r="E7" i="70"/>
  <c r="AA39" i="40"/>
  <c r="S39" i="40"/>
  <c r="S12" i="33"/>
  <c r="AA12" i="33"/>
  <c r="J32" i="39"/>
  <c r="H107" i="39"/>
  <c r="I107" i="39"/>
  <c r="J107" i="39"/>
  <c r="K107" i="39"/>
  <c r="L107" i="39"/>
  <c r="M107" i="39"/>
  <c r="H32" i="39"/>
  <c r="AA32" i="39"/>
  <c r="S32" i="39"/>
  <c r="AB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R8" i="1"/>
  <c r="AQ8" i="1"/>
  <c r="T8" i="1"/>
  <c r="R22" i="31"/>
  <c r="L27" i="6"/>
  <c r="AP7" i="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E6" i="1"/>
  <c r="AG6" i="1"/>
  <c r="H109" i="9"/>
  <c r="H110" i="9"/>
  <c r="D18" i="53" s="1"/>
  <c r="B35" i="72" s="1"/>
  <c r="D124" i="9"/>
  <c r="H14" i="74" s="1"/>
  <c r="B7" i="74" s="1"/>
  <c r="D16" i="53"/>
  <c r="B34" i="72"/>
  <c r="D10" i="52"/>
  <c r="D17" i="53"/>
  <c r="B36" i="72" s="1"/>
  <c r="D125" i="9"/>
  <c r="D11" i="52"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46" i="36"/>
  <c r="F46" i="36" s="1"/>
  <c r="G46" i="36"/>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G17" i="43"/>
  <c r="C16" i="43"/>
  <c r="D5" i="43"/>
  <c r="C5" i="43"/>
  <c r="D70" i="39"/>
  <c r="E68" i="39"/>
  <c r="F68" i="39" s="1"/>
  <c r="G68" i="39" s="1"/>
  <c r="H68" i="39" s="1"/>
  <c r="H70" i="39" s="1"/>
  <c r="V13" i="71"/>
  <c r="C13" i="71"/>
  <c r="D14" i="71"/>
  <c r="E41" i="43"/>
  <c r="C41" i="43"/>
  <c r="C20" i="43"/>
  <c r="E70" i="39"/>
  <c r="I59" i="34"/>
  <c r="J59" i="34"/>
  <c r="D11" i="71"/>
  <c r="T13" i="71"/>
  <c r="D12" i="71"/>
  <c r="D13" i="71"/>
  <c r="F70" i="39"/>
  <c r="C19" i="43"/>
  <c r="U13" i="71"/>
  <c r="G70" i="39"/>
  <c r="I68" i="39"/>
  <c r="I70" i="39" s="1"/>
  <c r="F43" i="15"/>
  <c r="F8" i="15"/>
  <c r="AO10" i="1"/>
  <c r="F6" i="15"/>
  <c r="B10" i="76"/>
  <c r="M23" i="15"/>
  <c r="F13" i="15"/>
  <c r="F7" i="67"/>
  <c r="F38" i="15"/>
  <c r="D2" i="37"/>
  <c r="B9" i="76"/>
  <c r="M9" i="15"/>
  <c r="F37" i="15"/>
  <c r="F36" i="15"/>
  <c r="M8" i="67"/>
  <c r="AO13" i="1"/>
  <c r="E2" i="69"/>
  <c r="F9" i="67"/>
  <c r="E10" i="76"/>
  <c r="AO7" i="1"/>
  <c r="M9" i="67"/>
  <c r="F35" i="67"/>
  <c r="F35" i="15"/>
  <c r="F5" i="73"/>
  <c r="E13" i="76"/>
  <c r="M26" i="67"/>
  <c r="M27" i="67"/>
  <c r="M6" i="67"/>
  <c r="M6" i="15"/>
  <c r="M26" i="15"/>
  <c r="M21" i="67"/>
  <c r="AO8" i="1"/>
  <c r="M28" i="15"/>
  <c r="M27" i="15"/>
  <c r="E12" i="76"/>
  <c r="F7" i="15"/>
  <c r="M29" i="15"/>
  <c r="M28" i="67"/>
  <c r="L47" i="15"/>
  <c r="J15" i="15"/>
  <c r="D2" i="34"/>
  <c r="AO9" i="1"/>
  <c r="F40" i="67"/>
  <c r="F43" i="67"/>
  <c r="F20" i="31"/>
  <c r="E11" i="76"/>
  <c r="M22" i="15"/>
  <c r="AO6" i="1"/>
  <c r="D4" i="73"/>
  <c r="F7" i="73"/>
  <c r="L48" i="15"/>
  <c r="M23" i="67"/>
  <c r="B12" i="76"/>
  <c r="E7" i="76"/>
  <c r="F36" i="67"/>
  <c r="F42" i="67"/>
  <c r="B8" i="76"/>
  <c r="B11" i="76"/>
  <c r="F42" i="15"/>
  <c r="E9" i="76"/>
  <c r="E8" i="76"/>
  <c r="C76" i="15"/>
  <c r="F4" i="73"/>
  <c r="F13" i="67"/>
  <c r="F9" i="15"/>
  <c r="AO11" i="1"/>
  <c r="D2" i="35"/>
  <c r="J15" i="67"/>
  <c r="B13" i="76"/>
  <c r="D5" i="73"/>
  <c r="M29" i="67"/>
  <c r="F37" i="67"/>
  <c r="M8" i="15"/>
  <c r="B7" i="76"/>
  <c r="F41" i="67"/>
  <c r="D3" i="73"/>
  <c r="D2" i="21"/>
  <c r="D2" i="33"/>
  <c r="F8" i="67"/>
  <c r="F40" i="15"/>
  <c r="F6" i="67"/>
  <c r="M24" i="15"/>
  <c r="F26" i="15"/>
  <c r="M24" i="67"/>
  <c r="D6" i="73"/>
  <c r="C76" i="67"/>
  <c r="F41" i="15"/>
  <c r="L47" i="67"/>
  <c r="F16" i="15"/>
  <c r="F6" i="73"/>
  <c r="F16" i="67"/>
  <c r="M22" i="67"/>
  <c r="F38" i="67"/>
  <c r="F26" i="67"/>
  <c r="E2" i="68"/>
  <c r="L48" i="67"/>
  <c r="D7" i="73"/>
  <c r="AO12" i="1"/>
  <c r="D2" i="36"/>
  <c r="M21" i="15"/>
  <c r="F3" i="73"/>
  <c r="F99" i="39" l="1"/>
  <c r="G99" i="39" s="1"/>
  <c r="J25" i="39"/>
  <c r="H25" i="39"/>
  <c r="F25" i="39"/>
  <c r="AA21" i="39"/>
  <c r="S17" i="39"/>
  <c r="F81" i="39"/>
  <c r="G81" i="39" s="1"/>
  <c r="H81" i="39" s="1"/>
  <c r="I81" i="39" s="1"/>
  <c r="J81" i="39" s="1"/>
  <c r="K81" i="39" s="1"/>
  <c r="L81" i="39" s="1"/>
  <c r="M81" i="39" s="1"/>
  <c r="J11" i="39"/>
  <c r="S11" i="39"/>
  <c r="U9" i="39"/>
  <c r="T14" i="43"/>
  <c r="V14" i="43" s="1"/>
  <c r="C92" i="9"/>
  <c r="C94" i="9"/>
  <c r="F30" i="69"/>
  <c r="F48" i="69" s="1"/>
  <c r="D68" i="9"/>
  <c r="M18" i="15"/>
  <c r="F52" i="9"/>
  <c r="F32" i="15"/>
  <c r="F60" i="15" s="1"/>
  <c r="F32" i="67"/>
  <c r="F60" i="67" s="1"/>
  <c r="F28" i="67"/>
  <c r="C28" i="67" s="1"/>
  <c r="C30" i="11"/>
  <c r="F54" i="9"/>
  <c r="F28" i="15"/>
  <c r="C28" i="15" s="1"/>
  <c r="M18" i="67"/>
  <c r="F31" i="12"/>
  <c r="C31" i="12" s="1"/>
  <c r="F30" i="68"/>
  <c r="F53" i="9"/>
  <c r="C40" i="68"/>
  <c r="C21" i="68"/>
  <c r="D22" i="67"/>
  <c r="D23" i="67"/>
  <c r="E29" i="6"/>
  <c r="G5" i="3"/>
  <c r="B3" i="3" s="1"/>
  <c r="Q6" i="3" s="1"/>
  <c r="BA5" i="3"/>
  <c r="AZ18" i="3"/>
  <c r="E59" i="40"/>
  <c r="G30" i="6"/>
  <c r="G31" i="6" s="1"/>
  <c r="E28" i="6"/>
  <c r="K14" i="1" s="1"/>
  <c r="C34" i="69" s="1"/>
  <c r="C35" i="69" s="1"/>
  <c r="E564" i="3"/>
  <c r="E534" i="3"/>
  <c r="E493" i="3"/>
  <c r="E525" i="3"/>
  <c r="E393" i="3"/>
  <c r="E369" i="3"/>
  <c r="E105" i="3"/>
  <c r="E173" i="3"/>
  <c r="E193" i="3"/>
  <c r="E116" i="3"/>
  <c r="E177" i="3"/>
  <c r="E197" i="3"/>
  <c r="E224" i="3"/>
  <c r="E238" i="3"/>
  <c r="E277" i="3"/>
  <c r="E223" i="3"/>
  <c r="E45" i="3"/>
  <c r="E85" i="3"/>
  <c r="E120" i="3"/>
  <c r="E140" i="3"/>
  <c r="E89" i="3"/>
  <c r="E122" i="3"/>
  <c r="E269" i="3"/>
  <c r="E148" i="3"/>
  <c r="E134" i="3"/>
  <c r="E189" i="3"/>
  <c r="E215" i="3"/>
  <c r="E335" i="3"/>
  <c r="E387" i="3"/>
  <c r="AB6" i="3"/>
  <c r="M6" i="3"/>
  <c r="E570" i="3"/>
  <c r="E514" i="3"/>
  <c r="E311" i="3"/>
  <c r="E293" i="3"/>
  <c r="E246" i="3"/>
  <c r="E336" i="3"/>
  <c r="X6" i="3"/>
  <c r="E583" i="3"/>
  <c r="BL15" i="3"/>
  <c r="AZ15" i="3" s="1"/>
  <c r="AZ5" i="3" s="1"/>
  <c r="AY6" i="3" s="1"/>
  <c r="D19" i="12"/>
  <c r="C19" i="12" s="1"/>
  <c r="D9" i="69"/>
  <c r="C9" i="69" s="1"/>
  <c r="BL5" i="3"/>
  <c r="E12" i="6"/>
  <c r="E62" i="39" s="1"/>
  <c r="E56" i="40"/>
  <c r="E13" i="6"/>
  <c r="E15" i="6"/>
  <c r="E57" i="40"/>
  <c r="E117" i="3"/>
  <c r="E180" i="3"/>
  <c r="E161" i="3"/>
  <c r="E221" i="3"/>
  <c r="E290" i="3"/>
  <c r="E91" i="3"/>
  <c r="E135" i="3"/>
  <c r="E61" i="3"/>
  <c r="E185" i="3"/>
  <c r="E169" i="3"/>
  <c r="E216" i="3"/>
  <c r="E298" i="3"/>
  <c r="E231" i="3"/>
  <c r="E321" i="3"/>
  <c r="E380" i="3"/>
  <c r="E338" i="3"/>
  <c r="E439" i="3"/>
  <c r="E418" i="3"/>
  <c r="E538" i="3"/>
  <c r="E506" i="3"/>
  <c r="E561" i="3"/>
  <c r="E523" i="3"/>
  <c r="AR6" i="3"/>
  <c r="S6" i="3"/>
  <c r="E533" i="3"/>
  <c r="E390" i="3"/>
  <c r="E270" i="3"/>
  <c r="E128" i="3"/>
  <c r="E165" i="3"/>
  <c r="E205" i="3"/>
  <c r="E227" i="3"/>
  <c r="E352" i="3"/>
  <c r="E461" i="3"/>
  <c r="E510" i="3"/>
  <c r="E567" i="3"/>
  <c r="E545" i="3"/>
  <c r="E53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69" i="3"/>
  <c r="E237" i="3"/>
  <c r="E114" i="3"/>
  <c r="E261" i="3"/>
  <c r="E278" i="3"/>
  <c r="E304" i="3"/>
  <c r="E415" i="3"/>
  <c r="E528" i="3"/>
  <c r="E563" i="3"/>
  <c r="E565" i="3"/>
  <c r="E395" i="3"/>
  <c r="E183" i="3"/>
  <c r="E172" i="3"/>
  <c r="E213" i="3"/>
  <c r="E260" i="3"/>
  <c r="E361" i="3"/>
  <c r="E445" i="3"/>
  <c r="E17" i="3"/>
  <c r="E550" i="3"/>
  <c r="E503" i="3"/>
  <c r="E535" i="3"/>
  <c r="E302" i="3"/>
  <c r="F27" i="6"/>
  <c r="F31" i="6" s="1"/>
  <c r="E56" i="39"/>
  <c r="E51" i="40"/>
  <c r="O7" i="1"/>
  <c r="P7" i="1" s="1"/>
  <c r="O11" i="1"/>
  <c r="P11" i="1" s="1"/>
  <c r="K15" i="1"/>
  <c r="O9" i="1"/>
  <c r="P9" i="1" s="1"/>
  <c r="AQ7" i="1"/>
  <c r="T7" i="1"/>
  <c r="O12" i="1"/>
  <c r="P12" i="1" s="1"/>
  <c r="O8" i="1"/>
  <c r="P8"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A19" i="51"/>
  <c r="B14" i="72" s="1"/>
  <c r="T35" i="4"/>
  <c r="G16" i="1"/>
  <c r="J10" i="39" s="1"/>
  <c r="J68" i="39"/>
  <c r="K59" i="34"/>
  <c r="H46" i="36"/>
  <c r="I46" i="36" s="1"/>
  <c r="J46" i="36" s="1"/>
  <c r="K46" i="36" s="1"/>
  <c r="L46" i="36" s="1"/>
  <c r="M46" i="36" s="1"/>
  <c r="N46" i="36" s="1"/>
  <c r="O46" i="36" s="1"/>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D8" i="71"/>
  <c r="C7" i="71"/>
  <c r="T11" i="43"/>
  <c r="V11" i="43" s="1"/>
  <c r="T12" i="43"/>
  <c r="V12" i="43" s="1"/>
  <c r="Y9" i="71"/>
  <c r="Z9" i="71" s="1"/>
  <c r="Y8" i="71"/>
  <c r="AA9" i="71"/>
  <c r="AB3" i="71"/>
  <c r="C35" i="43"/>
  <c r="E35" i="43" s="1"/>
  <c r="C36" i="43"/>
  <c r="E36" i="43" s="1"/>
  <c r="T9" i="43"/>
  <c r="V9" i="43" s="1"/>
  <c r="C39" i="43"/>
  <c r="C37" i="43"/>
  <c r="E37" i="43" s="1"/>
  <c r="B9" i="71"/>
  <c r="B8" i="71" s="1"/>
  <c r="B7" i="71" s="1"/>
  <c r="B6" i="71" s="1"/>
  <c r="B5" i="71" s="1"/>
  <c r="X9" i="71"/>
  <c r="AB9" i="71"/>
  <c r="T15" i="43"/>
  <c r="V15" i="43" s="1"/>
  <c r="Z8" i="71"/>
  <c r="Y3" i="71"/>
  <c r="Z3" i="71" s="1"/>
  <c r="D9" i="71"/>
  <c r="F9" i="71"/>
  <c r="F8" i="71" s="1"/>
  <c r="F7" i="71" s="1"/>
  <c r="F6" i="71" s="1"/>
  <c r="F5" i="71" s="1"/>
  <c r="AF3" i="71"/>
  <c r="P22" i="43" s="1"/>
  <c r="C34" i="43"/>
  <c r="T10" i="43"/>
  <c r="V10" i="43" s="1"/>
  <c r="C33" i="43"/>
  <c r="T16" i="43"/>
  <c r="V16" i="43" s="1"/>
  <c r="T13" i="43"/>
  <c r="V13" i="43" s="1"/>
  <c r="T8" i="43"/>
  <c r="V8" i="43" s="1"/>
  <c r="C38" i="43"/>
  <c r="G36" i="43"/>
  <c r="I36" i="43" s="1"/>
  <c r="C6" i="67"/>
  <c r="B10" i="70"/>
  <c r="Q71" i="15"/>
  <c r="C34" i="15"/>
  <c r="F63" i="15"/>
  <c r="C62" i="15" s="1"/>
  <c r="B6" i="70"/>
  <c r="J57" i="15"/>
  <c r="J55" i="15" s="1"/>
  <c r="J58" i="15" s="1"/>
  <c r="Q50" i="15" s="1"/>
  <c r="I54" i="15"/>
  <c r="K1" i="73"/>
  <c r="B20" i="31"/>
  <c r="B21" i="31" s="1"/>
  <c r="I1" i="73"/>
  <c r="B39" i="1" s="1"/>
  <c r="F51" i="67"/>
  <c r="F65" i="67"/>
  <c r="J20" i="67"/>
  <c r="B12" i="70"/>
  <c r="J57" i="67"/>
  <c r="J55" i="67" s="1"/>
  <c r="J58" i="67" s="1"/>
  <c r="Q50" i="67" s="1"/>
  <c r="L56" i="67"/>
  <c r="I54" i="67"/>
  <c r="F69" i="15"/>
  <c r="M7" i="15"/>
  <c r="J6" i="15" s="1"/>
  <c r="F50" i="15"/>
  <c r="F51" i="15"/>
  <c r="F71" i="15"/>
  <c r="B7" i="70"/>
  <c r="C6" i="15"/>
  <c r="F69" i="67"/>
  <c r="E20" i="43"/>
  <c r="F66" i="67"/>
  <c r="B11" i="70"/>
  <c r="L59" i="15"/>
  <c r="N59" i="15"/>
  <c r="L58" i="15"/>
  <c r="B8" i="70"/>
  <c r="F66" i="15"/>
  <c r="Q71" i="67"/>
  <c r="F64" i="15"/>
  <c r="F70" i="67"/>
  <c r="C27" i="67"/>
  <c r="F71" i="67"/>
  <c r="C27" i="15"/>
  <c r="F65" i="15"/>
  <c r="B9" i="70"/>
  <c r="N59" i="67"/>
  <c r="L59" i="67"/>
  <c r="L58" i="67"/>
  <c r="B13" i="70"/>
  <c r="M7" i="67"/>
  <c r="J6" i="67" s="1"/>
  <c r="F50" i="67"/>
  <c r="F59" i="67" s="1"/>
  <c r="F63" i="67"/>
  <c r="C62" i="67" s="1"/>
  <c r="C34" i="67"/>
  <c r="F68" i="67"/>
  <c r="F64" i="67"/>
  <c r="J20" i="15"/>
  <c r="F68" i="15"/>
  <c r="D9" i="68"/>
  <c r="G1" i="73"/>
  <c r="C17" i="15"/>
  <c r="C16" i="15"/>
  <c r="C16" i="67"/>
  <c r="C17" i="67"/>
  <c r="C14" i="15"/>
  <c r="C14" i="67"/>
  <c r="C9" i="68" l="1"/>
  <c r="AA25" i="39"/>
  <c r="S25" i="39"/>
  <c r="AC25" i="39"/>
  <c r="W25" i="39"/>
  <c r="AB25" i="39"/>
  <c r="U25" i="39"/>
  <c r="W11" i="39"/>
  <c r="AC11" i="39"/>
  <c r="J10" i="40"/>
  <c r="C48" i="69"/>
  <c r="C30" i="69"/>
  <c r="F48" i="68"/>
  <c r="C30" i="68"/>
  <c r="C48" i="68"/>
  <c r="E133" i="3"/>
  <c r="E313" i="3"/>
  <c r="E330" i="3"/>
  <c r="E519" i="3"/>
  <c r="K6" i="3"/>
  <c r="E532" i="3"/>
  <c r="E329" i="3"/>
  <c r="AA6" i="3"/>
  <c r="E280" i="3"/>
  <c r="E358" i="3"/>
  <c r="E551" i="3"/>
  <c r="E407" i="3"/>
  <c r="E294" i="3"/>
  <c r="E130" i="3"/>
  <c r="E228" i="3"/>
  <c r="E157" i="3"/>
  <c r="E149" i="3"/>
  <c r="E77" i="3"/>
  <c r="E212" i="3"/>
  <c r="E253" i="3"/>
  <c r="E167" i="3"/>
  <c r="E199" i="3"/>
  <c r="E141" i="3"/>
  <c r="E286" i="3"/>
  <c r="E312" i="3"/>
  <c r="E575" i="3"/>
  <c r="AD6" i="3"/>
  <c r="E499" i="3"/>
  <c r="E542"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47" i="3"/>
  <c r="E399" i="3"/>
  <c r="E124" i="3"/>
  <c r="E559" i="3"/>
  <c r="V6" i="3"/>
  <c r="E320" i="3"/>
  <c r="E230" i="3"/>
  <c r="E254" i="3"/>
  <c r="E181" i="3"/>
  <c r="E207" i="3"/>
  <c r="E252" i="3"/>
  <c r="E271" i="3"/>
  <c r="E204" i="3"/>
  <c r="E145" i="3"/>
  <c r="E164" i="3"/>
  <c r="E107" i="3"/>
  <c r="E327" i="3"/>
  <c r="E379" i="3"/>
  <c r="E576" i="3"/>
  <c r="E585" i="3"/>
  <c r="Z6" i="3"/>
  <c r="U6"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367" i="3"/>
  <c r="E558" i="3"/>
  <c r="E505" i="3"/>
  <c r="E557" i="3"/>
  <c r="E547" i="3"/>
  <c r="E581" i="3"/>
  <c r="AS6" i="3"/>
  <c r="E531" i="3"/>
  <c r="E403" i="3"/>
  <c r="E444" i="3"/>
  <c r="E476" i="3"/>
  <c r="E489" i="3"/>
  <c r="E546" i="3"/>
  <c r="E404" i="3"/>
  <c r="E447"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374" i="3"/>
  <c r="I3" i="6"/>
  <c r="E566" i="3"/>
  <c r="AP6" i="3"/>
  <c r="E500" i="3"/>
  <c r="E554" i="3"/>
  <c r="E582" i="3"/>
  <c r="E517" i="3"/>
  <c r="E413" i="3"/>
  <c r="E435" i="3"/>
  <c r="E460" i="3"/>
  <c r="E491" i="3"/>
  <c r="E520" i="3"/>
  <c r="E417" i="3"/>
  <c r="E436" i="3"/>
  <c r="E479"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26" i="3"/>
  <c r="E524" i="3"/>
  <c r="E22" i="3"/>
  <c r="E101" i="3"/>
  <c r="E83"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373" i="3"/>
  <c r="E513" i="3"/>
  <c r="E82" i="3"/>
  <c r="E21" i="3"/>
  <c r="E30" i="6"/>
  <c r="E27" i="6"/>
  <c r="E31" i="6" s="1"/>
  <c r="M14" i="1"/>
  <c r="O14" i="1" s="1"/>
  <c r="O16" i="1" s="1"/>
  <c r="K26" i="6"/>
  <c r="M26" i="6" s="1"/>
  <c r="I26" i="6" s="1"/>
  <c r="S26" i="6" s="1"/>
  <c r="K16" i="1"/>
  <c r="K25" i="6"/>
  <c r="M25" i="6" s="1"/>
  <c r="I25" i="6" s="1"/>
  <c r="S25" i="6" s="1"/>
  <c r="C38" i="69"/>
  <c r="E16" i="6"/>
  <c r="C18" i="15"/>
  <c r="C15" i="15"/>
  <c r="AY98" i="3"/>
  <c r="AY82" i="3"/>
  <c r="AY18" i="3"/>
  <c r="AY191" i="3"/>
  <c r="AY171" i="3"/>
  <c r="AY132" i="3"/>
  <c r="AY90" i="3"/>
  <c r="AY31" i="3"/>
  <c r="AY163" i="3"/>
  <c r="AY292" i="3"/>
  <c r="AY75" i="3"/>
  <c r="AY147" i="3"/>
  <c r="AY237" i="3"/>
  <c r="AY220" i="3"/>
  <c r="AY387" i="3"/>
  <c r="AY350" i="3"/>
  <c r="AY334" i="3"/>
  <c r="AY486" i="3"/>
  <c r="AY444" i="3"/>
  <c r="AY66" i="3"/>
  <c r="AY176" i="3"/>
  <c r="AY115" i="3"/>
  <c r="AY188" i="3"/>
  <c r="AY276" i="3"/>
  <c r="AY297" i="3"/>
  <c r="AY225" i="3"/>
  <c r="AY335" i="3"/>
  <c r="AY47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03" i="3"/>
  <c r="AY67" i="3"/>
  <c r="AY50" i="3"/>
  <c r="AY196" i="3"/>
  <c r="AY160" i="3"/>
  <c r="AY139" i="3"/>
  <c r="AY289" i="3"/>
  <c r="AY74" i="3"/>
  <c r="AY183" i="3"/>
  <c r="AY123" i="3"/>
  <c r="AY261" i="3"/>
  <c r="AY204" i="3"/>
  <c r="AY284" i="3"/>
  <c r="AY252" i="3"/>
  <c r="AY209" i="3"/>
  <c r="AY363" i="3"/>
  <c r="AY319" i="3"/>
  <c r="AY489" i="3"/>
  <c r="AY455" i="3"/>
  <c r="AY83" i="3"/>
  <c r="AY23" i="3"/>
  <c r="AY155" i="3"/>
  <c r="AY59" i="3"/>
  <c r="AY131" i="3"/>
  <c r="AY58" i="3"/>
  <c r="AY268" i="3"/>
  <c r="AY371" i="3"/>
  <c r="AY318"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E3" i="6"/>
  <c r="E60" i="40"/>
  <c r="E65" i="39"/>
  <c r="E58" i="40"/>
  <c r="E63" i="39"/>
  <c r="E66" i="39" s="1"/>
  <c r="AY51" i="3"/>
  <c r="AY207" i="3"/>
  <c r="AY124" i="3"/>
  <c r="AY42" i="3"/>
  <c r="AY281" i="3"/>
  <c r="AY168" i="3"/>
  <c r="AY236" i="3"/>
  <c r="AY366" i="3"/>
  <c r="AY473"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87" i="3"/>
  <c r="AY34" i="3"/>
  <c r="AY144" i="3"/>
  <c r="AY95" i="3"/>
  <c r="AY152" i="3"/>
  <c r="AY111" i="3"/>
  <c r="AY253" i="3"/>
  <c r="AY382" i="3"/>
  <c r="AY303" i="3"/>
  <c r="AY460"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41" i="3"/>
  <c r="AY126" i="3"/>
  <c r="AY134" i="3"/>
  <c r="AY117" i="3"/>
  <c r="AY291" i="3"/>
  <c r="AY302" i="3"/>
  <c r="AY286" i="3"/>
  <c r="AY271" i="3"/>
  <c r="AY255" i="3"/>
  <c r="AY239" i="3"/>
  <c r="AY270" i="3"/>
  <c r="AY238" i="3"/>
  <c r="AY227" i="3"/>
  <c r="AY384" i="3"/>
  <c r="AY373" i="3"/>
  <c r="AY368" i="3"/>
  <c r="AY507" i="3"/>
  <c r="BB6" i="3"/>
  <c r="AY88" i="3"/>
  <c r="AY72"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26"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22" i="3"/>
  <c r="AY389" i="3"/>
  <c r="BS6" i="3"/>
  <c r="AY93"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86" i="3"/>
  <c r="AY375" i="3"/>
  <c r="AY351" i="3"/>
  <c r="AY339" i="3"/>
  <c r="AY307" i="3"/>
  <c r="AY322" i="3"/>
  <c r="AY477" i="3"/>
  <c r="AY474" i="3"/>
  <c r="AY443" i="3"/>
  <c r="AY432" i="3"/>
  <c r="AY400" i="3"/>
  <c r="AY413" i="3"/>
  <c r="AY521" i="3"/>
  <c r="AY15" i="3"/>
  <c r="AY566" i="3"/>
  <c r="AY583" i="3"/>
  <c r="BT6" i="3"/>
  <c r="AY567" i="3"/>
  <c r="AY254" i="3"/>
  <c r="AY211" i="3"/>
  <c r="AY365" i="3"/>
  <c r="BI6" i="3"/>
  <c r="AY57"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213" i="3"/>
  <c r="AY391" i="3"/>
  <c r="AY367" i="3"/>
  <c r="AY354" i="3"/>
  <c r="AY323" i="3"/>
  <c r="AY338" i="3"/>
  <c r="AY306" i="3"/>
  <c r="AY490" i="3"/>
  <c r="AY459" i="3"/>
  <c r="AY448" i="3"/>
  <c r="AY416" i="3"/>
  <c r="AY429" i="3"/>
  <c r="AY550" i="3"/>
  <c r="BD6" i="3"/>
  <c r="BC6" i="3"/>
  <c r="AY511" i="3"/>
  <c r="AY504" i="3"/>
  <c r="AY586" i="3"/>
  <c r="AY498" i="3"/>
  <c r="AC6" i="3"/>
  <c r="F27" i="69"/>
  <c r="F28" i="12"/>
  <c r="F27" i="11"/>
  <c r="D3" i="34"/>
  <c r="D3" i="33"/>
  <c r="E6" i="6"/>
  <c r="D37" i="11"/>
  <c r="M18" i="9"/>
  <c r="B118" i="9" s="1"/>
  <c r="B14" i="74" s="1"/>
  <c r="B1" i="74" s="1"/>
  <c r="C7" i="74" s="1"/>
  <c r="C17" i="4"/>
  <c r="L18" i="9"/>
  <c r="D19" i="6"/>
  <c r="D23" i="6"/>
  <c r="D3" i="21"/>
  <c r="D19" i="11"/>
  <c r="C19" i="11" s="1"/>
  <c r="D3" i="37"/>
  <c r="D25" i="6"/>
  <c r="D22" i="6"/>
  <c r="D24" i="6"/>
  <c r="D5" i="6"/>
  <c r="D11" i="6"/>
  <c r="D28" i="6"/>
  <c r="D8" i="6"/>
  <c r="D9" i="6"/>
  <c r="D29" i="6"/>
  <c r="L109" i="43"/>
  <c r="L102" i="43"/>
  <c r="L105" i="43"/>
  <c r="L104" i="43"/>
  <c r="L106" i="43"/>
  <c r="L107" i="43"/>
  <c r="L103" i="43"/>
  <c r="J104" i="43"/>
  <c r="J105" i="43"/>
  <c r="J103" i="43"/>
  <c r="J106" i="43"/>
  <c r="J107" i="43"/>
  <c r="J102" i="43"/>
  <c r="J109" i="43"/>
  <c r="G105" i="43"/>
  <c r="G102" i="43"/>
  <c r="G103" i="43"/>
  <c r="G109" i="43"/>
  <c r="G107" i="43"/>
  <c r="G104" i="43"/>
  <c r="G106" i="43"/>
  <c r="E102" i="43"/>
  <c r="E106" i="43"/>
  <c r="E103" i="43"/>
  <c r="E107" i="43"/>
  <c r="E104"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F10" i="40"/>
  <c r="AA10" i="40" s="1"/>
  <c r="H10" i="39"/>
  <c r="U10" i="39" s="1"/>
  <c r="H10" i="40"/>
  <c r="U10" i="40" s="1"/>
  <c r="F10" i="39"/>
  <c r="S10" i="39" s="1"/>
  <c r="G35" i="43"/>
  <c r="I35" i="43" s="1"/>
  <c r="W10" i="39"/>
  <c r="AC10" i="39"/>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W10" i="40"/>
  <c r="AC10" i="40"/>
  <c r="S7" i="33"/>
  <c r="AA7" i="33"/>
  <c r="R48" i="33" s="1"/>
  <c r="F48" i="35"/>
  <c r="E58" i="21"/>
  <c r="AC7" i="36"/>
  <c r="V36" i="36" s="1"/>
  <c r="I36" i="36" s="1"/>
  <c r="W7" i="36"/>
  <c r="AA7" i="37"/>
  <c r="R42" i="37" s="1"/>
  <c r="S7" i="37"/>
  <c r="L59" i="34"/>
  <c r="J70" i="39"/>
  <c r="K68" i="39"/>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B2" i="70"/>
  <c r="B3" i="70" s="1"/>
  <c r="F27" i="68"/>
  <c r="M16" i="1" l="1"/>
  <c r="L16" i="1" s="1"/>
  <c r="H26" i="6"/>
  <c r="C19" i="15"/>
  <c r="C20" i="15" s="1"/>
  <c r="C26" i="15" s="1"/>
  <c r="H25" i="6"/>
  <c r="R25" i="6" s="1"/>
  <c r="D10" i="6"/>
  <c r="D14" i="6"/>
  <c r="D13" i="6"/>
  <c r="D12" i="6"/>
  <c r="D20" i="6"/>
  <c r="D21" i="6"/>
  <c r="D15" i="6"/>
  <c r="K24" i="6"/>
  <c r="M24" i="6" s="1"/>
  <c r="I24" i="6" s="1"/>
  <c r="S24" i="6" s="1"/>
  <c r="H6" i="3"/>
  <c r="E6" i="3" s="1"/>
  <c r="K23" i="6"/>
  <c r="M23" i="6" s="1"/>
  <c r="I23" i="6" s="1"/>
  <c r="D16" i="6"/>
  <c r="K19" i="6"/>
  <c r="S6" i="1" s="1"/>
  <c r="K21" i="6"/>
  <c r="M21" i="6" s="1"/>
  <c r="I21" i="6" s="1"/>
  <c r="K20" i="6"/>
  <c r="M20" i="6" s="1"/>
  <c r="I20" i="6" s="1"/>
  <c r="K22" i="6"/>
  <c r="M22" i="6" s="1"/>
  <c r="I22" i="6" s="1"/>
  <c r="D30" i="6"/>
  <c r="S10" i="40"/>
  <c r="AB10" i="39"/>
  <c r="AA10" i="39"/>
  <c r="M19" i="9"/>
  <c r="C118" i="9" s="1"/>
  <c r="C14" i="74" s="1"/>
  <c r="B2" i="74" s="1"/>
  <c r="D7" i="74" s="1"/>
  <c r="C18" i="4"/>
  <c r="C4" i="52" s="1"/>
  <c r="B45" i="72" s="1"/>
  <c r="L19" i="9"/>
  <c r="E61" i="40"/>
  <c r="P14" i="1"/>
  <c r="P16" i="1" s="1"/>
  <c r="C11" i="12" s="1"/>
  <c r="C15" i="12" s="1"/>
  <c r="C20" i="11"/>
  <c r="D27" i="6"/>
  <c r="F45" i="68"/>
  <c r="C47" i="68"/>
  <c r="D45" i="68" s="1"/>
  <c r="N16" i="1"/>
  <c r="B21" i="1" s="1"/>
  <c r="R26" i="6"/>
  <c r="B4" i="52"/>
  <c r="B43" i="72" s="1"/>
  <c r="A10" i="51"/>
  <c r="B9" i="72" s="1"/>
  <c r="D17" i="12"/>
  <c r="C17" i="12" s="1"/>
  <c r="D10" i="11"/>
  <c r="C10" i="11" s="1"/>
  <c r="C20" i="12"/>
  <c r="D10" i="69"/>
  <c r="D6" i="6"/>
  <c r="C47" i="11"/>
  <c r="D45" i="11" s="1"/>
  <c r="F45" i="69"/>
  <c r="C29" i="69"/>
  <c r="D27" i="69" s="1"/>
  <c r="C47" i="69"/>
  <c r="D45" i="69" s="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AB10" i="40"/>
  <c r="K70" i="39"/>
  <c r="L68" i="39"/>
  <c r="M59" i="34"/>
  <c r="R43" i="37"/>
  <c r="E42" i="37"/>
  <c r="I40" i="36"/>
  <c r="J40" i="36" s="1"/>
  <c r="G48" i="35"/>
  <c r="R49" i="33"/>
  <c r="E48" i="33"/>
  <c r="R37" i="36"/>
  <c r="E36" i="36"/>
  <c r="F63" i="40"/>
  <c r="E65" i="40"/>
  <c r="I52" i="33"/>
  <c r="J52" i="33" s="1"/>
  <c r="I53" i="33"/>
  <c r="J53" i="33" s="1"/>
  <c r="F58" i="21"/>
  <c r="G40" i="36"/>
  <c r="H40" i="36" s="1"/>
  <c r="G41" i="36"/>
  <c r="H41" i="36" s="1"/>
  <c r="I47" i="37"/>
  <c r="J47" i="37" s="1"/>
  <c r="I46" i="37"/>
  <c r="J46" i="37" s="1"/>
  <c r="G46" i="37"/>
  <c r="H46" i="37" s="1"/>
  <c r="G47" i="37"/>
  <c r="H47" i="37" s="1"/>
  <c r="G52" i="33"/>
  <c r="H52" i="33" s="1"/>
  <c r="G53" i="33"/>
  <c r="H53" i="33" s="1"/>
  <c r="D6" i="71"/>
  <c r="C5" i="7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B23" i="1" l="1"/>
  <c r="C26" i="68" s="1"/>
  <c r="D22" i="68" s="1"/>
  <c r="B24" i="1"/>
  <c r="F50" i="11" s="1"/>
  <c r="C29" i="11"/>
  <c r="D27" i="11" s="1"/>
  <c r="C29" i="68"/>
  <c r="D27" i="68" s="1"/>
  <c r="C28" i="11"/>
  <c r="C27" i="11" s="1"/>
  <c r="AQ6" i="1"/>
  <c r="S16" i="1"/>
  <c r="T6" i="1"/>
  <c r="T16" i="1" s="1"/>
  <c r="AR6" i="1"/>
  <c r="H24" i="6"/>
  <c r="R24" i="6" s="1"/>
  <c r="S23" i="6"/>
  <c r="H23" i="6"/>
  <c r="R23" i="6" s="1"/>
  <c r="A7" i="51"/>
  <c r="B7" i="72" s="1"/>
  <c r="D31" i="6"/>
  <c r="I6" i="6" s="1"/>
  <c r="H22" i="6"/>
  <c r="R22" i="6" s="1"/>
  <c r="S22" i="6"/>
  <c r="H21" i="6"/>
  <c r="R21" i="6" s="1"/>
  <c r="S21" i="6"/>
  <c r="S20" i="6"/>
  <c r="H20" i="6"/>
  <c r="R20" i="6" s="1"/>
  <c r="M19" i="6"/>
  <c r="K27" i="6"/>
  <c r="C12" i="12"/>
  <c r="C10" i="69"/>
  <c r="C8" i="69" s="1"/>
  <c r="C5" i="69" s="1"/>
  <c r="C23" i="69" s="1"/>
  <c r="D19" i="69"/>
  <c r="C10" i="68"/>
  <c r="C8" i="68" s="1"/>
  <c r="D19" i="68"/>
  <c r="F50" i="69"/>
  <c r="F50" i="68"/>
  <c r="E29" i="43"/>
  <c r="C30" i="43"/>
  <c r="E30" i="43" s="1"/>
  <c r="C27" i="43" s="1"/>
  <c r="G58" i="21"/>
  <c r="E40" i="36"/>
  <c r="F40" i="36" s="1"/>
  <c r="E41" i="36"/>
  <c r="F41" i="36" s="1"/>
  <c r="E53" i="33"/>
  <c r="F53" i="33" s="1"/>
  <c r="E52" i="33"/>
  <c r="F52" i="33" s="1"/>
  <c r="E47" i="37"/>
  <c r="F47" i="37" s="1"/>
  <c r="E46" i="37"/>
  <c r="F46" i="37" s="1"/>
  <c r="L70" i="39"/>
  <c r="M68" i="39"/>
  <c r="G63" i="40"/>
  <c r="F65" i="40"/>
  <c r="C37" i="36"/>
  <c r="B2" i="36" s="1"/>
  <c r="B3" i="36" s="1"/>
  <c r="C36" i="36"/>
  <c r="C48" i="33"/>
  <c r="C49" i="33"/>
  <c r="B2" i="33" s="1"/>
  <c r="B3" i="33" s="1"/>
  <c r="H48" i="35"/>
  <c r="I41" i="36"/>
  <c r="J41" i="36" s="1"/>
  <c r="C43" i="37"/>
  <c r="B2" i="37" s="1"/>
  <c r="B3" i="37" s="1"/>
  <c r="C42" i="37"/>
  <c r="N59" i="34"/>
  <c r="O59" i="34" s="1"/>
  <c r="H7" i="34"/>
  <c r="D5" i="71"/>
  <c r="M20" i="43"/>
  <c r="F41" i="68"/>
  <c r="B2" i="43"/>
  <c r="C60" i="15"/>
  <c r="C66" i="15"/>
  <c r="C23" i="15"/>
  <c r="C29" i="15" s="1"/>
  <c r="C26" i="69"/>
  <c r="D22" i="69" s="1"/>
  <c r="C44" i="69"/>
  <c r="D41" i="69" s="1"/>
  <c r="C44" i="68"/>
  <c r="D41" i="68" s="1"/>
  <c r="C44" i="11"/>
  <c r="D41" i="11" s="1"/>
  <c r="C24" i="11"/>
  <c r="C38" i="67"/>
  <c r="C38" i="15"/>
  <c r="C66" i="67"/>
  <c r="C60" i="67"/>
  <c r="C23" i="67"/>
  <c r="C29" i="67" s="1"/>
  <c r="E6" i="76"/>
  <c r="B6" i="76"/>
  <c r="C25" i="11" l="1"/>
  <c r="C23" i="11"/>
  <c r="C26" i="11"/>
  <c r="D22" i="11" s="1"/>
  <c r="C26" i="12"/>
  <c r="D25" i="12" s="1"/>
  <c r="C18" i="12"/>
  <c r="F11" i="12"/>
  <c r="F34" i="11"/>
  <c r="M59" i="67"/>
  <c r="J53" i="15"/>
  <c r="J53" i="67"/>
  <c r="M59" i="15"/>
  <c r="C29" i="12"/>
  <c r="D28" i="12" s="1"/>
  <c r="I5" i="6"/>
  <c r="I19" i="6"/>
  <c r="M27" i="6"/>
  <c r="C19" i="68"/>
  <c r="D37" i="68"/>
  <c r="C19" i="69"/>
  <c r="C24" i="69" s="1"/>
  <c r="D37" i="69"/>
  <c r="C37" i="69" s="1"/>
  <c r="C33" i="69" s="1"/>
  <c r="E2" i="76"/>
  <c r="J7" i="34"/>
  <c r="H58" i="21"/>
  <c r="AB7" i="34"/>
  <c r="T49" i="34" s="1"/>
  <c r="G49" i="34" s="1"/>
  <c r="U7" i="34"/>
  <c r="I48" i="35"/>
  <c r="G65" i="40"/>
  <c r="H63" i="40"/>
  <c r="N68" i="39"/>
  <c r="M70" i="39"/>
  <c r="F7" i="34"/>
  <c r="B2" i="76"/>
  <c r="B3" i="43"/>
  <c r="J14" i="15"/>
  <c r="C57" i="15"/>
  <c r="C36" i="15"/>
  <c r="C33" i="15"/>
  <c r="C31" i="15" s="1"/>
  <c r="C13" i="15"/>
  <c r="Q49" i="15"/>
  <c r="J19" i="15"/>
  <c r="J17" i="15" s="1"/>
  <c r="J59" i="15"/>
  <c r="C36" i="67"/>
  <c r="C33" i="67"/>
  <c r="C31" i="67" s="1"/>
  <c r="J14" i="67"/>
  <c r="C13" i="67"/>
  <c r="J19" i="67"/>
  <c r="J17" i="67" s="1"/>
  <c r="C57" i="67"/>
  <c r="Q49" i="67"/>
  <c r="J59" i="67"/>
  <c r="F34" i="68"/>
  <c r="C22" i="11" l="1"/>
  <c r="C31" i="11" s="1"/>
  <c r="J60" i="67"/>
  <c r="Q48" i="67" s="1"/>
  <c r="C37" i="68"/>
  <c r="J60" i="15"/>
  <c r="Q48" i="15" s="1"/>
  <c r="F1" i="67"/>
  <c r="Q52" i="67"/>
  <c r="C36" i="11"/>
  <c r="C34" i="11"/>
  <c r="C37" i="11"/>
  <c r="L56" i="15"/>
  <c r="F1" i="15"/>
  <c r="Q52" i="15"/>
  <c r="C23" i="12"/>
  <c r="C14" i="12"/>
  <c r="C16" i="12" s="1"/>
  <c r="C21" i="12" s="1"/>
  <c r="C22" i="12" s="1"/>
  <c r="C20" i="69"/>
  <c r="C28" i="69" s="1"/>
  <c r="C27" i="69" s="1"/>
  <c r="I27" i="6"/>
  <c r="S19" i="6"/>
  <c r="S27" i="6" s="1"/>
  <c r="H19" i="6"/>
  <c r="C24" i="68"/>
  <c r="C39" i="69"/>
  <c r="C43" i="69" s="1"/>
  <c r="C42" i="69"/>
  <c r="B3" i="76"/>
  <c r="I63" i="40"/>
  <c r="H65" i="40"/>
  <c r="AA7" i="34"/>
  <c r="R49" i="34" s="1"/>
  <c r="S7" i="34"/>
  <c r="O68" i="39"/>
  <c r="O70" i="39" s="1"/>
  <c r="N70" i="39"/>
  <c r="J7" i="39" s="1"/>
  <c r="J48" i="35"/>
  <c r="G53" i="34"/>
  <c r="H53" i="34" s="1"/>
  <c r="I58" i="21"/>
  <c r="H7" i="39"/>
  <c r="F7" i="39"/>
  <c r="W7" i="34"/>
  <c r="AC7" i="34"/>
  <c r="V49" i="34" s="1"/>
  <c r="I49" i="34" s="1"/>
  <c r="G54" i="34" s="1"/>
  <c r="H54" i="34" s="1"/>
  <c r="J13" i="67"/>
  <c r="J23" i="67" s="1"/>
  <c r="J22" i="67"/>
  <c r="C61" i="67"/>
  <c r="C59" i="67" s="1"/>
  <c r="C64" i="67"/>
  <c r="C64" i="15"/>
  <c r="C61" i="15"/>
  <c r="C59" i="15" s="1"/>
  <c r="C56" i="67"/>
  <c r="C65" i="67" s="1"/>
  <c r="C75" i="67"/>
  <c r="Q70" i="67"/>
  <c r="C37" i="67"/>
  <c r="C30" i="67" s="1"/>
  <c r="C39" i="67" s="1"/>
  <c r="C56" i="15"/>
  <c r="C65" i="15" s="1"/>
  <c r="Q70" i="15"/>
  <c r="C37" i="15"/>
  <c r="C30" i="15" s="1"/>
  <c r="C39" i="15" s="1"/>
  <c r="C75" i="15"/>
  <c r="J22" i="15"/>
  <c r="J13" i="15"/>
  <c r="J23" i="15" s="1"/>
  <c r="C36" i="68"/>
  <c r="C34" i="68"/>
  <c r="L51" i="67"/>
  <c r="L51" i="15"/>
  <c r="L46" i="67" l="1"/>
  <c r="L46" i="15"/>
  <c r="C30" i="12"/>
  <c r="C28" i="12" s="1"/>
  <c r="C27" i="12"/>
  <c r="C25" i="12" s="1"/>
  <c r="C38" i="68"/>
  <c r="C35" i="68"/>
  <c r="C35" i="11"/>
  <c r="C38" i="11"/>
  <c r="C41" i="69"/>
  <c r="C25" i="69"/>
  <c r="C22" i="69" s="1"/>
  <c r="C31" i="69" s="1"/>
  <c r="H27" i="6"/>
  <c r="R19" i="6"/>
  <c r="C46" i="69"/>
  <c r="C45" i="69" s="1"/>
  <c r="W7" i="39"/>
  <c r="AC7" i="39"/>
  <c r="V47" i="39" s="1"/>
  <c r="I47" i="39" s="1"/>
  <c r="F7" i="35"/>
  <c r="S7" i="39"/>
  <c r="AA7" i="39"/>
  <c r="R47" i="39" s="1"/>
  <c r="U7" i="39"/>
  <c r="AB7" i="39"/>
  <c r="T47" i="39" s="1"/>
  <c r="G47" i="39" s="1"/>
  <c r="R50" i="34"/>
  <c r="E49" i="34"/>
  <c r="I54" i="34" s="1"/>
  <c r="J54" i="34" s="1"/>
  <c r="J63" i="40"/>
  <c r="I65" i="40"/>
  <c r="I53" i="34"/>
  <c r="J53" i="34" s="1"/>
  <c r="J58" i="21"/>
  <c r="K58" i="21" s="1"/>
  <c r="L58" i="21" s="1"/>
  <c r="M58" i="21" s="1"/>
  <c r="N58" i="21" s="1"/>
  <c r="O58" i="21" s="1"/>
  <c r="F7" i="21" s="1"/>
  <c r="H7" i="21"/>
  <c r="K48" i="35"/>
  <c r="L48" i="35" s="1"/>
  <c r="M48" i="35" s="1"/>
  <c r="N48" i="35" s="1"/>
  <c r="O48" i="35" s="1"/>
  <c r="J7" i="35" s="1"/>
  <c r="H7" i="35"/>
  <c r="C58" i="15"/>
  <c r="C67" i="15" s="1"/>
  <c r="C68" i="15" s="1"/>
  <c r="C71" i="15" s="1"/>
  <c r="J16" i="15"/>
  <c r="J25" i="15" s="1"/>
  <c r="J16" i="67"/>
  <c r="J25" i="67" s="1"/>
  <c r="C80" i="67"/>
  <c r="C79" i="67" s="1"/>
  <c r="C80" i="15"/>
  <c r="C79" i="15" s="1"/>
  <c r="C58" i="67"/>
  <c r="C67" i="67" s="1"/>
  <c r="C68" i="67" s="1"/>
  <c r="Q69" i="15"/>
  <c r="Q68" i="15" s="1"/>
  <c r="C40" i="15"/>
  <c r="Q69" i="67"/>
  <c r="Q68" i="67" s="1"/>
  <c r="C40" i="67"/>
  <c r="C32" i="12" l="1"/>
  <c r="B2" i="12" s="1"/>
  <c r="B3" i="12" s="1"/>
  <c r="C33" i="11"/>
  <c r="C42" i="11" s="1"/>
  <c r="C33" i="68"/>
  <c r="C39" i="68" s="1"/>
  <c r="C43" i="68" s="1"/>
  <c r="C39" i="11"/>
  <c r="C49" i="69"/>
  <c r="C51" i="69" s="1"/>
  <c r="C52" i="69" s="1"/>
  <c r="B2" i="69" s="1"/>
  <c r="B3" i="69" s="1"/>
  <c r="R27" i="6"/>
  <c r="R6" i="1"/>
  <c r="R16" i="1" s="1"/>
  <c r="U7" i="21"/>
  <c r="AB7" i="21"/>
  <c r="T48" i="21" s="1"/>
  <c r="G48" i="21" s="1"/>
  <c r="W7" i="35"/>
  <c r="AC7" i="35"/>
  <c r="V38" i="35" s="1"/>
  <c r="I38" i="35" s="1"/>
  <c r="S7" i="21"/>
  <c r="AA7" i="21"/>
  <c r="R48" i="21" s="1"/>
  <c r="J65" i="40"/>
  <c r="K63" i="40"/>
  <c r="C49" i="34"/>
  <c r="C50" i="34"/>
  <c r="B2" i="34" s="1"/>
  <c r="B3" i="34" s="1"/>
  <c r="J7" i="21"/>
  <c r="I51" i="39"/>
  <c r="J51" i="39" s="1"/>
  <c r="U7" i="35"/>
  <c r="AB7" i="35"/>
  <c r="T38" i="35" s="1"/>
  <c r="G38" i="35" s="1"/>
  <c r="E54" i="34"/>
  <c r="F54" i="34" s="1"/>
  <c r="E53" i="34"/>
  <c r="F53" i="34" s="1"/>
  <c r="G52" i="39"/>
  <c r="H52" i="39" s="1"/>
  <c r="G51" i="39"/>
  <c r="H51" i="39" s="1"/>
  <c r="R48" i="39"/>
  <c r="E47" i="39"/>
  <c r="S7" i="35"/>
  <c r="AA7" i="35"/>
  <c r="R38" i="35" s="1"/>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D20" i="9"/>
  <c r="D19" i="9"/>
  <c r="D102" i="9" l="1"/>
  <c r="D21" i="9"/>
  <c r="C42" i="68"/>
  <c r="C41" i="68" s="1"/>
  <c r="D103" i="9"/>
  <c r="C46" i="68"/>
  <c r="C45" i="68" s="1"/>
  <c r="C43" i="11"/>
  <c r="C41" i="11" s="1"/>
  <c r="C46" i="11"/>
  <c r="C45" i="11" s="1"/>
  <c r="C57" i="69"/>
  <c r="C56" i="69" s="1"/>
  <c r="R39" i="35"/>
  <c r="E38" i="35"/>
  <c r="E51" i="39"/>
  <c r="F51" i="39" s="1"/>
  <c r="E52" i="39"/>
  <c r="F52" i="39" s="1"/>
  <c r="G42" i="35"/>
  <c r="H42" i="35" s="1"/>
  <c r="G43" i="35"/>
  <c r="H43" i="35" s="1"/>
  <c r="I52" i="39"/>
  <c r="J52" i="39" s="1"/>
  <c r="C47" i="39"/>
  <c r="C48" i="39"/>
  <c r="K65" i="40"/>
  <c r="L63" i="40"/>
  <c r="R49" i="21"/>
  <c r="E48" i="21"/>
  <c r="I42" i="35"/>
  <c r="J42" i="35" s="1"/>
  <c r="I43" i="35"/>
  <c r="J43" i="35" s="1"/>
  <c r="G52" i="21"/>
  <c r="H52" i="21" s="1"/>
  <c r="AC7" i="21"/>
  <c r="V48" i="21" s="1"/>
  <c r="I48" i="21" s="1"/>
  <c r="W7" i="21"/>
  <c r="Q66" i="15"/>
  <c r="Q75" i="15" s="1"/>
  <c r="Q57" i="15"/>
  <c r="Q62" i="15" s="1"/>
  <c r="Q66" i="67"/>
  <c r="Q75" i="67" s="1"/>
  <c r="Q57" i="67"/>
  <c r="Q62" i="67" s="1"/>
  <c r="B2" i="67"/>
  <c r="B3" i="67"/>
  <c r="C49" i="68" l="1"/>
  <c r="C51" i="68" s="1"/>
  <c r="C49" i="11"/>
  <c r="C51" i="11" s="1"/>
  <c r="E53" i="21"/>
  <c r="F53" i="21" s="1"/>
  <c r="E52" i="21"/>
  <c r="F52" i="21" s="1"/>
  <c r="I52" i="21"/>
  <c r="J52" i="21" s="1"/>
  <c r="I53" i="21"/>
  <c r="J53" i="21" s="1"/>
  <c r="G53" i="21"/>
  <c r="H53" i="21" s="1"/>
  <c r="C49" i="21"/>
  <c r="B2" i="21" s="1"/>
  <c r="B3" i="21" s="1"/>
  <c r="C48" i="21"/>
  <c r="E42" i="35"/>
  <c r="F42" i="35" s="1"/>
  <c r="E43" i="35"/>
  <c r="F43" i="35" s="1"/>
  <c r="L65" i="40"/>
  <c r="M63" i="40"/>
  <c r="B56" i="39"/>
  <c r="F56" i="39" s="1"/>
  <c r="F66" i="39" s="1"/>
  <c r="B2" i="39" s="1"/>
  <c r="B63" i="39"/>
  <c r="F63" i="39" s="1"/>
  <c r="B57" i="39"/>
  <c r="F57" i="39" s="1"/>
  <c r="B61" i="39"/>
  <c r="F61" i="39" s="1"/>
  <c r="B64" i="39"/>
  <c r="F64" i="39" s="1"/>
  <c r="B59" i="39"/>
  <c r="F59" i="39" s="1"/>
  <c r="B58" i="39"/>
  <c r="F58" i="39" s="1"/>
  <c r="B60" i="39"/>
  <c r="F60" i="39" s="1"/>
  <c r="B65" i="39"/>
  <c r="F65" i="39" s="1"/>
  <c r="B62" i="39"/>
  <c r="F62" i="39" s="1"/>
  <c r="C39" i="35"/>
  <c r="B2" i="35" s="1"/>
  <c r="B3" i="35" s="1"/>
  <c r="C38" i="35"/>
  <c r="B3" i="39" l="1"/>
  <c r="C6" i="68"/>
  <c r="C52" i="11"/>
  <c r="B2" i="11" s="1"/>
  <c r="B3" i="11" s="1"/>
  <c r="M65" i="40"/>
  <c r="N63" i="40"/>
  <c r="C7" i="68" l="1"/>
  <c r="C5" i="68" s="1"/>
  <c r="C56" i="11"/>
  <c r="C57" i="11" s="1"/>
  <c r="O63" i="40"/>
  <c r="O65" i="40" s="1"/>
  <c r="N65" i="40"/>
  <c r="C23" i="68" l="1"/>
  <c r="C20" i="68"/>
  <c r="C25" i="68" s="1"/>
  <c r="J7" i="40"/>
  <c r="F7" i="40"/>
  <c r="H7" i="40"/>
  <c r="C28" i="68" l="1"/>
  <c r="C27" i="68" s="1"/>
  <c r="C22" i="68"/>
  <c r="U7" i="40"/>
  <c r="AB7" i="40"/>
  <c r="T42" i="40" s="1"/>
  <c r="G42" i="40" s="1"/>
  <c r="AA7" i="40"/>
  <c r="R42" i="40" s="1"/>
  <c r="S7" i="40"/>
  <c r="AC7" i="40"/>
  <c r="V42" i="40" s="1"/>
  <c r="I42" i="40" s="1"/>
  <c r="W7" i="40"/>
  <c r="C31" i="68" l="1"/>
  <c r="C52" i="68" s="1"/>
  <c r="B2" i="68" s="1"/>
  <c r="I46" i="40"/>
  <c r="J46" i="40" s="1"/>
  <c r="R43" i="40"/>
  <c r="E42" i="40"/>
  <c r="G47" i="40"/>
  <c r="H47" i="40" s="1"/>
  <c r="G46" i="40"/>
  <c r="H46" i="40" s="1"/>
  <c r="C19" i="9"/>
  <c r="C102" i="9" l="1"/>
  <c r="G19" i="9"/>
  <c r="G21" i="9" s="1"/>
  <c r="C21" i="9"/>
  <c r="D22" i="9"/>
  <c r="C57" i="68"/>
  <c r="C56" i="68" s="1"/>
  <c r="B3" i="68"/>
  <c r="C42" i="40"/>
  <c r="C43" i="40"/>
  <c r="E47" i="40"/>
  <c r="F47" i="40" s="1"/>
  <c r="E46" i="40"/>
  <c r="F46" i="40" s="1"/>
  <c r="I47" i="40"/>
  <c r="J47" i="40" s="1"/>
  <c r="C20" i="9"/>
  <c r="D35" i="9"/>
  <c r="D34" i="9"/>
  <c r="C103" i="9" l="1"/>
  <c r="G20" i="9"/>
  <c r="C32" i="9" s="1"/>
  <c r="C35" i="9" s="1"/>
  <c r="C34" i="9" s="1"/>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H111" i="9"/>
  <c r="D19" i="53" s="1"/>
  <c r="H112" i="9"/>
  <c r="D21" i="53" s="1"/>
  <c r="B39" i="72" s="1"/>
  <c r="D20" i="53" l="1"/>
  <c r="B40" i="72" s="1"/>
  <c r="B38" i="72"/>
  <c r="D126" i="9"/>
  <c r="D12" i="52" l="1"/>
  <c r="D127" i="9"/>
  <c r="D13" i="52" s="1"/>
  <c r="I14" i="74"/>
  <c r="B8" i="74" s="1"/>
  <c r="D8" i="74" l="1"/>
  <c r="C8" i="74"/>
  <c r="D118" i="9"/>
  <c r="D119" i="9" s="1"/>
  <c r="D5" i="52" s="1"/>
  <c r="B49" i="72" s="1"/>
  <c r="F118" i="9"/>
  <c r="F119" i="9" s="1"/>
  <c r="F5" i="52" s="1"/>
  <c r="B53" i="72" s="1"/>
  <c r="H118" i="9"/>
  <c r="H4" i="52" s="1"/>
  <c r="F4" i="52" l="1"/>
  <c r="B51" i="72" s="1"/>
  <c r="G118" i="9"/>
  <c r="G4" i="52" s="1"/>
  <c r="B52" i="72" s="1"/>
  <c r="H101" i="9"/>
  <c r="M48" i="9" s="1"/>
  <c r="I118" i="9"/>
  <c r="I4" i="52" s="1"/>
  <c r="D4" i="52"/>
  <c r="B47" i="72" s="1"/>
  <c r="C104" i="9"/>
  <c r="H119" i="9"/>
  <c r="H5" i="52" s="1"/>
  <c r="D14" i="74"/>
  <c r="C105" i="9" l="1"/>
  <c r="E118" i="9"/>
  <c r="E4" i="52" s="1"/>
  <c r="B48" i="72" s="1"/>
  <c r="H102" i="9"/>
  <c r="D7" i="53" s="1"/>
  <c r="B21" i="72" s="1"/>
  <c r="D45" i="9"/>
  <c r="C93" i="9" s="1"/>
  <c r="C86" i="9" s="1"/>
  <c r="D5" i="53"/>
  <c r="D6" i="53" s="1"/>
  <c r="B22" i="72" s="1"/>
  <c r="H107" i="9"/>
  <c r="H108" i="9" s="1"/>
  <c r="D15" i="53" s="1"/>
  <c r="B31" i="72" s="1"/>
  <c r="E14" i="74"/>
  <c r="B5" i="74"/>
  <c r="F14" i="74"/>
  <c r="D53" i="9"/>
  <c r="B20" i="72"/>
  <c r="D122" i="9" l="1"/>
  <c r="G14" i="74" s="1"/>
  <c r="B6" i="74" s="1"/>
  <c r="D13" i="53"/>
  <c r="D14" i="53" s="1"/>
  <c r="B32" i="72" s="1"/>
  <c r="C78" i="9"/>
  <c r="C73" i="9" s="1"/>
  <c r="C72" i="9"/>
  <c r="C64" i="9"/>
  <c r="C63" i="9" s="1"/>
  <c r="C67" i="9" s="1"/>
  <c r="D59" i="9" s="1"/>
  <c r="M55" i="9" s="1"/>
  <c r="M49" i="9"/>
  <c r="L65" i="9" s="1"/>
  <c r="M65" i="9" s="1"/>
  <c r="D55" i="9"/>
  <c r="M53" i="9" s="1"/>
  <c r="C85" i="9"/>
  <c r="C95" i="9" s="1"/>
  <c r="C96" i="9" s="1"/>
  <c r="D52" i="9"/>
  <c r="B30" i="72"/>
  <c r="C5" i="74"/>
  <c r="D5" i="74"/>
  <c r="L66" i="9" l="1"/>
  <c r="M66" i="9" s="1"/>
  <c r="L64" i="9"/>
  <c r="M64" i="9" s="1"/>
  <c r="L68" i="9"/>
  <c r="M68" i="9" s="1"/>
  <c r="D123" i="9"/>
  <c r="D9" i="52" s="1"/>
  <c r="C68" i="9"/>
  <c r="D54" i="9" s="1"/>
  <c r="D8" i="52"/>
  <c r="C79" i="9"/>
  <c r="C80" i="9" s="1"/>
  <c r="E80" i="9" s="1"/>
  <c r="E81" i="9" s="1"/>
  <c r="E96" i="9"/>
  <c r="E97" i="9" s="1"/>
  <c r="C97" i="9"/>
  <c r="D58" i="9" s="1"/>
  <c r="D56" i="9" s="1"/>
  <c r="M54" i="9" s="1"/>
  <c r="N57" i="9" s="1"/>
  <c r="N58" i="9" s="1"/>
  <c r="L67" i="9"/>
  <c r="M67" i="9" s="1"/>
  <c r="L63" i="9"/>
  <c r="M63" i="9" s="1"/>
  <c r="C6" i="74"/>
  <c r="D6" i="74"/>
  <c r="C81" i="9" l="1"/>
  <c r="P57" i="9"/>
  <c r="N59" i="9"/>
  <c r="N61" i="9" s="1"/>
  <c r="M69" i="9"/>
  <c r="N69"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yishengli</author>
  </authors>
  <commentList>
    <comment ref="D2" authorId="0">
      <text>
        <r>
          <rPr>
            <sz val="9"/>
            <rFont val="宋体"/>
            <family val="3"/>
            <charset val="134"/>
          </rPr>
          <t>作者:
临时工规，2014年</t>
        </r>
      </text>
    </comment>
    <comment ref="L2" authorId="0">
      <text>
        <r>
          <rPr>
            <sz val="9"/>
            <rFont val="宋体"/>
            <family val="3"/>
            <charset val="134"/>
          </rPr>
          <t>作者:
临时工规，2014</t>
        </r>
      </text>
    </comment>
    <comment ref="Q2" authorId="0">
      <text>
        <r>
          <rPr>
            <sz val="9"/>
            <rFont val="宋体"/>
            <family val="3"/>
            <charset val="134"/>
          </rPr>
          <t>作者:
临时工规，2014年</t>
        </r>
      </text>
    </comment>
    <comment ref="O3" authorId="0">
      <text>
        <r>
          <rPr>
            <sz val="9"/>
            <rFont val="宋体"/>
            <family val="3"/>
            <charset val="134"/>
          </rPr>
          <t>作者:
太阳能补偿面积210平米</t>
        </r>
      </text>
    </comment>
    <comment ref="Q3" authorId="0">
      <text>
        <r>
          <rPr>
            <sz val="9"/>
            <rFont val="宋体"/>
            <family val="3"/>
            <charset val="134"/>
          </rPr>
          <t>作者:
其中地上车道车库和设备用房30985.71平米</t>
        </r>
      </text>
    </comment>
    <comment ref="O4" authorId="0">
      <text>
        <r>
          <rPr>
            <sz val="9"/>
            <rFont val="宋体"/>
            <family val="3"/>
            <charset val="134"/>
          </rPr>
          <t>作者:
太阳能补偿面积72平米</t>
        </r>
      </text>
    </comment>
    <comment ref="O5" authorId="0">
      <text>
        <r>
          <rPr>
            <sz val="9"/>
            <rFont val="宋体"/>
            <family val="3"/>
            <charset val="134"/>
          </rPr>
          <t>作者:
太阳能补偿面积30平米</t>
        </r>
      </text>
    </comment>
    <comment ref="O6" authorId="0">
      <text>
        <r>
          <rPr>
            <sz val="9"/>
            <rFont val="宋体"/>
            <family val="3"/>
            <charset val="134"/>
          </rPr>
          <t>作者:
(2016)388
（2014）158
含太阳能补偿面积312平米，扣除该部分后应计容面积14157.3平米</t>
        </r>
      </text>
    </comment>
    <comment ref="A7" authorId="0">
      <text>
        <r>
          <rPr>
            <sz val="9"/>
            <rFont val="宋体"/>
            <family val="3"/>
            <charset val="134"/>
          </rPr>
          <t>作者:
不可销售</t>
        </r>
      </text>
    </comment>
    <comment ref="L7" authorId="0">
      <text>
        <r>
          <rPr>
            <sz val="9"/>
            <rFont val="宋体"/>
            <family val="3"/>
            <charset val="134"/>
          </rPr>
          <t>作者:
豪华客房</t>
        </r>
      </text>
    </comment>
    <comment ref="O7" authorId="0">
      <text>
        <r>
          <rPr>
            <sz val="9"/>
            <rFont val="宋体"/>
            <family val="3"/>
            <charset val="134"/>
          </rPr>
          <t xml:space="preserve">作者:
扣除太阳能补偿面积后实为46147.73
</t>
        </r>
      </text>
    </comment>
    <comment ref="O8" authorId="0">
      <text>
        <r>
          <rPr>
            <sz val="9"/>
            <rFont val="宋体"/>
            <family val="3"/>
            <charset val="134"/>
          </rPr>
          <t>作者:
作为经营性用房</t>
        </r>
      </text>
    </comment>
    <comment ref="O10" authorId="0">
      <text>
        <r>
          <rPr>
            <sz val="9"/>
            <rFont val="宋体"/>
            <family val="3"/>
            <charset val="134"/>
          </rPr>
          <t xml:space="preserve">作者:
太阳能补偿面积201平米
</t>
        </r>
      </text>
    </comment>
    <comment ref="O11" authorId="0">
      <text>
        <r>
          <rPr>
            <sz val="9"/>
            <rFont val="宋体"/>
            <family val="3"/>
            <charset val="134"/>
          </rPr>
          <t>作者:
太阳能补偿面积60平米</t>
        </r>
      </text>
    </comment>
    <comment ref="O12" authorId="0">
      <text>
        <r>
          <rPr>
            <sz val="9"/>
            <rFont val="宋体"/>
            <family val="3"/>
            <charset val="134"/>
          </rPr>
          <t>作者:
太阳能补偿面积30</t>
        </r>
      </text>
    </comment>
    <comment ref="O13" authorId="0">
      <text>
        <r>
          <rPr>
            <sz val="9"/>
            <rFont val="宋体"/>
            <family val="3"/>
            <charset val="134"/>
          </rPr>
          <t xml:space="preserve">作者:
扣除太阳能补偿面积后实为14858.74
</t>
        </r>
      </text>
    </comment>
    <comment ref="O20" authorId="1">
      <text>
        <r>
          <rPr>
            <b/>
            <sz val="9"/>
            <rFont val="宋体"/>
            <family val="3"/>
            <charset val="134"/>
          </rPr>
          <t>yishengli:</t>
        </r>
        <r>
          <rPr>
            <sz val="9"/>
            <rFont val="宋体"/>
            <family val="3"/>
            <charset val="134"/>
          </rPr>
          <t xml:space="preserve">
太阳能补偿面积369平米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<sst xmlns="http://schemas.openxmlformats.org/spreadsheetml/2006/main" count="7746" uniqueCount="3270">
  <si>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</si>
  <si>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</si>
  <si>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</si>
  <si>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</si>
  <si>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</si>
  <si>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</si>
  <si>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</si>
  <si>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</si>
  <si>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</si>
  <si>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</si>
  <si>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</si>
  <si>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</si>
  <si>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</si>
  <si>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</si>
  <si>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</si>
  <si>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</si>
  <si>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</si>
  <si>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</si>
  <si>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</si>
  <si>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</si>
  <si>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</si>
  <si>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</si>
  <si>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</si>
  <si>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</si>
  <si>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</si>
  <si>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</si>
  <si>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</si>
  <si>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</si>
  <si>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</si>
  <si>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</si>
  <si>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</si>
  <si>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</si>
  <si>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</si>
  <si>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</si>
  <si>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</si>
  <si>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</si>
  <si>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</si>
  <si>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</si>
  <si>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</si>
  <si>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</si>
  <si>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</si>
  <si>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</si>
  <si>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</si>
  <si>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</si>
  <si>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</si>
  <si>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</si>
  <si>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</si>
  <si>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</si>
  <si>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</si>
  <si>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</si>
  <si>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</si>
  <si>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</si>
  <si>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</si>
  <si>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</si>
  <si>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</si>
  <si>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</si>
  <si>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</si>
  <si>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</si>
  <si>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</si>
  <si>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</si>
  <si>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</si>
  <si>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</si>
  <si>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</si>
  <si>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</si>
  <si>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</si>
  <si>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</si>
  <si>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</si>
  <si>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</si>
  <si>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</si>
  <si>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</si>
  <si>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</si>
  <si>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</si>
  <si>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</si>
  <si>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</si>
  <si>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</si>
  <si>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</si>
  <si>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</si>
  <si>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</si>
  <si>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</si>
  <si>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</si>
  <si>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</si>
  <si>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</si>
  <si>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</si>
  <si>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</si>
  <si>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</si>
  <si>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</si>
  <si>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</si>
  <si>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</si>
  <si>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</si>
  <si>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</si>
  <si>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</si>
  <si>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</si>
  <si>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</si>
  <si>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</si>
  <si>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</si>
  <si>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</si>
  <si>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</si>
  <si>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</si>
  <si>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</si>
  <si>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</si>
  <si>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</si>
  <si>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</si>
  <si>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</si>
  <si>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</si>
  <si>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</si>
  <si>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</si>
  <si>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</si>
  <si>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</si>
  <si>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</si>
  <si>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</si>
  <si>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</si>
  <si>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</si>
  <si>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</si>
  <si>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</si>
  <si>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</si>
  <si>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</si>
  <si>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</si>
  <si>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</si>
  <si>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</si>
  <si>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</si>
  <si>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</si>
  <si>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</si>
  <si>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</si>
  <si>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</si>
  <si>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</si>
  <si>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</si>
  <si>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</si>
  <si>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</si>
  <si>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</si>
  <si>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</si>
  <si>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</si>
  <si>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</si>
  <si>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</si>
  <si>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</si>
  <si>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</si>
  <si>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</si>
  <si>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</si>
  <si>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</si>
  <si>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</si>
  <si>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</si>
  <si>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</si>
  <si>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</si>
  <si>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</si>
  <si>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</si>
  <si>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</si>
  <si>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</si>
  <si>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</si>
  <si>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</si>
  <si>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</si>
  <si>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</si>
  <si>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</si>
  <si>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</si>
  <si>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</si>
  <si>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</si>
  <si>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</si>
  <si>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</si>
  <si>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</si>
  <si>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</si>
  <si>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</si>
  <si>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</si>
  <si>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</si>
  <si>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</si>
  <si>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</si>
  <si>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</si>
  <si>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</si>
  <si>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</si>
  <si>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</si>
  <si>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</si>
  <si>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</si>
  <si>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</si>
  <si>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</si>
  <si>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</si>
  <si>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</si>
  <si>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</si>
  <si>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</si>
  <si>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</si>
  <si>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</si>
  <si>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</si>
  <si>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</si>
  <si>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</si>
  <si>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</si>
  <si>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</si>
  <si>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</si>
  <si>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</si>
  <si>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</si>
  <si>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</si>
  <si>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</si>
  <si>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</si>
  <si>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</si>
  <si>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</si>
  <si>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</si>
  <si>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</si>
  <si>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</si>
  <si>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</si>
  <si>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</si>
  <si>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</si>
  <si>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</si>
  <si>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</si>
  <si>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</si>
  <si>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</si>
  <si>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</si>
  <si>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</si>
  <si>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</si>
  <si>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</si>
  <si>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</si>
  <si>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</si>
  <si>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</si>
  <si>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</si>
  <si>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</si>
  <si>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</si>
  <si>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</si>
  <si>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</si>
  <si>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</si>
  <si>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</si>
  <si>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</si>
  <si>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</si>
  <si>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</si>
  <si>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</si>
  <si>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</si>
  <si>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</si>
  <si>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</si>
  <si>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</si>
  <si>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</si>
  <si>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</si>
  <si>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</si>
  <si>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</si>
  <si>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</si>
  <si>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</si>
  <si>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</si>
  <si>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</si>
  <si>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</si>
  <si>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</si>
  <si>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</si>
  <si>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</si>
  <si>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</si>
  <si>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</si>
  <si>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</si>
  <si>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</si>
  <si>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</si>
  <si>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</si>
  <si>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</si>
  <si>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</si>
  <si>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</si>
  <si>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</si>
  <si>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</si>
  <si>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</si>
  <si>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</si>
  <si>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</si>
  <si>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</si>
  <si>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</si>
  <si>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</si>
  <si>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</si>
  <si>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</si>
  <si>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</si>
  <si>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</si>
  <si>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</si>
  <si>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</si>
  <si>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</si>
  <si>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</si>
  <si>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</si>
  <si>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</si>
  <si>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</si>
  <si>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</si>
  <si>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</si>
  <si>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</si>
  <si>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</si>
  <si>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</si>
  <si>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</si>
  <si>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</si>
  <si>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</si>
  <si>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</si>
  <si>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</si>
  <si>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</si>
  <si>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</si>
  <si>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</si>
  <si>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</si>
  <si>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</si>
  <si>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</si>
  <si>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</si>
  <si>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</si>
  <si>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</si>
  <si>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</si>
  <si>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</si>
  <si>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</si>
  <si>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</si>
  <si>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</si>
  <si>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</si>
  <si>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</si>
  <si>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</si>
  <si>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</si>
  <si>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</si>
  <si>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</si>
  <si>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</si>
  <si>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</si>
  <si>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</si>
  <si>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</si>
  <si>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</si>
  <si>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</si>
  <si>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</si>
  <si>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</si>
  <si>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</si>
  <si>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</si>
  <si>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</si>
  <si>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</si>
  <si>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</si>
  <si>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</si>
  <si>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</si>
  <si>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</si>
  <si>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</si>
  <si>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</si>
  <si>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</si>
  <si>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</si>
  <si>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</si>
  <si>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</si>
  <si>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</si>
  <si>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</si>
  <si>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</si>
  <si>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</si>
  <si>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</si>
  <si>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</si>
  <si>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</si>
  <si>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</si>
  <si>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</si>
  <si>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</si>
  <si>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</si>
  <si>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</si>
  <si>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</si>
  <si>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</si>
  <si>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</si>
  <si>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</si>
  <si>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</si>
  <si>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</si>
  <si>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</si>
  <si>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</si>
  <si>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</si>
  <si>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</si>
  <si>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</si>
  <si>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</si>
  <si>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</si>
  <si>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</si>
  <si>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</si>
  <si>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</si>
  <si>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</si>
  <si>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</si>
  <si>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</si>
  <si>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</si>
  <si>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</si>
  <si>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</si>
  <si>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</si>
  <si>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</si>
  <si>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</si>
  <si>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</si>
  <si>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</si>
  <si>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</si>
  <si>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</si>
  <si>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</si>
  <si>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</si>
  <si>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</si>
  <si>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</si>
  <si>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</si>
  <si>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</si>
  <si>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</si>
  <si>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</si>
  <si>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</si>
  <si>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</si>
  <si>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</si>
  <si>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</si>
  <si>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</si>
  <si>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</si>
  <si>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</si>
  <si>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</si>
  <si>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</si>
  <si>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</si>
  <si>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</si>
  <si>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</si>
  <si>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</si>
  <si>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</si>
  <si>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</si>
  <si>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</si>
  <si>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</si>
  <si>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</si>
  <si>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</si>
  <si>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</si>
  <si>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</si>
  <si>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</si>
  <si>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</si>
  <si>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</si>
  <si>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</si>
  <si>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</si>
  <si>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</si>
  <si>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</si>
  <si>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</si>
  <si>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</si>
  <si>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</si>
  <si>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</si>
  <si>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</si>
  <si>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</si>
  <si>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</si>
  <si>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</si>
  <si>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</si>
  <si>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</si>
  <si>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</si>
  <si>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</si>
  <si>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</si>
  <si>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</si>
  <si>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</si>
  <si>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</si>
  <si>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</si>
  <si>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</si>
  <si>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</si>
  <si>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</si>
  <si>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</si>
  <si>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</si>
  <si>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</si>
  <si>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</si>
  <si>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</si>
  <si>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</si>
  <si>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</si>
  <si>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</si>
  <si>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</si>
  <si>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</si>
  <si>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</si>
  <si>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</si>
  <si>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</si>
  <si>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</si>
  <si>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</si>
  <si>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</si>
  <si>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</si>
  <si>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</si>
  <si>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</si>
  <si>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</si>
  <si>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</si>
  <si>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</si>
  <si>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</si>
  <si>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</si>
  <si>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</si>
  <si>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</si>
  <si>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</si>
  <si>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</si>
  <si>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</si>
  <si>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</si>
  <si>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</si>
  <si>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</si>
  <si>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</si>
  <si>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</si>
  <si>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</si>
  <si>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</si>
  <si>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</si>
  <si>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</si>
  <si>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</si>
  <si>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</si>
  <si>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</si>
  <si>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</si>
  <si>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</si>
  <si>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</si>
  <si>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</si>
  <si>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</si>
  <si>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</si>
  <si>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</si>
  <si>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</si>
  <si>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</si>
  <si>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</si>
  <si>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</si>
  <si>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</si>
  <si>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</si>
  <si>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</si>
  <si>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</si>
  <si>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</si>
  <si>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</si>
  <si>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</si>
  <si>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</si>
  <si>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</si>
  <si>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</si>
  <si>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</si>
  <si>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</si>
  <si>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</si>
  <si>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</si>
  <si>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</si>
  <si>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</si>
  <si>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</si>
  <si>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</si>
  <si>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</si>
  <si>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</si>
  <si>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</si>
  <si>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</si>
  <si>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</si>
  <si>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</si>
  <si>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</si>
  <si>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</si>
  <si>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</si>
  <si>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</si>
  <si>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</si>
  <si>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</si>
  <si>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</si>
  <si>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</si>
  <si>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</si>
  <si>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</si>
  <si>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</si>
  <si>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</si>
  <si>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</si>
  <si>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</si>
  <si>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</si>
  <si>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</si>
  <si>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</si>
  <si>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</si>
  <si>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</si>
  <si>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</si>
  <si>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</si>
  <si>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</si>
  <si>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</si>
  <si>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</si>
  <si>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</si>
  <si>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</si>
  <si>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</si>
  <si>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</si>
  <si>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</si>
  <si>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</si>
  <si>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</si>
  <si>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</si>
  <si>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</si>
  <si>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</si>
  <si>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</si>
  <si>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</si>
  <si>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</si>
  <si>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</si>
  <si>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</si>
  <si>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</si>
  <si>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</si>
  <si>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</si>
  <si>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</si>
  <si>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</si>
  <si>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</si>
  <si>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</si>
  <si>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</si>
  <si>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</si>
  <si>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</si>
  <si>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</si>
  <si>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</si>
  <si>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</si>
  <si>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</si>
  <si>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</si>
  <si>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</si>
  <si>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</si>
  <si>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</si>
  <si>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</si>
  <si>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</si>
  <si>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</si>
  <si>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</si>
  <si>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</si>
  <si>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</si>
  <si>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</si>
  <si>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</si>
  <si>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</si>
  <si>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</si>
  <si>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</si>
  <si>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</si>
  <si>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</si>
  <si>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</si>
  <si>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</si>
  <si>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</si>
  <si>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</si>
  <si>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</si>
  <si>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</si>
  <si>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</si>
  <si>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</si>
  <si>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</si>
  <si>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</si>
  <si>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</si>
  <si>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</si>
  <si>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</si>
  <si>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</si>
  <si>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</si>
  <si>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</si>
  <si>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</si>
  <si>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</si>
  <si>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</si>
  <si>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</si>
  <si>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</si>
  <si>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</si>
  <si>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</si>
  <si>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</si>
  <si>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</si>
  <si>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</si>
  <si>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</si>
  <si>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</si>
  <si>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</si>
  <si>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</si>
  <si>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</si>
  <si>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</si>
  <si>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</si>
  <si>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</si>
  <si>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</si>
  <si>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</si>
  <si>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</si>
  <si>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</si>
  <si>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</si>
  <si>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</si>
  <si>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</si>
  <si>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</si>
  <si>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</si>
  <si>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</si>
  <si>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</si>
  <si>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</si>
  <si>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</si>
  <si>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</si>
  <si>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</si>
  <si>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</si>
  <si>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</si>
  <si>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</si>
  <si>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</si>
  <si>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</si>
  <si>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</si>
  <si>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</si>
  <si>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</si>
  <si>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</si>
  <si>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</si>
  <si>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</si>
  <si>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</si>
  <si>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</si>
  <si>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</si>
  <si>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</si>
  <si>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</si>
  <si>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</si>
  <si>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</si>
  <si>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</si>
  <si>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</si>
  <si>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</si>
  <si>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</si>
  <si>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</si>
  <si>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</si>
  <si>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</si>
  <si>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</si>
  <si>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</si>
  <si>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</si>
  <si>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</si>
  <si>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</si>
  <si>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</si>
  <si>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</si>
  <si>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</si>
  <si>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</si>
  <si>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</si>
  <si>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</si>
  <si>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</si>
  <si>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</si>
  <si>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</si>
  <si>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</si>
  <si>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</si>
  <si>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</si>
  <si>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</si>
  <si>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</si>
  <si>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</si>
  <si>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</si>
  <si>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</si>
  <si>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</si>
  <si>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</si>
  <si>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</si>
  <si>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</si>
  <si>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</si>
  <si>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</si>
  <si>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</si>
  <si>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</si>
  <si>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</si>
  <si>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</si>
  <si>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</si>
  <si>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</si>
  <si>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</si>
  <si>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</si>
  <si>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</si>
  <si>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</si>
  <si>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</si>
  <si>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</si>
  <si>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</si>
  <si>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</si>
  <si>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</si>
  <si>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</si>
  <si>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</si>
  <si>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</si>
  <si>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</si>
  <si>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</si>
  <si>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</si>
  <si>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</si>
  <si>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</si>
  <si>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</si>
  <si>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</si>
  <si>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</si>
  <si>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</si>
  <si>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</si>
  <si>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</si>
  <si>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</si>
  <si>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</si>
  <si>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</si>
  <si>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</si>
  <si>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</si>
  <si>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</si>
  <si>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</si>
  <si>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</si>
  <si>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</si>
  <si>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</si>
  <si>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</si>
  <si>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</si>
  <si>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</si>
  <si>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</si>
  <si>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</si>
  <si>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</si>
  <si>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</si>
  <si>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</si>
  <si>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</si>
  <si>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</si>
  <si>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</si>
  <si>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</si>
  <si>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</si>
  <si>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</si>
  <si>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</si>
  <si>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</si>
  <si>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</si>
  <si>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</si>
  <si>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</si>
  <si>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</si>
  <si>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</si>
  <si>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</si>
  <si>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</si>
  <si>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</si>
  <si>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</si>
  <si>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</si>
  <si>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</si>
  <si>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</si>
  <si>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</si>
  <si>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</si>
  <si>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</si>
  <si>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</si>
  <si>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</si>
  <si>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</si>
  <si>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</si>
  <si>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</si>
  <si>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</si>
  <si>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</si>
  <si>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</si>
  <si>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</si>
  <si>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</si>
  <si>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</si>
  <si>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</si>
  <si>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</si>
  <si>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</si>
  <si>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</si>
  <si>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</si>
  <si>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</si>
  <si>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</si>
  <si>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</si>
  <si>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</si>
  <si>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</si>
  <si>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</si>
  <si>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</si>
  <si>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</si>
  <si>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</si>
  <si>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</si>
  <si>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</si>
  <si>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</si>
  <si>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</si>
  <si>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</si>
  <si>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</si>
  <si>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</si>
  <si>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</si>
  <si>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</si>
  <si>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</si>
  <si>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</si>
  <si>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</si>
  <si>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</si>
  <si>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</si>
  <si>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</si>
  <si>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</si>
  <si>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</si>
  <si>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</si>
  <si>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</si>
  <si>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</si>
  <si>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</si>
  <si>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</si>
  <si>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</si>
  <si>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</si>
  <si>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</si>
  <si>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</si>
  <si>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</si>
  <si>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</si>
  <si>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</si>
  <si>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</si>
  <si>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</si>
  <si>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</si>
  <si>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</si>
  <si>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</si>
  <si>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</si>
  <si>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</si>
  <si>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</si>
  <si>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</si>
  <si>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</si>
  <si>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</si>
  <si>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</si>
  <si>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</si>
  <si>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</si>
  <si>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</si>
  <si>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</si>
  <si>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</si>
  <si>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</si>
  <si>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</si>
  <si>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</si>
  <si>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</si>
  <si>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</si>
  <si>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</si>
  <si>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</si>
  <si>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</si>
  <si>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</si>
  <si>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</si>
  <si>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</si>
  <si>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</si>
  <si>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</si>
  <si>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</si>
  <si>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</si>
  <si>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</si>
  <si>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</si>
  <si>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</si>
  <si>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</si>
  <si>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</si>
  <si>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</si>
  <si>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</si>
  <si>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</si>
  <si>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</si>
  <si>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</si>
  <si>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</si>
  <si>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</si>
  <si>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</si>
  <si>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</si>
  <si>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</si>
  <si>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</si>
  <si>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</si>
  <si>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</si>
  <si>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</si>
  <si>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</si>
  <si>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</si>
  <si>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</si>
  <si>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</si>
  <si>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</si>
  <si>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</si>
  <si>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</si>
  <si>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</si>
  <si>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</si>
  <si>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</si>
  <si>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</si>
  <si>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</si>
  <si>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</si>
  <si>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</si>
  <si>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</si>
  <si>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</si>
  <si>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</si>
  <si>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</si>
  <si>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</si>
  <si>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</si>
  <si>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</si>
  <si>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</si>
  <si>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</si>
  <si>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</si>
  <si>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</si>
  <si>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</si>
  <si>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</si>
  <si>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</si>
  <si>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</si>
  <si>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</si>
  <si>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</si>
  <si>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</si>
  <si>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</si>
  <si>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</si>
  <si>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</si>
  <si>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</si>
  <si>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</si>
  <si>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</si>
  <si>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</si>
  <si>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</si>
  <si>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</si>
  <si>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</si>
  <si>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</si>
  <si>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</si>
  <si>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</si>
  <si>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</si>
  <si>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</si>
  <si>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</si>
  <si>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</si>
  <si>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</si>
  <si>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</si>
  <si>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</si>
  <si>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</si>
  <si>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</si>
  <si>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</si>
  <si>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</si>
  <si>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</si>
  <si>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</si>
  <si>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</si>
  <si>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</si>
  <si>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</si>
  <si>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</si>
  <si>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</si>
  <si>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</si>
  <si>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</si>
  <si>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</si>
  <si>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</si>
  <si>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</si>
  <si>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</si>
  <si>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</si>
  <si>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</si>
  <si>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</si>
  <si>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</si>
  <si>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</si>
  <si>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</si>
  <si>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</si>
  <si>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</si>
  <si>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</si>
  <si>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</si>
  <si>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</si>
  <si>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</si>
  <si>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</si>
  <si>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</si>
  <si>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</si>
  <si>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</si>
  <si>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</si>
  <si>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</si>
  <si>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</si>
  <si>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</si>
  <si>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</si>
  <si>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</si>
  <si>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</si>
  <si>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</si>
  <si>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</si>
  <si>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</si>
  <si>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</si>
  <si>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</si>
  <si>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</si>
  <si>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</si>
  <si>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</si>
  <si>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</si>
  <si>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</si>
  <si>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</si>
  <si>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</si>
  <si>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</si>
  <si>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</si>
  <si>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</si>
  <si>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</si>
  <si>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</si>
  <si>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</si>
  <si>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</si>
  <si>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</si>
  <si>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</si>
  <si>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</si>
  <si>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</si>
  <si>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</si>
  <si>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</si>
  <si>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</si>
  <si>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</si>
  <si>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</si>
  <si>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</si>
  <si>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</si>
  <si>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</si>
  <si>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</si>
  <si>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</si>
  <si>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</si>
  <si>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</si>
  <si>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</si>
  <si>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</si>
  <si>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</si>
  <si>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</si>
  <si>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</si>
  <si>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</si>
  <si>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</si>
  <si>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</si>
  <si>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</si>
  <si>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</si>
  <si>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</si>
  <si>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</si>
  <si>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</si>
  <si>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</si>
  <si>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</si>
  <si>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</si>
  <si>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</si>
  <si>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</si>
  <si>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</si>
  <si>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</si>
  <si>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</si>
  <si>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</si>
  <si>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</si>
  <si>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</si>
  <si>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</si>
  <si>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</si>
  <si>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</si>
  <si>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</si>
  <si>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</si>
  <si>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</si>
  <si>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</si>
  <si>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</si>
  <si>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</si>
  <si>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</si>
  <si>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</si>
  <si>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</si>
  <si>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</si>
  <si>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</si>
  <si>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</si>
  <si>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</si>
  <si>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</si>
  <si>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</si>
  <si>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</si>
  <si>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</si>
  <si>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</si>
  <si>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</si>
  <si>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</si>
  <si>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</si>
  <si>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</si>
  <si>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</si>
  <si>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</si>
  <si>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</si>
  <si>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</si>
  <si>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</si>
  <si>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</si>
  <si>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</si>
  <si>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</si>
  <si>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</si>
  <si>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</si>
  <si>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</si>
  <si>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</si>
  <si>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</si>
  <si>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</si>
  <si>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</si>
  <si>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</si>
  <si>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</si>
  <si>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</si>
  <si>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</si>
  <si>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</si>
  <si>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</si>
  <si>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</si>
  <si>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</si>
  <si>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</si>
  <si>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</si>
  <si>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</si>
  <si>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</si>
  <si>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</si>
  <si>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</si>
  <si>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</si>
  <si>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</si>
  <si>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</si>
  <si>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</si>
  <si>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</si>
  <si>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</si>
  <si>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</si>
  <si>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</si>
  <si>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</si>
  <si>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</si>
  <si>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</si>
  <si>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</si>
  <si>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</si>
  <si>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</si>
  <si>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</si>
  <si>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</si>
  <si>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</si>
  <si>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</si>
  <si>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</si>
  <si>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</si>
  <si>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</si>
  <si>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</si>
  <si>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</si>
  <si>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</si>
  <si>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</si>
  <si>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</si>
  <si>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</si>
  <si>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</si>
  <si>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</si>
  <si>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</si>
  <si>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</si>
  <si>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</si>
  <si>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</si>
  <si>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</si>
  <si>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</si>
  <si>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</si>
  <si>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</si>
  <si>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</si>
  <si>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</si>
  <si>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</si>
  <si>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</si>
  <si>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</si>
  <si>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</si>
  <si>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</si>
  <si>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</si>
  <si>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</si>
  <si>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</si>
  <si>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</si>
  <si>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</si>
  <si>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</si>
  <si>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</si>
  <si>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</si>
  <si>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</si>
  <si>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</si>
  <si>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</si>
  <si>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</si>
  <si>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</si>
  <si>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</si>
  <si>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</si>
  <si>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</si>
  <si>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</si>
  <si>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</si>
  <si>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</si>
  <si>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</si>
  <si>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</si>
  <si>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</si>
  <si>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</si>
  <si>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</si>
  <si>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</si>
  <si>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</si>
  <si>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</si>
  <si>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</si>
  <si>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</si>
  <si>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</si>
  <si>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</si>
  <si>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</si>
  <si>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</si>
  <si>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</si>
  <si>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</si>
  <si>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</si>
  <si>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</si>
  <si>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</si>
  <si>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</si>
  <si>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</si>
  <si>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</si>
  <si>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</si>
  <si>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</si>
  <si>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</si>
  <si>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</si>
  <si>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</si>
  <si>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</si>
  <si>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</si>
  <si>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</si>
  <si>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</si>
  <si>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</si>
  <si>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</si>
  <si>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</si>
  <si>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</si>
  <si>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</si>
  <si>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</si>
  <si>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</si>
  <si>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</si>
  <si>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</si>
  <si>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</si>
  <si>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</si>
  <si>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</si>
  <si>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</si>
  <si>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</si>
  <si>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</si>
  <si>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</si>
  <si>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</si>
  <si>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</si>
  <si>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</si>
  <si>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</si>
  <si>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</si>
  <si>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</si>
  <si>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</si>
  <si>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</si>
  <si>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</si>
  <si>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</si>
  <si>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</si>
  <si>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</si>
  <si>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</si>
  <si>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</si>
  <si>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</si>
  <si>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</si>
  <si>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</si>
  <si>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</si>
  <si>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</si>
  <si>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</si>
  <si>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</si>
  <si>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</si>
  <si>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</si>
  <si>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</si>
  <si>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</si>
  <si>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</si>
  <si>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</si>
  <si>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</si>
  <si>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</si>
  <si>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</si>
  <si>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</si>
  <si>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</si>
  <si>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</si>
  <si>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</si>
  <si>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</si>
  <si>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</si>
  <si>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</si>
  <si>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</si>
  <si>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</si>
  <si>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</si>
  <si>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</si>
  <si>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</si>
  <si>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</si>
  <si>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</si>
  <si>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</si>
  <si>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</si>
  <si>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</si>
  <si>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</si>
  <si>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</si>
  <si>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</si>
  <si>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</si>
  <si>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</si>
  <si>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</si>
  <si>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</si>
  <si>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</si>
  <si>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</si>
  <si>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</si>
  <si>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</si>
  <si>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</si>
  <si>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</si>
  <si>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</si>
  <si>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</si>
  <si>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</si>
  <si>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</si>
  <si>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</si>
  <si>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</si>
  <si>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</si>
  <si>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</si>
  <si>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</si>
  <si>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</si>
  <si>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</si>
  <si>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</si>
  <si>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</si>
  <si>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</si>
  <si>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</si>
  <si>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</si>
  <si>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</si>
  <si>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</si>
  <si>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</si>
  <si>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</si>
  <si>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</si>
  <si>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</si>
  <si>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</si>
  <si>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</si>
  <si>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</si>
  <si>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</si>
  <si>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</si>
  <si>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</si>
  <si>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</si>
  <si>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</si>
  <si>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</si>
  <si>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</si>
  <si>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</si>
  <si>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</si>
  <si>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</si>
  <si>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</si>
  <si>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</si>
  <si>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</si>
  <si>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</si>
  <si>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</si>
  <si>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</si>
  <si>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</si>
  <si>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</si>
  <si>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</si>
  <si>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</si>
  <si>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</si>
  <si>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</si>
  <si>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</si>
  <si>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</si>
  <si>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</si>
  <si>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</si>
  <si>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</si>
  <si>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</si>
  <si>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</si>
  <si>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</si>
  <si>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</si>
  <si>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</si>
  <si>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</si>
  <si>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</si>
  <si>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</si>
  <si>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</si>
  <si>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</si>
  <si>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</si>
  <si>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</si>
  <si>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</si>
  <si>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</si>
  <si>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</si>
  <si>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</si>
  <si>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</si>
  <si>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</si>
  <si>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</si>
  <si>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</si>
  <si>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</si>
  <si>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</si>
  <si>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</si>
  <si>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</si>
  <si>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</si>
  <si>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</si>
  <si>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</si>
  <si>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</si>
  <si>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</si>
  <si>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</si>
  <si>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</si>
  <si>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</si>
  <si>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</si>
  <si>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</si>
  <si>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</si>
  <si>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</si>
  <si>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</si>
  <si>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</si>
  <si>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</si>
  <si>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</si>
  <si>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</si>
  <si>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</si>
  <si>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</si>
  <si>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</si>
  <si>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</si>
  <si>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</si>
  <si>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</si>
  <si>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</si>
  <si>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</si>
  <si>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</si>
  <si>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</si>
  <si>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</si>
  <si>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</si>
  <si>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</si>
  <si>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</si>
  <si>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</si>
  <si>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</si>
  <si>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</si>
  <si>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</si>
  <si>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</si>
  <si>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</si>
  <si>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</si>
  <si>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</si>
  <si>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</si>
  <si>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</si>
  <si>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</si>
  <si>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</si>
  <si>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</si>
  <si>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</si>
  <si>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</si>
  <si>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</si>
  <si>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</si>
  <si>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</si>
  <si>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</si>
  <si>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</si>
  <si>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</si>
  <si>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</si>
  <si>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</si>
  <si>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</si>
  <si>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</si>
  <si>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</si>
  <si>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</si>
  <si>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</si>
  <si>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</si>
  <si>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</si>
  <si>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</si>
  <si>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</si>
  <si>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</si>
  <si>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</si>
  <si>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</si>
  <si>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</si>
  <si>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</si>
  <si>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</si>
  <si>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</si>
  <si>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</si>
  <si>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</si>
  <si>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</si>
  <si>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</si>
  <si>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</si>
  <si>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</si>
  <si>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</si>
  <si>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</si>
  <si>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</si>
  <si>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</si>
  <si>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</si>
  <si>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</si>
  <si>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</si>
  <si>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</si>
  <si>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</si>
  <si>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</si>
  <si>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</si>
  <si>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</si>
  <si>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</si>
  <si>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</si>
  <si>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</si>
  <si>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</si>
  <si>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</si>
  <si>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</si>
  <si>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</si>
  <si>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</si>
  <si>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</si>
  <si>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</si>
  <si>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</si>
  <si>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</si>
  <si>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</si>
  <si>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</si>
  <si>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</si>
  <si>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</si>
  <si>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</si>
  <si>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</si>
  <si>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</si>
  <si>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</si>
  <si>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</si>
  <si>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</si>
  <si>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</si>
  <si>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</si>
  <si>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</si>
  <si>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</si>
  <si>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</si>
  <si>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</si>
  <si>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</si>
  <si>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</si>
  <si>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</si>
  <si>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</si>
  <si>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</si>
  <si>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</si>
  <si>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</si>
  <si>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</si>
  <si>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</si>
  <si>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</si>
  <si>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</si>
  <si>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</si>
  <si>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</si>
  <si>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</si>
  <si>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</si>
  <si>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</si>
  <si>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</si>
  <si>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</si>
  <si>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</si>
  <si>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</si>
  <si>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</si>
  <si>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</si>
  <si>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</si>
  <si>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</si>
  <si>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</si>
  <si>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</si>
  <si>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</si>
  <si>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</si>
  <si>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</si>
  <si>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</si>
  <si>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</si>
  <si>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</si>
  <si>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</si>
  <si>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</si>
  <si>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</si>
  <si>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</si>
  <si>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</si>
  <si>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</si>
  <si>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</si>
  <si>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</si>
  <si>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</si>
  <si>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</si>
  <si>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</si>
  <si>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</si>
  <si>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</si>
  <si>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</si>
  <si>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</si>
  <si>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</si>
  <si>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</si>
  <si>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</si>
  <si>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</si>
  <si>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</si>
  <si>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</si>
  <si>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</si>
  <si>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</si>
  <si>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</si>
  <si>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</si>
  <si>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</si>
  <si>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</si>
  <si>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</si>
  <si>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</si>
  <si>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</si>
  <si>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</si>
  <si>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</si>
  <si>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</si>
  <si>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</si>
  <si>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</si>
  <si>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</si>
  <si>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</si>
  <si>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</si>
  <si>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</si>
  <si>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</si>
  <si>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</si>
  <si>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</si>
  <si>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</si>
  <si>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</si>
  <si>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</si>
  <si>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</si>
  <si>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</si>
  <si>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</si>
  <si>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</si>
  <si>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</si>
  <si>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</si>
  <si>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</si>
  <si>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</si>
  <si>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</si>
  <si>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</si>
  <si>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</si>
  <si>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</si>
  <si>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</si>
  <si>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</si>
  <si>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</si>
  <si>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</si>
  <si>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</si>
  <si>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</si>
  <si>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</si>
  <si>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</si>
  <si>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</si>
  <si>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</si>
  <si>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</si>
  <si>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</si>
  <si>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</si>
  <si>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</si>
  <si>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</si>
  <si>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</si>
  <si>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</si>
  <si>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</si>
  <si>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</si>
  <si>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</si>
  <si>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</si>
  <si>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</si>
  <si>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</si>
  <si>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</si>
  <si>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</si>
  <si>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</si>
  <si>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</si>
  <si>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</si>
  <si>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</si>
  <si>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</si>
  <si>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</si>
  <si>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</si>
  <si>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</si>
  <si>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</si>
  <si>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</si>
  <si>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</si>
  <si>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</si>
  <si>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</si>
  <si>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</si>
  <si>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</si>
  <si>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</si>
  <si>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</si>
  <si>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</si>
  <si>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</si>
  <si>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</si>
  <si>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</si>
  <si>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</si>
  <si>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</si>
  <si>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</si>
  <si>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</si>
  <si>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</si>
  <si>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</si>
  <si>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</si>
  <si>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</si>
  <si>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</si>
  <si>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</si>
  <si>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</si>
  <si>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</si>
  <si>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</si>
  <si>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</si>
  <si>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</si>
  <si>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</si>
  <si>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</si>
  <si>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</si>
  <si>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</si>
  <si>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</si>
  <si>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</si>
  <si>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</si>
  <si>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</si>
  <si>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</si>
  <si>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</si>
  <si>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</si>
  <si>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</si>
  <si>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</si>
  <si>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</si>
  <si>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</si>
  <si>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</si>
  <si>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</si>
  <si>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</si>
  <si>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</si>
  <si>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</si>
  <si>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</si>
  <si>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</si>
  <si>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</si>
  <si>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</si>
  <si>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</si>
  <si>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</si>
  <si>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</si>
  <si>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</si>
  <si>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</si>
  <si>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</si>
  <si>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</si>
  <si>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</si>
  <si>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</si>
  <si>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</si>
  <si>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</si>
  <si>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</si>
  <si>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</si>
  <si>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</si>
  <si>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</si>
  <si>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</si>
  <si>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</si>
  <si>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</si>
  <si>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</si>
  <si>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</si>
  <si>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</si>
  <si>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</si>
  <si>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</si>
  <si>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</si>
  <si>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</si>
  <si>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</si>
  <si>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</si>
  <si>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</si>
  <si>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</si>
  <si>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</si>
  <si>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</si>
  <si>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</si>
  <si>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</si>
  <si>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</si>
  <si>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</si>
  <si>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</si>
  <si>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</si>
  <si>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</si>
  <si>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</si>
  <si>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</si>
  <si>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</si>
  <si>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</si>
  <si>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</si>
  <si>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</si>
  <si>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</si>
  <si>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</si>
  <si>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</si>
  <si>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</si>
  <si>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</si>
  <si>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</si>
  <si>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</si>
  <si>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</si>
  <si>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</si>
  <si>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</si>
  <si>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</si>
  <si>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</si>
  <si>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</si>
  <si>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</si>
  <si>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</si>
  <si>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</si>
  <si>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</si>
  <si>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</si>
  <si>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</si>
  <si>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</si>
  <si>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</si>
  <si>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</si>
  <si>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</si>
  <si>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</si>
  <si>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</si>
  <si>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</si>
  <si>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</si>
  <si>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</si>
  <si>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</si>
  <si>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</si>
  <si>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</si>
  <si>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</si>
  <si>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</si>
  <si>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</si>
  <si>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</si>
  <si>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</si>
  <si>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</si>
  <si>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</si>
  <si>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</si>
  <si>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</si>
  <si>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</si>
  <si>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</si>
  <si>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</si>
  <si>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</si>
  <si>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</si>
  <si>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</si>
  <si>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</si>
  <si>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</si>
  <si>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</si>
  <si>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</si>
  <si>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</si>
  <si>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</si>
  <si>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</si>
  <si>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</si>
  <si>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</si>
  <si>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</si>
  <si>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</si>
  <si>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</si>
  <si>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</si>
  <si>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</si>
  <si>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</si>
  <si>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</si>
  <si>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</si>
  <si>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</si>
  <si>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</si>
  <si>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</si>
  <si>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</si>
  <si>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</si>
  <si>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</si>
  <si>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</si>
  <si>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</si>
  <si>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</si>
  <si>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</si>
  <si>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</si>
  <si>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</si>
  <si>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</si>
  <si>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</si>
  <si>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</si>
  <si>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</si>
  <si>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</si>
  <si>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</si>
  <si>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</si>
  <si>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</si>
  <si>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</si>
  <si>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</si>
  <si>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</si>
  <si>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</si>
  <si>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</si>
  <si>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</si>
  <si>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</si>
  <si>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</si>
  <si>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</si>
  <si>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</si>
  <si>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</si>
  <si>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</si>
  <si>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</si>
  <si>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</si>
  <si>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</si>
  <si>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</si>
  <si>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</si>
  <si>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</si>
  <si>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</si>
  <si>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</si>
  <si>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</si>
  <si>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</si>
  <si>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</si>
  <si>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</si>
  <si>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</si>
  <si>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</si>
  <si>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</si>
  <si>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</si>
  <si>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</si>
  <si>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</si>
  <si>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</si>
  <si>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</si>
  <si>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</si>
  <si>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</si>
  <si>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</si>
  <si>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</si>
  <si>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</si>
  <si>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</si>
  <si>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</si>
  <si>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</si>
  <si>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</si>
  <si>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</si>
  <si>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</si>
  <si>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</si>
  <si>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</si>
  <si>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</si>
  <si>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</si>
  <si>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</si>
  <si>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</si>
  <si>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</si>
  <si>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</si>
  <si>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</si>
  <si>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</si>
  <si>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</si>
  <si>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</si>
  <si>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</si>
  <si>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</si>
  <si>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</si>
  <si>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</si>
  <si>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</si>
  <si>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</si>
  <si>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</si>
  <si>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</si>
  <si>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</si>
  <si>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</si>
  <si>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</si>
  <si>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</si>
  <si>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</si>
  <si>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</si>
  <si>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</si>
  <si>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</si>
  <si>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</si>
  <si>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</si>
  <si>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</si>
  <si>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</si>
  <si>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</si>
  <si>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</si>
  <si>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</si>
  <si>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</si>
  <si>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</si>
  <si>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</si>
  <si>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</si>
  <si>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</si>
  <si>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</si>
  <si>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</si>
  <si>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</si>
  <si>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</si>
  <si>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</si>
  <si>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</si>
  <si>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</si>
  <si>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</si>
  <si>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</si>
  <si>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</si>
  <si>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</si>
  <si>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</si>
  <si>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</si>
  <si>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</si>
  <si>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</si>
  <si>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</si>
  <si>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</si>
  <si>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</si>
  <si>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</si>
  <si>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</si>
  <si>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</si>
  <si>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</si>
  <si>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</si>
  <si>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</si>
  <si>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</si>
  <si>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</si>
  <si>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</si>
  <si>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</si>
  <si>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</si>
  <si>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</si>
  <si>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</si>
  <si>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</si>
  <si>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</si>
  <si>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</si>
  <si>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</si>
  <si>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</si>
  <si>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</si>
  <si>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</si>
  <si>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</si>
  <si>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</si>
  <si>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</si>
  <si>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</si>
  <si>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</si>
  <si>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</si>
  <si>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</si>
  <si>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</si>
  <si>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</si>
  <si>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</si>
  <si>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</si>
  <si>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</si>
  <si>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</si>
  <si>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</si>
  <si>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</si>
  <si>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</si>
  <si>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</si>
  <si>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</si>
  <si>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</si>
  <si>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</si>
  <si>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</si>
  <si>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</si>
  <si>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</si>
  <si>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</si>
  <si>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</si>
  <si>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</si>
  <si>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</si>
  <si>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</si>
  <si>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</si>
  <si>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</si>
  <si>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</si>
  <si>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</si>
  <si>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</si>
  <si>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</si>
  <si>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</si>
  <si>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</si>
  <si>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</si>
  <si>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</si>
  <si>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</si>
  <si>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</si>
  <si>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</si>
  <si>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</si>
  <si>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</si>
  <si>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</si>
  <si>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</si>
  <si>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</si>
  <si>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</si>
  <si>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</si>
  <si>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</si>
  <si>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</si>
  <si>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</si>
  <si>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</si>
  <si>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</si>
  <si>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</si>
  <si>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</si>
  <si>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</si>
  <si>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</si>
  <si>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</si>
  <si>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</si>
  <si>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</si>
  <si>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</si>
  <si>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</si>
  <si>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</si>
  <si>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</si>
  <si>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</si>
  <si>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</si>
  <si>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</si>
  <si>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</si>
  <si>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</si>
  <si>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</si>
  <si>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</si>
  <si>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</si>
  <si>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</si>
  <si>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</si>
  <si>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</si>
  <si>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</si>
  <si>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</si>
  <si>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</si>
  <si>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</si>
  <si>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</si>
  <si>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</si>
  <si>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</si>
  <si>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</si>
  <si>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</si>
  <si>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</si>
  <si>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</si>
  <si>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</si>
  <si>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</si>
  <si>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</si>
  <si>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</si>
  <si>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</si>
  <si>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</si>
  <si>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</si>
  <si>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</si>
  <si>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</si>
  <si>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</si>
  <si>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</si>
  <si>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</si>
  <si>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</si>
  <si>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</si>
  <si>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</si>
  <si>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</si>
  <si>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</si>
  <si>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</si>
  <si>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</si>
  <si>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</si>
  <si>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</si>
  <si>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</si>
  <si>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</si>
  <si>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</si>
  <si>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</si>
  <si>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</si>
  <si>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</si>
  <si>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</si>
  <si>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</si>
  <si>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</si>
  <si>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</si>
  <si>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</si>
  <si>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</si>
  <si>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</si>
  <si>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</si>
  <si>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</si>
  <si>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</si>
  <si>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</si>
  <si>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</si>
  <si>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</si>
  <si>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</si>
  <si>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</si>
  <si>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</si>
  <si>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</si>
  <si>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</si>
  <si>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</si>
  <si>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</si>
  <si>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</si>
  <si>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</si>
  <si>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</si>
  <si>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</si>
  <si>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</si>
  <si>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</si>
  <si>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</si>
  <si>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</si>
  <si>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</si>
  <si>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</si>
  <si>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</si>
  <si>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</si>
  <si>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</si>
  <si>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</si>
  <si>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</si>
  <si>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</si>
  <si>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</si>
  <si>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</si>
  <si>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</si>
  <si>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</si>
  <si>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</si>
  <si>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</si>
  <si>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</si>
  <si>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</si>
  <si>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</si>
  <si>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</si>
  <si>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</si>
  <si>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</si>
  <si>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</si>
  <si>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</si>
  <si>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</si>
  <si>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</si>
  <si>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</si>
  <si>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</si>
  <si>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</si>
  <si>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</si>
  <si>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</si>
  <si>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</si>
  <si>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</si>
  <si>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</si>
  <si>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</si>
  <si>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</si>
  <si>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</si>
  <si>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</si>
  <si>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</si>
  <si>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</si>
  <si>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</si>
  <si>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</si>
  <si>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</si>
  <si>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</si>
  <si>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</si>
  <si>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</si>
  <si>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</si>
  <si>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</si>
  <si>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</si>
  <si>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</si>
  <si>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</si>
  <si>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</si>
  <si>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</si>
  <si>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</si>
  <si>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</si>
  <si>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</si>
  <si>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</si>
  <si>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</si>
  <si>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</si>
  <si>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</si>
  <si>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</si>
  <si>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</si>
  <si>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</si>
  <si>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</si>
  <si>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</si>
  <si>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</si>
  <si>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</si>
  <si>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</si>
  <si>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</si>
  <si>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</si>
  <si>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</si>
  <si>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</si>
  <si>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</si>
  <si>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</si>
  <si>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</si>
  <si>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</si>
  <si>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</si>
  <si>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</si>
  <si>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</si>
  <si>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</si>
  <si>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</si>
  <si>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</si>
  <si>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</si>
  <si>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</si>
  <si>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</si>
  <si>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</si>
  <si>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</si>
  <si>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</si>
  <si>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</si>
  <si>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</si>
  <si>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</si>
  <si>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</si>
  <si>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</si>
  <si>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</si>
  <si>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</si>
  <si>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</si>
  <si>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</si>
  <si>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</si>
  <si>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</si>
  <si>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</si>
  <si>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</si>
  <si>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</si>
  <si>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</si>
  <si>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</si>
  <si>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</si>
  <si>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</si>
  <si>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</si>
  <si>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</si>
  <si>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</si>
  <si>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</si>
  <si>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</si>
  <si>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</si>
  <si>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</si>
  <si>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</si>
  <si>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</si>
  <si>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</si>
  <si>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</si>
  <si>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</si>
  <si>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</si>
  <si>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</si>
  <si>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</si>
  <si>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</si>
  <si>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</si>
  <si>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</si>
  <si>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</si>
  <si>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</si>
  <si>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</si>
  <si>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</si>
  <si>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</si>
  <si>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</si>
  <si>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</si>
  <si>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</si>
  <si>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</si>
  <si>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</si>
  <si>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</si>
  <si>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</si>
  <si>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</si>
  <si>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</si>
  <si>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</si>
  <si>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</si>
  <si>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</si>
  <si>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</si>
  <si>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</si>
  <si>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</si>
  <si>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</si>
  <si>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</si>
  <si>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</si>
  <si>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</si>
  <si>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</si>
  <si>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</si>
  <si>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</si>
  <si>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</si>
  <si>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</si>
  <si>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</si>
  <si>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</si>
  <si>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</si>
  <si>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</si>
  <si>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</si>
  <si>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</si>
  <si>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</si>
  <si>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</si>
  <si>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</si>
  <si>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</si>
  <si>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</si>
  <si>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</si>
  <si>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</si>
  <si>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</si>
  <si>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</si>
  <si>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</si>
  <si>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</si>
  <si>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</si>
  <si>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</si>
  <si>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</si>
  <si>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</si>
  <si>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</si>
  <si>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</si>
  <si>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</si>
  <si>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</si>
  <si>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</si>
  <si>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</si>
  <si>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</si>
  <si>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</si>
  <si>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</si>
  <si>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</si>
  <si>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</si>
  <si>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</si>
  <si>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</si>
  <si>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</si>
  <si>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</si>
  <si>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</si>
  <si>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</si>
  <si>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</si>
  <si>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</si>
  <si>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</si>
  <si>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</si>
  <si>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</si>
  <si>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</si>
  <si>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</si>
  <si>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</si>
  <si>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</si>
  <si>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</si>
  <si>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</si>
  <si>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</si>
  <si>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</si>
  <si>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</si>
  <si>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</si>
  <si>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</si>
  <si>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</si>
  <si>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</si>
  <si>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</si>
  <si>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</si>
  <si>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</si>
  <si>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</si>
  <si>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</si>
  <si>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</si>
  <si>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</si>
  <si>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</si>
  <si>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</si>
  <si>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</si>
  <si>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</si>
  <si>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</si>
  <si>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</si>
  <si>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</si>
  <si>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</si>
  <si>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</si>
  <si>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</si>
  <si>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</si>
  <si>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</si>
  <si>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</si>
  <si>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</si>
  <si>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</si>
  <si>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</si>
  <si>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</si>
  <si>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</si>
  <si>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</si>
  <si>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</si>
  <si>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</si>
  <si>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</si>
  <si>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</si>
  <si>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</si>
  <si>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</si>
  <si>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</si>
  <si>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</si>
  <si>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</si>
  <si>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</si>
  <si>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</si>
  <si>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</si>
  <si>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</si>
  <si>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</si>
  <si>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</si>
  <si>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</si>
  <si>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</si>
  <si>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</si>
  <si>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</si>
  <si>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</si>
  <si>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</si>
  <si>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</si>
  <si>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</si>
  <si>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</si>
  <si>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</si>
  <si>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</si>
  <si>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</si>
  <si>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</si>
  <si>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</si>
  <si>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</si>
  <si>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</si>
  <si>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</si>
  <si>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</si>
  <si>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</si>
  <si>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</si>
  <si>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</si>
  <si>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</si>
  <si>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</si>
  <si>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</si>
  <si>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</si>
  <si>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</si>
  <si>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</si>
  <si>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</si>
  <si>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</si>
  <si>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</si>
  <si>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</si>
  <si>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</si>
  <si>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</si>
  <si>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</si>
  <si>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</si>
  <si>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</si>
  <si>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</si>
  <si>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</si>
  <si>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</si>
  <si>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</si>
  <si>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</si>
  <si>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</si>
  <si>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</si>
  <si>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</si>
  <si>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</si>
  <si>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</si>
  <si>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</si>
  <si>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</si>
  <si>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</si>
  <si>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</si>
  <si>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</si>
  <si>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</si>
  <si>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</si>
  <si>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</si>
  <si>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</si>
  <si>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</si>
  <si>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</si>
  <si>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</si>
  <si>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</si>
  <si>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</si>
  <si>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</si>
  <si>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</si>
  <si>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</si>
  <si>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</si>
  <si>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</si>
  <si>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</si>
  <si>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</si>
  <si>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</si>
  <si>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</si>
  <si>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</si>
  <si>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</si>
  <si>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</si>
  <si>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</si>
  <si>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</si>
  <si>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</si>
  <si>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</si>
  <si>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</si>
  <si>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</si>
  <si>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</si>
  <si>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</si>
  <si>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</si>
  <si>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</si>
  <si>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</si>
  <si>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</si>
  <si>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</si>
  <si>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</si>
  <si>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</si>
  <si>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</si>
  <si>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</si>
  <si>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</si>
  <si>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</si>
  <si>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</si>
  <si>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</si>
  <si>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</si>
  <si>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</si>
  <si>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</si>
  <si>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</si>
  <si>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</si>
  <si>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</si>
  <si>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</si>
  <si>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</si>
  <si>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</si>
  <si>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</si>
  <si>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</si>
  <si>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</si>
  <si>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</si>
  <si>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</si>
  <si>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</si>
  <si>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</si>
  <si>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</si>
  <si>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</si>
  <si>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</si>
  <si>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</si>
  <si>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</si>
  <si>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</si>
  <si>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</si>
  <si>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</si>
  <si>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</si>
  <si>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</si>
  <si>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</si>
  <si>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</si>
  <si>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</si>
  <si>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</si>
  <si>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</si>
  <si>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</si>
  <si>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</si>
  <si>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</si>
  <si>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</si>
  <si>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</si>
  <si>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</si>
  <si>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</si>
  <si>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</si>
  <si>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</si>
  <si>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</si>
  <si>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</si>
  <si>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</si>
  <si>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</si>
  <si>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</si>
  <si>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</si>
  <si>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</si>
  <si>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</si>
  <si>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</si>
  <si>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</si>
  <si>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</si>
  <si>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</si>
  <si>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</si>
  <si>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</si>
  <si>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</si>
  <si>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</si>
  <si>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</si>
  <si>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</si>
  <si>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</si>
  <si>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</si>
  <si>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</si>
  <si>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</si>
  <si>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</si>
  <si>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</si>
  <si>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</si>
  <si>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</si>
  <si>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</si>
  <si>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</si>
  <si>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</si>
  <si>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</si>
  <si>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</si>
  <si>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</si>
  <si>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</si>
  <si>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</si>
  <si>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</si>
  <si>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</si>
  <si>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</si>
  <si>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</si>
  <si>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</si>
  <si>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</si>
  <si>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</si>
  <si>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</si>
  <si>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</si>
  <si>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</si>
  <si>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</si>
  <si>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</si>
  <si>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</si>
  <si>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</si>
  <si>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</si>
  <si>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</si>
  <si>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</si>
  <si>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</si>
  <si>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</si>
  <si>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</si>
  <si>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</si>
  <si>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</si>
  <si>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</si>
  <si>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</si>
  <si>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</si>
  <si>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</si>
  <si>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</si>
  <si>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</si>
  <si>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</si>
  <si>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</si>
  <si>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</si>
  <si>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</si>
  <si>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</si>
  <si>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</si>
  <si>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</si>
  <si>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</si>
  <si>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</si>
  <si>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</si>
  <si>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</si>
  <si>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</si>
  <si>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</si>
  <si>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</si>
  <si>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</si>
  <si>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</si>
  <si>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</si>
  <si>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</si>
  <si>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</si>
  <si>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</si>
  <si>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</si>
  <si>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</si>
  <si>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</si>
  <si>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</si>
  <si>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</si>
  <si>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</si>
  <si>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</si>
  <si>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</si>
  <si>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</si>
  <si>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</si>
  <si>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</si>
  <si>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</si>
  <si>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</si>
  <si>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</si>
  <si>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</si>
  <si>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</si>
  <si>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</si>
  <si>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</si>
  <si>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</si>
  <si>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</si>
  <si>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</si>
  <si>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</si>
  <si>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</si>
  <si>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</si>
  <si>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</si>
  <si>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</si>
  <si>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</si>
  <si>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</si>
  <si>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</si>
  <si>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</si>
  <si>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</si>
  <si>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</si>
  <si>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</si>
  <si>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</si>
  <si>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</si>
  <si>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</si>
  <si>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</si>
  <si>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</si>
  <si>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</si>
  <si>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</si>
  <si>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</si>
  <si>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</si>
  <si>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</si>
  <si>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</si>
  <si>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</si>
  <si>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</si>
  <si>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</si>
  <si>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</si>
  <si>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</si>
  <si>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</si>
  <si>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</si>
  <si>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</si>
  <si>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</si>
  <si>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</si>
  <si>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</si>
  <si>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</si>
  <si>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</si>
  <si>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</si>
  <si>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</si>
  <si>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</si>
  <si>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</si>
  <si>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</si>
  <si>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</si>
  <si>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</si>
  <si>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</si>
  <si>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</si>
  <si>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</si>
  <si>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</si>
  <si>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</si>
  <si>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</si>
  <si>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</si>
  <si>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</si>
  <si>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</si>
  <si>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</si>
  <si>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</si>
  <si>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</si>
  <si>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</si>
  <si>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</si>
  <si>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</si>
  <si>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</si>
  <si>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</si>
  <si>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</si>
  <si>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</si>
  <si>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</si>
  <si>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</si>
  <si>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</si>
  <si>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</si>
  <si>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</si>
  <si>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</si>
  <si>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</si>
  <si>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</si>
  <si>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</si>
  <si>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</si>
  <si>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</si>
  <si>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</si>
  <si>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</si>
  <si>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</si>
  <si>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</si>
  <si>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</si>
  <si>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</si>
  <si>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</si>
  <si>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</si>
  <si>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</si>
  <si>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</si>
  <si>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</si>
  <si>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</si>
  <si>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</si>
  <si>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</si>
  <si>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</si>
  <si>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</si>
  <si>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</si>
  <si>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</si>
  <si>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</si>
  <si>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</si>
  <si>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</si>
  <si>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</si>
  <si>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</si>
  <si>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</si>
  <si>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</si>
  <si>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</si>
  <si>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</si>
  <si>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</si>
  <si>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</si>
  <si>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</si>
  <si>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</si>
  <si>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</si>
  <si>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</si>
  <si>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</si>
  <si>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</si>
  <si>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</si>
  <si>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</si>
  <si>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</si>
  <si>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</si>
  <si>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</si>
  <si>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</si>
  <si>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</si>
  <si>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</si>
  <si>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</si>
  <si>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</si>
  <si>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</si>
  <si>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</si>
  <si>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</si>
  <si>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</si>
  <si>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</si>
  <si>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</si>
  <si>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</si>
  <si>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</si>
  <si>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</si>
  <si>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</si>
  <si>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</si>
  <si>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</si>
  <si>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</si>
  <si>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</si>
  <si>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</si>
  <si>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</si>
  <si>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</si>
  <si>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</si>
  <si>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</si>
  <si>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</si>
  <si>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</si>
  <si>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</si>
  <si>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</si>
  <si>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</si>
  <si>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</si>
  <si>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</si>
  <si>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</si>
  <si>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</si>
  <si>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</si>
  <si>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</si>
  <si>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</si>
  <si>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</si>
  <si>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</si>
  <si>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</si>
  <si>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</si>
  <si>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</si>
  <si>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</si>
  <si>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</si>
  <si>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</si>
  <si>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</si>
  <si>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</si>
  <si>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</si>
  <si>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</si>
  <si>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</si>
  <si>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</si>
  <si>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</si>
  <si>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</si>
  <si>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</si>
  <si>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</si>
  <si>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</si>
  <si>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</si>
  <si>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</si>
  <si>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</si>
  <si>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</si>
  <si>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</si>
  <si>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</si>
  <si>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</si>
  <si>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</si>
  <si>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</si>
  <si>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</si>
  <si>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</si>
  <si>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</si>
  <si>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</si>
  <si>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</si>
  <si>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</si>
  <si>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</si>
  <si>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</si>
  <si>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</si>
  <si>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</si>
  <si>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</si>
  <si>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</si>
  <si>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</si>
  <si>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</si>
  <si>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</si>
  <si>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</si>
  <si>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</si>
  <si>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</si>
  <si>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</si>
  <si>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</si>
  <si>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</si>
  <si>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</si>
  <si>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</si>
  <si>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</si>
  <si>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</si>
  <si>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</si>
  <si>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</si>
  <si>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</si>
  <si>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</si>
  <si>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</si>
  <si>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</si>
  <si>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</si>
  <si>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</si>
  <si>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</si>
  <si>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</si>
  <si>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</si>
  <si>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</si>
  <si>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</si>
  <si>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</si>
  <si>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</si>
  <si>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</si>
  <si>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</si>
  <si>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</si>
  <si>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</si>
  <si>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</si>
  <si>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</si>
  <si>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</si>
  <si>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</si>
  <si>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</si>
  <si>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</si>
  <si>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</si>
  <si>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</si>
  <si>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</si>
  <si>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</si>
  <si>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</si>
  <si>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</si>
  <si>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</si>
  <si>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</si>
  <si>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</si>
  <si>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</si>
  <si>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</si>
  <si>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</si>
  <si>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</si>
  <si>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</si>
  <si>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</si>
  <si>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</si>
  <si>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</si>
  <si>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</si>
  <si>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</si>
  <si>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</si>
  <si>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</si>
  <si>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</si>
  <si>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</si>
  <si>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</si>
  <si>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</si>
  <si>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</si>
  <si>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</si>
  <si>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</si>
  <si>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</si>
  <si>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</si>
  <si>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</si>
  <si>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</si>
  <si>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</si>
  <si>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</si>
  <si>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</si>
  <si>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</si>
  <si>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</si>
  <si>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</si>
  <si>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</si>
  <si>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</si>
  <si>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</si>
  <si>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</si>
  <si>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</si>
  <si>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</si>
  <si>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</si>
  <si>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</si>
  <si>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</si>
  <si>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</si>
  <si>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</si>
  <si>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</si>
  <si>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</si>
  <si>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</si>
  <si>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</si>
  <si>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</si>
  <si>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</si>
  <si>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</si>
  <si>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</si>
  <si>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</si>
  <si>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</si>
  <si>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</si>
  <si>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</si>
  <si>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</si>
  <si>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</si>
  <si>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</si>
  <si>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</si>
  <si>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</si>
  <si>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</si>
  <si>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</si>
  <si>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</si>
  <si>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</si>
  <si>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</si>
  <si>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</si>
  <si>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</si>
  <si>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</si>
  <si>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</si>
  <si>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</si>
  <si>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</si>
  <si>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</si>
  <si>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</si>
  <si>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</si>
  <si>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</si>
  <si>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</si>
  <si>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</si>
  <si>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</si>
  <si>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</si>
  <si>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</si>
  <si>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</si>
  <si>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</si>
  <si>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</si>
  <si>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</si>
  <si>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</si>
  <si>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</si>
  <si>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</si>
  <si>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</si>
  <si>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</si>
  <si>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</si>
  <si>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</si>
  <si>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</si>
  <si>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</si>
  <si>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</si>
  <si>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</si>
  <si>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</si>
  <si>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</si>
  <si>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</si>
  <si>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</si>
  <si>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</si>
  <si>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</si>
  <si>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</si>
  <si>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</si>
  <si>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</si>
  <si>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</si>
  <si>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</si>
  <si>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</si>
  <si>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</si>
  <si>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</si>
  <si>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</si>
  <si>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</si>
  <si>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</si>
  <si>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</si>
  <si>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</si>
  <si>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</si>
  <si>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</si>
  <si>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</si>
  <si>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</si>
  <si>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</si>
  <si>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</si>
  <si>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</si>
  <si>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</si>
  <si>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</si>
  <si>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</si>
  <si>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</si>
  <si>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</si>
  <si>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</si>
  <si>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</si>
  <si>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</si>
  <si>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</si>
  <si>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</si>
  <si>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</si>
  <si>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</si>
  <si>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</si>
  <si>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</si>
  <si>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</si>
  <si>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</si>
  <si>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</si>
  <si>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</si>
  <si>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</si>
  <si>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</si>
  <si>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</si>
  <si>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</si>
  <si>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</si>
  <si>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</si>
  <si>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</si>
  <si>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</si>
  <si>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</si>
  <si>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</si>
  <si>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</si>
  <si>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</si>
  <si>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</si>
  <si>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</si>
  <si>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</si>
  <si>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</si>
  <si>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</si>
  <si>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</si>
  <si>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</si>
  <si>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</si>
  <si>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</si>
  <si>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</si>
  <si>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</si>
  <si>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</si>
  <si>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</si>
  <si>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</si>
  <si>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</si>
  <si>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</si>
  <si>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</si>
  <si>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</si>
  <si>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</si>
  <si>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</si>
  <si>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</si>
  <si>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</si>
  <si>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</si>
  <si>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</si>
  <si>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</si>
  <si>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</si>
  <si>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</si>
  <si>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</si>
  <si>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</si>
  <si>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</si>
  <si>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</si>
  <si>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</si>
  <si>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</si>
  <si>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</si>
  <si>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</si>
  <si>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</si>
  <si>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</si>
  <si>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</si>
  <si>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</si>
  <si>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</si>
  <si>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</si>
  <si>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</si>
  <si>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</si>
  <si>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</si>
  <si>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</si>
  <si>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</si>
  <si>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</si>
  <si>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</si>
  <si>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</si>
  <si>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</si>
  <si>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</si>
  <si>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</si>
  <si>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</si>
  <si>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</si>
  <si>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</si>
  <si>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</si>
  <si>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</si>
  <si>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</si>
  <si>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</si>
  <si>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</si>
  <si>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</si>
  <si>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</si>
  <si>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</si>
  <si>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</si>
  <si>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</si>
  <si>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</si>
  <si>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</si>
  <si>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</si>
  <si>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</si>
  <si>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</si>
  <si>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</si>
  <si>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</si>
  <si>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</si>
  <si>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</si>
  <si>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</si>
  <si>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</si>
  <si>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</si>
  <si>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</si>
  <si>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</si>
  <si>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</si>
  <si>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</si>
  <si>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</si>
  <si>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</si>
  <si>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</si>
  <si>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</si>
  <si>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</si>
  <si>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</si>
  <si>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</si>
  <si>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</si>
  <si>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</si>
  <si>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</si>
  <si>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</si>
  <si>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</si>
  <si>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</si>
  <si>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</si>
  <si>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</si>
  <si>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</si>
  <si>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</si>
  <si>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</si>
  <si>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</si>
  <si>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</si>
  <si>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</si>
  <si>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</si>
  <si>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</si>
  <si>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</si>
  <si>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</si>
  <si>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</si>
  <si>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</si>
  <si>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</si>
  <si>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</si>
  <si>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</si>
  <si>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</si>
  <si>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</si>
  <si>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</si>
  <si>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</si>
  <si>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</si>
  <si>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</si>
  <si>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</si>
  <si>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</si>
  <si>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</si>
  <si>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</si>
  <si>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</si>
  <si>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</si>
  <si>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</si>
  <si>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</si>
  <si>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</si>
  <si>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</si>
  <si>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</si>
  <si>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</si>
  <si>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</si>
  <si>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</si>
  <si>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</si>
  <si>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</si>
  <si>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</si>
  <si>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</si>
  <si>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</si>
  <si>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</si>
  <si>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</si>
  <si>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</si>
  <si>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</si>
  <si>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</si>
  <si>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</si>
  <si>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</si>
  <si>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</si>
  <si>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</si>
  <si>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</si>
  <si>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</si>
  <si>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</si>
  <si>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</si>
  <si>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</si>
  <si>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</si>
  <si>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</si>
  <si>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</si>
  <si>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</si>
  <si>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</si>
  <si>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</si>
  <si>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</si>
  <si>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</si>
  <si>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</si>
  <si>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</si>
  <si>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</si>
  <si>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</si>
  <si>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</si>
  <si>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</si>
  <si>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</si>
  <si>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</si>
  <si>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</si>
  <si>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</si>
  <si>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</si>
  <si>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</si>
  <si>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</si>
  <si>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</si>
  <si>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</si>
  <si>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</si>
  <si>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</si>
  <si>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</si>
  <si>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</si>
  <si>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</si>
  <si>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</si>
  <si>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</si>
  <si>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</si>
  <si>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</si>
  <si>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</si>
  <si>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</si>
  <si>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</si>
  <si>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</si>
  <si>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</si>
  <si>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</si>
  <si>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</si>
  <si>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</si>
  <si>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</si>
  <si>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</si>
  <si>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</si>
  <si>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</si>
  <si>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</si>
  <si>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</si>
  <si>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</si>
  <si>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</si>
  <si>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</si>
  <si>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</si>
  <si>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</si>
  <si>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</si>
  <si>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</si>
  <si>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</si>
  <si>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</si>
  <si>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</si>
  <si>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</si>
  <si>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</si>
  <si>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</si>
  <si>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</si>
  <si>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</si>
  <si>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</si>
  <si>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</si>
  <si>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</si>
  <si>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</si>
  <si>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</si>
  <si>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</si>
  <si>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</si>
  <si>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</si>
  <si>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</si>
  <si>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</si>
  <si>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</si>
  <si>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</si>
  <si>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</si>
  <si>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</si>
  <si>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</si>
  <si>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</si>
  <si>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</si>
  <si>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</si>
  <si>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房地产抵押价值</t>
  </si>
  <si>
    <t>抵押</t>
  </si>
  <si>
    <t>其他：</t>
  </si>
  <si>
    <t>企业</t>
  </si>
  <si>
    <t>出让</t>
  </si>
  <si>
    <t>商业项目</t>
  </si>
  <si>
    <t>在建</t>
  </si>
  <si>
    <t>通路</t>
  </si>
  <si>
    <t>通电</t>
  </si>
  <si>
    <t>通上水</t>
  </si>
  <si>
    <t>通下水</t>
  </si>
  <si>
    <t>燃气</t>
  </si>
  <si>
    <r>
      <t xml:space="preserve">三亚海棠湾项目经济技术指标表
                                  </t>
    </r>
    <r>
      <rPr>
        <b/>
        <sz val="12"/>
        <rFont val="宋体"/>
        <family val="3"/>
        <charset val="134"/>
      </rPr>
      <t>单位：平方米</t>
    </r>
    <phoneticPr fontId="140" type="noConversion"/>
  </si>
  <si>
    <t>期数</t>
  </si>
  <si>
    <t>证号</t>
  </si>
  <si>
    <t>国土证面积</t>
  </si>
  <si>
    <t>用地规模</t>
  </si>
  <si>
    <t>抵押状态</t>
  </si>
  <si>
    <t>业态</t>
  </si>
  <si>
    <t>临规</t>
  </si>
  <si>
    <t>施工证</t>
  </si>
  <si>
    <t>单栋建面</t>
  </si>
  <si>
    <t>层数</t>
  </si>
  <si>
    <t>高度</t>
  </si>
  <si>
    <t>户/套数</t>
  </si>
  <si>
    <t>建设规模</t>
  </si>
  <si>
    <t>其中：地上总建面</t>
  </si>
  <si>
    <t>计容面积</t>
  </si>
  <si>
    <t>实际计容面积</t>
  </si>
  <si>
    <t>地下建筑面积</t>
  </si>
  <si>
    <t>一期</t>
  </si>
  <si>
    <t>三土房（2014）字第13968号</t>
  </si>
  <si>
    <t>售罄
不可抵押</t>
  </si>
  <si>
    <t>低层独栋酒店A型</t>
  </si>
  <si>
    <t>√</t>
  </si>
  <si>
    <t>地上1层</t>
  </si>
  <si>
    <t>低层独栋酒店B型</t>
  </si>
  <si>
    <t>低层独栋酒店C型</t>
  </si>
  <si>
    <t>一期合计</t>
  </si>
  <si>
    <t>一期工审意见【2014】158号小计+临规证</t>
  </si>
  <si>
    <t>二期</t>
  </si>
  <si>
    <t>三土房（2014）字第13969号</t>
  </si>
  <si>
    <t>抵押至
交行</t>
  </si>
  <si>
    <t>1栋酒店主楼</t>
  </si>
  <si>
    <t>地上28层（含部分架空层）</t>
  </si>
  <si>
    <t>321间客房
7间别墅</t>
  </si>
  <si>
    <t>大盘地下室</t>
  </si>
  <si>
    <t>地下3层</t>
  </si>
  <si>
    <t>二期合计</t>
  </si>
  <si>
    <t>二期工审意见【2015】135号小计+临规证</t>
  </si>
  <si>
    <t>三期</t>
  </si>
  <si>
    <t>三土房（2014）字第13970号</t>
  </si>
  <si>
    <t>未抵押</t>
  </si>
  <si>
    <t>85,46</t>
  </si>
  <si>
    <t>三期工审意见【2015】146号小计</t>
  </si>
  <si>
    <t>文化荟（酒店配套活动中心）</t>
  </si>
  <si>
    <t>地上1层，地下1层</t>
  </si>
  <si>
    <t>地下车道</t>
  </si>
  <si>
    <t>设备用房</t>
  </si>
  <si>
    <t>三期合计</t>
  </si>
  <si>
    <t>三期工审意见【2015】146号合计</t>
  </si>
  <si>
    <t>四期</t>
  </si>
  <si>
    <t>三土房（2014）字第13969号
三土房（2014）字第13970号</t>
  </si>
  <si>
    <t>高层酒店主楼（1栋）</t>
  </si>
  <si>
    <t>地上32层，地下3层</t>
  </si>
  <si>
    <t>低层独栋酒店B1型</t>
  </si>
  <si>
    <t>低层独栋酒店C1型</t>
  </si>
  <si>
    <t>低层独栋酒店D型</t>
  </si>
  <si>
    <t>地上2层</t>
  </si>
  <si>
    <t>低层独栋酒店E型</t>
  </si>
  <si>
    <t>低层独栋酒店F型</t>
  </si>
  <si>
    <t>低层独栋酒店大地下室</t>
  </si>
  <si>
    <t>地下1层</t>
  </si>
  <si>
    <t>低层独栋酒店小计</t>
  </si>
  <si>
    <t>四期小计</t>
  </si>
  <si>
    <r>
      <rPr>
        <b/>
        <sz val="10"/>
        <rFont val="宋体"/>
        <family val="3"/>
        <charset val="134"/>
      </rPr>
      <t>四期三服园管委【</t>
    </r>
    <r>
      <rPr>
        <b/>
        <sz val="10"/>
        <rFont val="宋体"/>
        <family val="3"/>
        <charset val="134"/>
        <scheme val="minor"/>
      </rPr>
      <t>2019</t>
    </r>
    <r>
      <rPr>
        <b/>
        <sz val="10"/>
        <rFont val="宋体"/>
        <family val="3"/>
        <charset val="134"/>
      </rPr>
      <t>】</t>
    </r>
    <r>
      <rPr>
        <b/>
        <sz val="10"/>
        <rFont val="宋体"/>
        <family val="3"/>
        <charset val="134"/>
        <scheme val="minor"/>
      </rPr>
      <t>78号+临规证</t>
    </r>
  </si>
  <si>
    <t>项目合计</t>
  </si>
  <si>
    <t>抵押房号表</t>
  </si>
  <si>
    <t>序号</t>
  </si>
  <si>
    <t>房号</t>
  </si>
  <si>
    <t>房屋用途</t>
  </si>
  <si>
    <t>建筑结构</t>
  </si>
  <si>
    <t>户型</t>
  </si>
  <si>
    <t>建筑面积（㎡）</t>
  </si>
  <si>
    <t>低层独栋酒店</t>
  </si>
  <si>
    <t>框架</t>
  </si>
  <si>
    <t>F</t>
  </si>
  <si>
    <t>D</t>
  </si>
  <si>
    <t>E</t>
  </si>
  <si>
    <t>地上</t>
    <phoneticPr fontId="140" type="noConversion"/>
  </si>
  <si>
    <t>地下</t>
    <phoneticPr fontId="140" type="noConversion"/>
  </si>
  <si>
    <t>A户型</t>
    <phoneticPr fontId="140" type="noConversion"/>
  </si>
  <si>
    <t>B户型</t>
    <phoneticPr fontId="140" type="noConversion"/>
  </si>
  <si>
    <t>C户型</t>
    <phoneticPr fontId="140" type="noConversion"/>
  </si>
  <si>
    <t>否</t>
  </si>
  <si>
    <t>地上</t>
  </si>
  <si>
    <t>地下</t>
  </si>
  <si>
    <t>是</t>
  </si>
  <si>
    <t>高层酒店</t>
    <phoneticPr fontId="3" type="noConversion"/>
  </si>
  <si>
    <t>低层独栋酒店B1型</t>
    <phoneticPr fontId="3" type="noConversion"/>
  </si>
  <si>
    <t>在二期土地上</t>
    <phoneticPr fontId="3" type="noConversion"/>
  </si>
  <si>
    <t>低层独栋酒店C1型</t>
    <phoneticPr fontId="3" type="noConversion"/>
  </si>
  <si>
    <t>低层独栋酒店D、E、F型</t>
    <phoneticPr fontId="3" type="noConversion"/>
  </si>
  <si>
    <t>别墅</t>
  </si>
  <si>
    <t>别墅</t>
    <phoneticPr fontId="7" type="noConversion"/>
  </si>
  <si>
    <t>成本法</t>
  </si>
  <si>
    <t>假设开发法</t>
  </si>
  <si>
    <t>项目局部</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</si>
  <si>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</si>
  <si>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</si>
  <si>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</si>
  <si>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</si>
  <si>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</si>
  <si>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</si>
  <si>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</si>
  <si>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</si>
  <si>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</si>
  <si>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</si>
  <si>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</si>
  <si>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</si>
  <si>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</si>
  <si>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</si>
  <si>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</si>
  <si>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</si>
  <si>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海棠湾林旺片区控规F-1-3地块</t>
  </si>
  <si>
    <t>三亚市</t>
  </si>
  <si>
    <t>商业/办公用地</t>
  </si>
  <si>
    <t>小于或等于0.8</t>
  </si>
  <si>
    <t>挂牌</t>
  </si>
  <si>
    <t>旅馆用地</t>
  </si>
  <si>
    <t>2020-11-20</t>
  </si>
  <si>
    <t>家颐康(三亚)置业有限公司</t>
  </si>
  <si>
    <t>4星</t>
  </si>
  <si>
    <t>海棠湾林旺片区G-01-02地块</t>
  </si>
  <si>
    <t>小于或等于0.78</t>
  </si>
  <si>
    <t>2020-09-25</t>
  </si>
  <si>
    <t>大连海昌嘉德置业发展有限公司</t>
  </si>
  <si>
    <t>3星</t>
  </si>
  <si>
    <t>海棠湾B1片区控规B1-b2-1地块</t>
  </si>
  <si>
    <t>≤0.8</t>
  </si>
  <si>
    <t>2020-04-28</t>
  </si>
  <si>
    <t>齐瓦颂(三亚)养生社区开发有限公司</t>
  </si>
  <si>
    <t>海棠湾B1片区控规B1-b1-12地块</t>
  </si>
  <si>
    <t>≤0.6</t>
  </si>
  <si>
    <t>海棠湾B1片区控规B1-c1-25地块</t>
  </si>
  <si>
    <t>≤1.0</t>
  </si>
  <si>
    <t>海棠湾C3片区控规C-02地块</t>
  </si>
  <si>
    <t>小于或等于0.4</t>
  </si>
  <si>
    <t>2019-12-30</t>
  </si>
  <si>
    <t>三亚中交瀚星投资有限公司</t>
  </si>
  <si>
    <t>海棠湾C3片区控规C-03地块</t>
  </si>
  <si>
    <t>海棠湾B1片区控规B1-h2-2、B1-h2-3、B1-h2-7和B1-h2-8地块</t>
  </si>
  <si>
    <t>小于或等于0.6</t>
  </si>
  <si>
    <t>商务金融用地</t>
  </si>
  <si>
    <t>2019-12-27</t>
  </si>
  <si>
    <t>三亚富意文化发展有限公司</t>
  </si>
  <si>
    <t>海棠湾B1片区控规B1-C3-8地块</t>
  </si>
  <si>
    <t>小于或等于0.3</t>
  </si>
  <si>
    <t>2019-12-03</t>
  </si>
  <si>
    <t>海南京东智湾投资有限公司</t>
  </si>
  <si>
    <t>三亚市海棠湾C2片区控规D-04地块</t>
  </si>
  <si>
    <t>≤0.4</t>
  </si>
  <si>
    <t>其他商服用地</t>
  </si>
  <si>
    <t>2019-01-31</t>
  </si>
  <si>
    <t>三亚市海棠湾水稻国家公园开发有限公司</t>
  </si>
  <si>
    <t>三亚市海棠湾C2片区控规D-01地块</t>
  </si>
  <si>
    <t>≤0.66</t>
  </si>
  <si>
    <t>住宿餐饮用地</t>
  </si>
  <si>
    <t>2019-01-30</t>
  </si>
  <si>
    <t>三亚瑞兴水稻产业基地开发有限公司</t>
  </si>
  <si>
    <t>三亚市海棠湾C6片区控规A-2-11-2地块</t>
  </si>
  <si>
    <t>≤1.2</t>
  </si>
  <si>
    <t>2018-10-19</t>
  </si>
  <si>
    <t>海南鸿瓴置业有限公司</t>
  </si>
  <si>
    <t>海棠湾林旺片区控规F-1-1地块和F-2-1地块</t>
  </si>
  <si>
    <t>≤0.7</t>
  </si>
  <si>
    <t>2017-12-22</t>
  </si>
  <si>
    <t>太平人寿保险有限公司</t>
  </si>
  <si>
    <t>海棠湾C7片区控规C7-02-01、C7-02-02-a、C7-02-04地块</t>
  </si>
  <si>
    <t>≤0.48</t>
  </si>
  <si>
    <t>2016-12-30</t>
  </si>
  <si>
    <t>海南满天星旅业开发有限公司</t>
  </si>
  <si>
    <t>海棠湾A8片区A8-08-16、A8-08-19、A8-10-10地块</t>
  </si>
  <si>
    <t>2016-10-14</t>
  </si>
  <si>
    <t>三亚石药德中健康产业园有限公司</t>
  </si>
  <si>
    <t>商业</t>
    <phoneticPr fontId="31" type="noConversion"/>
  </si>
  <si>
    <t>一般</t>
  </si>
  <si>
    <t>好</t>
  </si>
  <si>
    <t>单位面积地价</t>
  </si>
  <si>
    <t>全部缴纳</t>
  </si>
  <si>
    <t>未包含在土地购买价格中</t>
  </si>
  <si>
    <t>已包含在土地取得成本中</t>
  </si>
  <si>
    <r>
      <t>1</t>
    </r>
    <r>
      <rPr>
        <sz val="10"/>
        <color indexed="8"/>
        <rFont val="宋体"/>
        <family val="3"/>
        <charset val="134"/>
      </rPr>
      <t>区</t>
    </r>
    <phoneticPr fontId="3" type="noConversion"/>
  </si>
  <si>
    <r>
      <t>2区</t>
    </r>
    <r>
      <rPr>
        <sz val="10"/>
        <color indexed="8"/>
        <rFont val="宋体"/>
        <family val="3"/>
        <charset val="134"/>
      </rPr>
      <t/>
    </r>
  </si>
  <si>
    <r>
      <t>3区</t>
    </r>
    <r>
      <rPr>
        <sz val="10"/>
        <color indexed="8"/>
        <rFont val="宋体"/>
        <family val="3"/>
        <charset val="134"/>
      </rPr>
      <t/>
    </r>
  </si>
  <si>
    <r>
      <t>4区</t>
    </r>
    <r>
      <rPr>
        <sz val="10"/>
        <color indexed="8"/>
        <rFont val="宋体"/>
        <family val="3"/>
        <charset val="134"/>
      </rPr>
      <t/>
    </r>
  </si>
  <si>
    <r>
      <t>5区</t>
    </r>
    <r>
      <rPr>
        <sz val="10"/>
        <color indexed="8"/>
        <rFont val="宋体"/>
        <family val="3"/>
        <charset val="134"/>
      </rPr>
      <t/>
    </r>
  </si>
  <si>
    <r>
      <t>6区</t>
    </r>
    <r>
      <rPr>
        <sz val="10"/>
        <color indexed="8"/>
        <rFont val="宋体"/>
        <family val="3"/>
        <charset val="134"/>
      </rPr>
      <t/>
    </r>
  </si>
  <si>
    <r>
      <t>7区</t>
    </r>
    <r>
      <rPr>
        <sz val="10"/>
        <color indexed="8"/>
        <rFont val="宋体"/>
        <family val="3"/>
        <charset val="134"/>
      </rPr>
      <t/>
    </r>
  </si>
  <si>
    <r>
      <t>8区</t>
    </r>
    <r>
      <rPr>
        <sz val="10"/>
        <color indexed="8"/>
        <rFont val="宋体"/>
        <family val="3"/>
        <charset val="134"/>
      </rPr>
      <t/>
    </r>
  </si>
  <si>
    <t>总价</t>
  </si>
  <si>
    <t>建筑面积（㎡）（计容）</t>
  </si>
  <si>
    <t>地下层数</t>
  </si>
  <si>
    <t>地下建筑面积
（分层填写）</t>
  </si>
  <si>
    <t>地上层数</t>
  </si>
  <si>
    <t>庭院面积（赠送）</t>
  </si>
  <si>
    <t>地下一层</t>
  </si>
  <si>
    <t>地下二层</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</si>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</sst>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 numFmtId="198" formatCode="#,##0.00_ "/>
    <numFmt numFmtId="199" formatCode="0.0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18"/>
      <name val="宋体"/>
      <family val="3"/>
      <charset val="134"/>
    </font>
    <font>
      <sz val="11"/>
      <name val="宋体"/>
      <family val="3"/>
      <charset val="134"/>
      <scheme val="minor"/>
    </font>
    <font>
      <b/>
      <sz val="10"/>
      <name val="宋体"/>
      <family val="3"/>
      <charset val="134"/>
      <scheme val="minor"/>
    </font>
    <font>
      <sz val="10"/>
      <name val="宋体"/>
      <family val="3"/>
      <charset val="134"/>
      <scheme val="minor"/>
    </font>
    <font>
      <b/>
      <sz val="11"/>
      <name val="宋体"/>
      <family val="3"/>
      <charset val="134"/>
      <scheme val="minor"/>
    </font>
    <font>
      <b/>
      <sz val="9"/>
      <name val="宋体"/>
      <family val="3"/>
      <charset val="134"/>
    </font>
    <font>
      <b/>
      <sz val="18"/>
      <color theme="1"/>
      <name val="方正仿宋_GBK"/>
      <charset val="134"/>
    </font>
    <font>
      <sz val="12"/>
      <color theme="1"/>
      <name val="方正仿宋_GBK"/>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255" fillId="7" borderId="0" xfId="0" applyFont="1" applyFill="1" applyAlignment="1">
      <alignment horizontal="center"/>
    </xf>
    <xf numFmtId="0" fontId="255" fillId="7" borderId="0" xfId="0" applyFont="1" applyFill="1" applyAlignment="1"/>
    <xf numFmtId="0" fontId="256" fillId="7" borderId="1" xfId="0" applyFont="1" applyFill="1" applyBorder="1" applyAlignment="1">
      <alignment horizontal="center" vertical="center"/>
    </xf>
    <xf numFmtId="0" fontId="256" fillId="7" borderId="1" xfId="0" applyFont="1" applyFill="1" applyBorder="1" applyAlignment="1">
      <alignment horizontal="center" vertical="center" wrapText="1"/>
    </xf>
    <xf numFmtId="197" fontId="256" fillId="7" borderId="1" xfId="0" applyNumberFormat="1" applyFont="1" applyFill="1" applyBorder="1" applyAlignment="1">
      <alignment horizontal="center" vertical="center"/>
    </xf>
    <xf numFmtId="0" fontId="255" fillId="7" borderId="0" xfId="0" applyFont="1" applyFill="1" applyAlignment="1">
      <alignment horizontal="center" vertical="center"/>
    </xf>
    <xf numFmtId="0" fontId="257" fillId="7" borderId="1" xfId="0" applyFont="1" applyFill="1" applyBorder="1" applyAlignment="1">
      <alignment horizontal="left" vertical="center"/>
    </xf>
    <xf numFmtId="0" fontId="19" fillId="7" borderId="1" xfId="0" applyFont="1" applyFill="1" applyBorder="1" applyAlignment="1">
      <alignment horizontal="center" vertical="center"/>
    </xf>
    <xf numFmtId="198" fontId="257" fillId="7" borderId="1" xfId="0" applyNumberFormat="1" applyFont="1" applyFill="1" applyBorder="1" applyAlignment="1">
      <alignment vertical="center"/>
    </xf>
    <xf numFmtId="0" fontId="257" fillId="7" borderId="1" xfId="0" applyFont="1" applyFill="1" applyBorder="1" applyAlignment="1">
      <alignment vertical="center"/>
    </xf>
    <xf numFmtId="198" fontId="257" fillId="7" borderId="1" xfId="0" applyNumberFormat="1" applyFont="1" applyFill="1" applyBorder="1" applyAlignment="1">
      <alignment horizontal="right" vertical="center"/>
    </xf>
    <xf numFmtId="198" fontId="257" fillId="7" borderId="13" xfId="0" applyNumberFormat="1" applyFont="1" applyFill="1" applyBorder="1" applyAlignment="1">
      <alignment horizontal="right" vertical="center"/>
    </xf>
    <xf numFmtId="0" fontId="255" fillId="7" borderId="0" xfId="0" applyFont="1" applyFill="1" applyAlignment="1">
      <alignment vertical="center"/>
    </xf>
    <xf numFmtId="198" fontId="256" fillId="7" borderId="1" xfId="0" applyNumberFormat="1" applyFont="1" applyFill="1" applyBorder="1" applyAlignment="1">
      <alignment vertical="center"/>
    </xf>
    <xf numFmtId="0" fontId="256" fillId="7" borderId="1" xfId="0" applyFont="1" applyFill="1" applyBorder="1" applyAlignment="1">
      <alignment vertical="center"/>
    </xf>
    <xf numFmtId="197" fontId="256" fillId="7" borderId="1" xfId="0" applyNumberFormat="1" applyFont="1" applyFill="1" applyBorder="1" applyAlignment="1">
      <alignment vertical="center"/>
    </xf>
    <xf numFmtId="198" fontId="256" fillId="7" borderId="1" xfId="0" applyNumberFormat="1" applyFont="1" applyFill="1" applyBorder="1" applyAlignment="1">
      <alignment horizontal="right" vertical="center"/>
    </xf>
    <xf numFmtId="0" fontId="258" fillId="7" borderId="0" xfId="0" applyFont="1" applyFill="1" applyAlignment="1">
      <alignment horizontal="center" vertical="center"/>
    </xf>
    <xf numFmtId="0" fontId="258" fillId="7" borderId="0" xfId="0" applyFont="1" applyFill="1" applyAlignment="1">
      <alignment vertical="center"/>
    </xf>
    <xf numFmtId="0" fontId="257" fillId="7" borderId="1" xfId="0" applyFont="1" applyFill="1" applyBorder="1" applyAlignment="1">
      <alignment vertical="center" wrapText="1"/>
    </xf>
    <xf numFmtId="0" fontId="257" fillId="7" borderId="1" xfId="0" applyFont="1" applyFill="1" applyBorder="1" applyAlignment="1">
      <alignment horizontal="center" vertical="center" wrapText="1"/>
    </xf>
    <xf numFmtId="198" fontId="257" fillId="7" borderId="1" xfId="0" applyNumberFormat="1" applyFont="1" applyFill="1" applyBorder="1" applyAlignment="1">
      <alignment vertical="center" wrapText="1"/>
    </xf>
    <xf numFmtId="0" fontId="257" fillId="7" borderId="1" xfId="0" applyFont="1" applyFill="1" applyBorder="1" applyAlignment="1">
      <alignment horizontal="right" vertical="center" wrapText="1"/>
    </xf>
    <xf numFmtId="197" fontId="257" fillId="7" borderId="1" xfId="0" applyNumberFormat="1" applyFont="1" applyFill="1" applyBorder="1" applyAlignment="1">
      <alignment vertical="center" wrapText="1"/>
    </xf>
    <xf numFmtId="198" fontId="257" fillId="7" borderId="1" xfId="0" applyNumberFormat="1" applyFont="1" applyFill="1" applyBorder="1" applyAlignment="1">
      <alignment horizontal="right" vertical="center" wrapText="1"/>
    </xf>
    <xf numFmtId="0" fontId="255" fillId="7" borderId="0" xfId="0" applyFont="1" applyFill="1" applyAlignment="1">
      <alignment horizontal="center" vertical="center" wrapText="1"/>
    </xf>
    <xf numFmtId="0" fontId="255" fillId="7" borderId="0" xfId="0" applyFont="1" applyFill="1" applyAlignment="1">
      <alignment vertical="center" wrapText="1"/>
    </xf>
    <xf numFmtId="198" fontId="256" fillId="7" borderId="1" xfId="0" applyNumberFormat="1" applyFont="1" applyFill="1" applyBorder="1" applyAlignment="1">
      <alignment vertical="center" wrapText="1"/>
    </xf>
    <xf numFmtId="0" fontId="256" fillId="7" borderId="1" xfId="0" applyFont="1" applyFill="1" applyBorder="1" applyAlignment="1">
      <alignment vertical="center" wrapText="1"/>
    </xf>
    <xf numFmtId="197" fontId="256" fillId="7" borderId="1" xfId="0" applyNumberFormat="1" applyFont="1" applyFill="1" applyBorder="1" applyAlignment="1">
      <alignment vertical="center" wrapText="1"/>
    </xf>
    <xf numFmtId="198" fontId="257" fillId="5" borderId="1" xfId="0" applyNumberFormat="1" applyFont="1" applyFill="1" applyBorder="1" applyAlignment="1">
      <alignment horizontal="right" vertical="center" wrapText="1"/>
    </xf>
    <xf numFmtId="198" fontId="257" fillId="7" borderId="13" xfId="0" applyNumberFormat="1" applyFont="1" applyFill="1" applyBorder="1" applyAlignment="1">
      <alignment vertical="center" wrapText="1"/>
    </xf>
    <xf numFmtId="0" fontId="258" fillId="7" borderId="0" xfId="0" applyFont="1" applyFill="1" applyAlignment="1">
      <alignment horizontal="center" vertical="center" wrapText="1"/>
    </xf>
    <xf numFmtId="0" fontId="258" fillId="7" borderId="0" xfId="0" applyFont="1" applyFill="1" applyAlignment="1">
      <alignment vertical="center" wrapText="1"/>
    </xf>
    <xf numFmtId="0" fontId="257" fillId="7" borderId="5" xfId="0" applyFont="1" applyFill="1" applyBorder="1" applyAlignment="1">
      <alignment horizontal="left" vertical="center" wrapText="1"/>
    </xf>
    <xf numFmtId="0" fontId="55" fillId="7" borderId="1" xfId="0" applyFont="1" applyFill="1" applyBorder="1" applyAlignment="1">
      <alignment horizontal="center" vertical="center" wrapText="1"/>
    </xf>
    <xf numFmtId="58" fontId="257" fillId="5" borderId="1" xfId="0" applyNumberFormat="1" applyFont="1" applyFill="1" applyBorder="1" applyAlignment="1">
      <alignment vertical="center" wrapText="1"/>
    </xf>
    <xf numFmtId="0" fontId="55" fillId="5" borderId="1" xfId="0" applyFont="1" applyFill="1" applyBorder="1" applyAlignment="1">
      <alignment horizontal="center" vertical="center" wrapText="1"/>
    </xf>
    <xf numFmtId="0" fontId="257" fillId="5" borderId="1" xfId="0" applyFont="1" applyFill="1" applyBorder="1" applyAlignment="1">
      <alignment horizontal="center" vertical="center" wrapText="1"/>
    </xf>
    <xf numFmtId="198" fontId="257" fillId="5" borderId="1" xfId="0" applyNumberFormat="1" applyFont="1" applyFill="1" applyBorder="1" applyAlignment="1">
      <alignment vertical="center" wrapText="1"/>
    </xf>
    <xf numFmtId="0" fontId="257" fillId="5" borderId="1" xfId="0" applyNumberFormat="1" applyFont="1" applyFill="1" applyBorder="1" applyAlignment="1">
      <alignment horizontal="right" vertical="center" wrapText="1"/>
    </xf>
    <xf numFmtId="58" fontId="257" fillId="7" borderId="1" xfId="0" applyNumberFormat="1" applyFont="1" applyFill="1" applyBorder="1" applyAlignment="1">
      <alignment vertical="center" wrapText="1"/>
    </xf>
    <xf numFmtId="0" fontId="257" fillId="7" borderId="1" xfId="0" applyNumberFormat="1" applyFont="1" applyFill="1" applyBorder="1" applyAlignment="1">
      <alignment horizontal="right" vertical="center" wrapText="1"/>
    </xf>
    <xf numFmtId="0" fontId="99" fillId="0" borderId="0" xfId="0" applyFont="1" applyFill="1" applyAlignment="1">
      <alignment horizontal="center"/>
    </xf>
    <xf numFmtId="0" fontId="98" fillId="0" borderId="0" xfId="0" applyFont="1" applyFill="1" applyAlignment="1">
      <alignment horizontal="center" wrapText="1"/>
    </xf>
    <xf numFmtId="0" fontId="98" fillId="0" borderId="0" xfId="0" applyFont="1" applyFill="1" applyAlignment="1"/>
    <xf numFmtId="0" fontId="98" fillId="0" borderId="0" xfId="0" applyFont="1" applyFill="1" applyAlignment="1">
      <alignment horizontal="center"/>
    </xf>
    <xf numFmtId="197" fontId="98" fillId="0" borderId="0" xfId="0" applyNumberFormat="1" applyFont="1" applyFill="1" applyAlignment="1"/>
    <xf numFmtId="0" fontId="261" fillId="0" borderId="84" xfId="0" applyFont="1" applyFill="1" applyBorder="1" applyAlignment="1">
      <alignment horizontal="center" vertical="center" wrapText="1"/>
    </xf>
    <xf numFmtId="0" fontId="98" fillId="0" borderId="2" xfId="0"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Border="1" applyAlignment="1">
      <alignment horizontal="center" vertical="center"/>
    </xf>
    <xf numFmtId="0" fontId="98" fillId="0" borderId="0" xfId="0" applyFont="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9" fontId="49" fillId="13" borderId="0" xfId="0" applyNumberFormat="1" applyFont="1" applyFill="1" applyAlignment="1" applyProtection="1">
      <alignment vertical="center"/>
      <protection locked="0"/>
    </xf>
    <xf numFmtId="0" fontId="0" fillId="0" borderId="2" xfId="0" applyFont="1" applyFill="1" applyBorder="1" applyAlignment="1">
      <alignment horizontal="center" vertical="center"/>
    </xf>
    <xf numFmtId="0" fontId="0" fillId="0" borderId="1" xfId="0" applyBorder="1" applyAlignment="1">
      <alignment horizontal="center"/>
    </xf>
    <xf numFmtId="0" fontId="98" fillId="0" borderId="1" xfId="0" applyFont="1" applyFill="1" applyBorder="1" applyAlignment="1">
      <alignment horizontal="center"/>
    </xf>
    <xf numFmtId="0" fontId="0" fillId="0" borderId="1" xfId="0" applyFont="1" applyFill="1" applyBorder="1" applyAlignment="1">
      <alignment horizontal="center" vertical="center"/>
    </xf>
    <xf numFmtId="0" fontId="61" fillId="17" borderId="1" xfId="1" applyNumberFormat="1" applyFont="1" applyFill="1" applyBorder="1" applyAlignment="1" applyProtection="1"/>
    <xf numFmtId="0" fontId="55" fillId="17" borderId="1" xfId="1" applyNumberFormat="1" applyFont="1" applyFill="1" applyBorder="1" applyAlignment="1" applyProtection="1">
      <alignment horizontal="center"/>
    </xf>
    <xf numFmtId="0" fontId="55" fillId="17" borderId="1" xfId="0" applyNumberFormat="1" applyFont="1" applyFill="1" applyBorder="1" applyProtection="1">
      <alignment vertical="center"/>
    </xf>
    <xf numFmtId="0" fontId="56" fillId="17" borderId="1" xfId="1" applyNumberFormat="1" applyFont="1" applyFill="1" applyBorder="1" applyAlignment="1" applyProtection="1">
      <alignment horizontal="center"/>
    </xf>
    <xf numFmtId="179" fontId="55" fillId="17" borderId="1" xfId="1" applyNumberFormat="1" applyFont="1" applyFill="1" applyBorder="1" applyAlignment="1" applyProtection="1">
      <alignment horizontal="center"/>
    </xf>
    <xf numFmtId="199" fontId="0" fillId="0" borderId="0" xfId="0" applyNumberFormat="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60" fillId="0" borderId="0" xfId="0" applyFont="1" applyAlignment="1">
      <alignment horizontal="center" vertical="center"/>
    </xf>
    <xf numFmtId="0" fontId="0" fillId="0" borderId="0" xfId="0" applyAlignment="1"/>
    <xf numFmtId="0" fontId="98" fillId="0" borderId="1" xfId="0" applyFont="1" applyBorder="1" applyAlignment="1">
      <alignment horizontal="center" vertical="center"/>
    </xf>
    <xf numFmtId="0" fontId="0" fillId="0" borderId="1" xfId="0" applyBorder="1" applyAlignment="1">
      <alignment horizontal="center" vertical="center"/>
    </xf>
    <xf numFmtId="0" fontId="0" fillId="0" borderId="15"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0" fillId="0" borderId="1" xfId="0" applyFont="1" applyBorder="1" applyAlignment="1">
      <alignment horizontal="center" vertical="center"/>
    </xf>
    <xf numFmtId="0" fontId="257" fillId="7" borderId="13" xfId="0" applyFont="1" applyFill="1" applyBorder="1" applyAlignment="1">
      <alignment horizontal="center" vertical="center" wrapText="1"/>
    </xf>
    <xf numFmtId="0" fontId="257" fillId="7" borderId="15" xfId="0" applyFont="1" applyFill="1" applyBorder="1" applyAlignment="1">
      <alignment horizontal="center" vertical="center" wrapText="1"/>
    </xf>
    <xf numFmtId="0" fontId="257" fillId="7" borderId="2" xfId="0" applyFont="1" applyFill="1" applyBorder="1" applyAlignment="1">
      <alignment horizontal="center" vertical="center" wrapText="1"/>
    </xf>
    <xf numFmtId="0" fontId="83" fillId="7" borderId="5" xfId="0" applyFont="1" applyFill="1" applyBorder="1" applyAlignment="1">
      <alignment horizontal="center" vertical="center" wrapText="1"/>
    </xf>
    <xf numFmtId="0" fontId="255" fillId="7" borderId="54" xfId="0" applyFont="1" applyFill="1" applyBorder="1" applyAlignment="1">
      <alignment horizontal="center" vertical="center" wrapText="1"/>
    </xf>
    <xf numFmtId="0" fontId="255" fillId="7" borderId="3" xfId="0" applyFont="1" applyFill="1" applyBorder="1" applyAlignment="1">
      <alignment horizontal="center" vertical="center" wrapText="1"/>
    </xf>
    <xf numFmtId="0" fontId="257" fillId="7" borderId="5" xfId="0" applyFont="1" applyFill="1" applyBorder="1" applyAlignment="1">
      <alignment vertical="center"/>
    </xf>
    <xf numFmtId="0" fontId="257" fillId="7" borderId="54" xfId="0" applyFont="1" applyFill="1" applyBorder="1" applyAlignment="1">
      <alignment vertical="center"/>
    </xf>
    <xf numFmtId="0" fontId="257" fillId="7" borderId="3" xfId="0" applyFont="1" applyFill="1" applyBorder="1" applyAlignment="1">
      <alignment vertical="center"/>
    </xf>
    <xf numFmtId="0" fontId="256" fillId="7" borderId="5" xfId="0" applyFont="1" applyFill="1" applyBorder="1" applyAlignment="1">
      <alignment horizontal="center" vertical="center" wrapText="1"/>
    </xf>
    <xf numFmtId="0" fontId="258" fillId="7" borderId="54" xfId="0" applyFont="1" applyFill="1" applyBorder="1" applyAlignment="1">
      <alignment vertical="center" wrapText="1"/>
    </xf>
    <xf numFmtId="0" fontId="258" fillId="7" borderId="3" xfId="0" applyFont="1" applyFill="1" applyBorder="1" applyAlignment="1">
      <alignment vertical="center" wrapText="1"/>
    </xf>
    <xf numFmtId="0" fontId="256" fillId="7" borderId="3" xfId="0" applyFont="1" applyFill="1" applyBorder="1" applyAlignment="1">
      <alignment horizontal="center" vertical="center" wrapText="1"/>
    </xf>
    <xf numFmtId="0" fontId="258" fillId="7" borderId="54" xfId="0" applyFont="1" applyFill="1" applyBorder="1" applyAlignment="1">
      <alignment horizontal="center" vertical="center" wrapText="1"/>
    </xf>
    <xf numFmtId="0" fontId="258" fillId="7" borderId="3" xfId="0" applyFont="1" applyFill="1" applyBorder="1" applyAlignment="1">
      <alignment horizontal="center" vertical="center" wrapText="1"/>
    </xf>
    <xf numFmtId="197" fontId="256" fillId="7" borderId="15" xfId="0" applyNumberFormat="1" applyFont="1" applyFill="1" applyBorder="1" applyAlignment="1">
      <alignment horizontal="center" vertical="center" wrapText="1"/>
    </xf>
    <xf numFmtId="197" fontId="256" fillId="7" borderId="2" xfId="0" applyNumberFormat="1" applyFont="1" applyFill="1" applyBorder="1" applyAlignment="1">
      <alignment horizontal="center" vertical="center" wrapText="1"/>
    </xf>
    <xf numFmtId="197" fontId="257" fillId="7" borderId="15" xfId="0" applyNumberFormat="1" applyFont="1" applyFill="1" applyBorder="1" applyAlignment="1">
      <alignment horizontal="right" vertical="center" wrapText="1"/>
    </xf>
    <xf numFmtId="197" fontId="257" fillId="7" borderId="2" xfId="0" applyNumberFormat="1" applyFont="1" applyFill="1" applyBorder="1" applyAlignment="1">
      <alignment horizontal="right" vertical="center" wrapText="1"/>
    </xf>
    <xf numFmtId="197" fontId="257" fillId="5" borderId="15" xfId="0" applyNumberFormat="1" applyFont="1" applyFill="1" applyBorder="1" applyAlignment="1">
      <alignment horizontal="right" vertical="center" wrapText="1"/>
    </xf>
    <xf numFmtId="197" fontId="257" fillId="5" borderId="2" xfId="0" applyNumberFormat="1" applyFont="1" applyFill="1" applyBorder="1" applyAlignment="1">
      <alignment horizontal="right" vertical="center" wrapText="1"/>
    </xf>
    <xf numFmtId="0" fontId="256" fillId="7" borderId="13" xfId="0" applyFont="1" applyFill="1" applyBorder="1" applyAlignment="1">
      <alignment horizontal="center" vertical="center" wrapText="1"/>
    </xf>
    <xf numFmtId="0" fontId="256" fillId="7" borderId="15" xfId="0" applyFont="1" applyFill="1" applyBorder="1" applyAlignment="1">
      <alignment horizontal="center" vertical="center" wrapText="1"/>
    </xf>
    <xf numFmtId="0" fontId="256" fillId="7" borderId="2" xfId="0" applyFont="1" applyFill="1" applyBorder="1" applyAlignment="1">
      <alignment horizontal="center" vertical="center" wrapText="1"/>
    </xf>
    <xf numFmtId="0" fontId="257" fillId="7" borderId="13" xfId="0" applyFont="1" applyFill="1" applyBorder="1" applyAlignment="1">
      <alignment horizontal="right" vertical="center" wrapText="1"/>
    </xf>
    <xf numFmtId="0" fontId="257" fillId="7" borderId="15" xfId="0" applyFont="1" applyFill="1" applyBorder="1" applyAlignment="1">
      <alignment horizontal="right" vertical="center" wrapText="1"/>
    </xf>
    <xf numFmtId="0" fontId="257" fillId="7" borderId="2" xfId="0" applyFont="1" applyFill="1" applyBorder="1" applyAlignment="1">
      <alignment horizontal="right" vertical="center" wrapText="1"/>
    </xf>
    <xf numFmtId="198" fontId="257" fillId="7" borderId="13" xfId="0" applyNumberFormat="1" applyFont="1" applyFill="1" applyBorder="1" applyAlignment="1">
      <alignment horizontal="right" vertical="center" wrapText="1"/>
    </xf>
    <xf numFmtId="198" fontId="257" fillId="7" borderId="15" xfId="0" applyNumberFormat="1" applyFont="1" applyFill="1" applyBorder="1" applyAlignment="1">
      <alignment horizontal="right" vertical="center" wrapText="1"/>
    </xf>
    <xf numFmtId="198" fontId="257" fillId="7" borderId="2" xfId="0" applyNumberFormat="1" applyFont="1" applyFill="1" applyBorder="1" applyAlignment="1">
      <alignment horizontal="right" vertical="center" wrapText="1"/>
    </xf>
    <xf numFmtId="0" fontId="256" fillId="7" borderId="5" xfId="0" applyFont="1" applyFill="1" applyBorder="1" applyAlignment="1">
      <alignment horizontal="center" vertical="center"/>
    </xf>
    <xf numFmtId="0" fontId="255" fillId="7" borderId="3" xfId="0" applyFont="1" applyFill="1" applyBorder="1" applyAlignment="1">
      <alignment horizontal="center" vertical="center"/>
    </xf>
    <xf numFmtId="0" fontId="255" fillId="7" borderId="54" xfId="0" applyFont="1" applyFill="1" applyBorder="1" applyAlignment="1">
      <alignment horizontal="center" vertical="center"/>
    </xf>
    <xf numFmtId="197" fontId="256" fillId="7" borderId="13" xfId="0" applyNumberFormat="1" applyFont="1" applyFill="1" applyBorder="1" applyAlignment="1">
      <alignment horizontal="center" vertical="center" wrapText="1"/>
    </xf>
    <xf numFmtId="197" fontId="257" fillId="7" borderId="13" xfId="0" applyNumberFormat="1" applyFont="1" applyFill="1" applyBorder="1" applyAlignment="1">
      <alignment horizontal="right" vertical="center" wrapText="1"/>
    </xf>
    <xf numFmtId="197" fontId="257" fillId="7" borderId="13" xfId="0" applyNumberFormat="1" applyFont="1" applyFill="1" applyBorder="1" applyAlignment="1">
      <alignment horizontal="center" vertical="center" wrapText="1"/>
    </xf>
    <xf numFmtId="197" fontId="257" fillId="7" borderId="2" xfId="0" applyNumberFormat="1" applyFont="1" applyFill="1" applyBorder="1" applyAlignment="1">
      <alignment horizontal="center" vertical="center" wrapText="1"/>
    </xf>
    <xf numFmtId="0" fontId="254" fillId="7" borderId="60" xfId="0" applyFont="1" applyFill="1" applyBorder="1" applyAlignment="1">
      <alignment horizontal="center" vertical="center" wrapText="1"/>
    </xf>
    <xf numFmtId="0" fontId="254" fillId="7" borderId="60" xfId="0" applyFont="1" applyFill="1" applyBorder="1" applyAlignment="1">
      <alignment horizontal="center" vertical="center"/>
    </xf>
    <xf numFmtId="0" fontId="256" fillId="7" borderId="13" xfId="0" applyFont="1" applyFill="1" applyBorder="1" applyAlignment="1">
      <alignment horizontal="center" vertical="center"/>
    </xf>
    <xf numFmtId="0" fontId="258" fillId="7" borderId="15" xfId="0" applyFont="1" applyFill="1" applyBorder="1" applyAlignment="1">
      <alignment horizontal="center" vertical="center"/>
    </xf>
    <xf numFmtId="0" fontId="258" fillId="7" borderId="2" xfId="0" applyFont="1" applyFill="1" applyBorder="1" applyAlignment="1">
      <alignment horizontal="center" vertical="center"/>
    </xf>
    <xf numFmtId="0" fontId="255" fillId="7" borderId="15" xfId="0" applyFont="1" applyFill="1" applyBorder="1" applyAlignment="1">
      <alignment horizontal="right" vertical="center" wrapText="1"/>
    </xf>
    <xf numFmtId="0" fontId="255" fillId="7" borderId="2" xfId="0" applyFont="1" applyFill="1" applyBorder="1" applyAlignment="1">
      <alignment horizontal="right" vertical="center" wrapText="1"/>
    </xf>
    <xf numFmtId="198" fontId="257" fillId="7" borderId="13" xfId="0" applyNumberFormat="1" applyFont="1" applyFill="1" applyBorder="1" applyAlignment="1">
      <alignment horizontal="right" vertical="center"/>
    </xf>
    <xf numFmtId="198" fontId="257" fillId="7" borderId="15" xfId="0" applyNumberFormat="1" applyFont="1" applyFill="1" applyBorder="1" applyAlignment="1">
      <alignment horizontal="right" vertical="center"/>
    </xf>
    <xf numFmtId="198" fontId="257" fillId="7" borderId="2" xfId="0" applyNumberFormat="1" applyFont="1" applyFill="1" applyBorder="1" applyAlignment="1">
      <alignment horizontal="right" vertical="center"/>
    </xf>
    <xf numFmtId="198" fontId="257" fillId="7" borderId="13" xfId="0" applyNumberFormat="1" applyFont="1" applyFill="1" applyBorder="1" applyAlignment="1">
      <alignment horizontal="center" vertical="center" wrapText="1"/>
    </xf>
    <xf numFmtId="198" fontId="257" fillId="7" borderId="15" xfId="0" applyNumberFormat="1" applyFont="1" applyFill="1" applyBorder="1" applyAlignment="1">
      <alignment horizontal="center" vertical="center"/>
    </xf>
    <xf numFmtId="198" fontId="257" fillId="7" borderId="2" xfId="0" applyNumberFormat="1" applyFont="1" applyFill="1" applyBorder="1" applyAlignment="1">
      <alignment horizontal="center" vertical="center"/>
    </xf>
    <xf numFmtId="198" fontId="257" fillId="7" borderId="13" xfId="0" applyNumberFormat="1" applyFont="1" applyFill="1" applyBorder="1" applyAlignment="1">
      <alignment vertical="center"/>
    </xf>
    <xf numFmtId="0" fontId="255" fillId="7" borderId="15" xfId="0" applyFont="1" applyFill="1" applyBorder="1" applyAlignment="1">
      <alignment vertical="center"/>
    </xf>
    <xf numFmtId="0" fontId="255" fillId="7" borderId="2" xfId="0" applyFont="1" applyFill="1" applyBorder="1" applyAlignment="1">
      <alignment vertical="center"/>
    </xf>
    <xf numFmtId="197" fontId="257" fillId="7" borderId="13" xfId="0" applyNumberFormat="1" applyFont="1" applyFill="1" applyBorder="1" applyAlignment="1">
      <alignment horizontal="right" vertical="center"/>
    </xf>
    <xf numFmtId="197" fontId="257" fillId="7" borderId="15" xfId="0" applyNumberFormat="1" applyFont="1" applyFill="1" applyBorder="1" applyAlignment="1">
      <alignment horizontal="right" vertical="center"/>
    </xf>
    <xf numFmtId="197" fontId="257" fillId="7" borderId="2" xfId="0" applyNumberFormat="1" applyFont="1" applyFill="1" applyBorder="1" applyAlignment="1">
      <alignment horizontal="righ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17" borderId="1" xfId="1" applyNumberFormat="1" applyFont="1" applyFill="1" applyBorder="1" applyAlignment="1" applyProtection="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出让国有建设用地使用权及在建建筑物房地产抵押价值预评估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受贵公司委托，我公司对出让国有建设用地使用权及在建建筑物房地产抵押价值进行了预评估。</v>
      </c>
    </row>
    <row r="7" spans="1:2" s="1365" customFormat="1">
      <c r="A7" s="1363" t="s">
        <v>1231</v>
      </c>
      <c r="B7" s="1364" t="str">
        <f>'预评函-1'!A7</f>
        <v>估价对象为出让国有建设用地使用权及在建建筑物房地产，为所有。根据《国有土地使用证》[]，估价对象（分摊）出让国有建设用地使用权面积为10684.47平方米，建筑面积为11531.84平方米。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出让国有建设用地使用权及在建建筑物房地产,属开发建设的商业项目，该项目尚在开发建设中。根据《国有土地使用证》[]，估价对象（分摊）出让国有建设用地使用权面积为10684.47平方米，规划建筑面积为11531.84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2021年1月7日</v>
      </c>
    </row>
    <row r="13" spans="1:2" s="1365" customFormat="1">
      <c r="A13" s="1363" t="s">
        <v>1194</v>
      </c>
      <c r="B13" s="1364" t="str">
        <f>'预评函-1'!A18</f>
        <v>本次估价的“房地产价值”是指在正常市场情况下，在价值时点2021年1月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六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本次评估采用的主估价方法为成本法和假设开发法。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49953</v>
      </c>
    </row>
    <row r="21" spans="1:2" s="1365" customFormat="1">
      <c r="A21" s="1363" t="s">
        <v>1202</v>
      </c>
      <c r="B21" s="1364">
        <f ca="1">'预评函-2'!D7</f>
        <v>86265</v>
      </c>
    </row>
    <row r="22" spans="1:2" s="1365" customFormat="1">
      <c r="A22" s="1363" t="s">
        <v>1203</v>
      </c>
      <c r="B22" s="1364" t="str">
        <f ca="1">'预评函-2'!D6</f>
        <v>肆亿玖仟玖佰伍拾叁万元整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49953</v>
      </c>
    </row>
    <row r="31" spans="1:2" s="1365" customFormat="1">
      <c r="A31" s="1363" t="s">
        <v>1241</v>
      </c>
      <c r="B31" s="1364">
        <f ca="1">'预评函-2'!D15</f>
        <v>43317</v>
      </c>
    </row>
    <row r="32" spans="1:2" s="1365" customFormat="1">
      <c r="A32" s="1363" t="s">
        <v>1208</v>
      </c>
      <c r="B32" s="1364" t="str">
        <f ca="1">'预评函-2'!D14</f>
        <v>肆亿玖仟玖佰伍拾叁万元整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出让国有建设用地使用权及在建建筑物房地产</v>
      </c>
    </row>
    <row r="42" spans="1:2" s="1365" customFormat="1">
      <c r="A42" s="1363" t="s">
        <v>1255</v>
      </c>
      <c r="B42" s="1364" t="str">
        <f>'预评函-3'!B2</f>
        <v>建筑面积</v>
      </c>
    </row>
    <row r="43" spans="1:2" s="1365" customFormat="1">
      <c r="A43" s="1363" t="s">
        <v>1256</v>
      </c>
      <c r="B43" s="1364">
        <f>'预评函-3'!B4</f>
        <v>11531.84</v>
      </c>
    </row>
    <row r="44" spans="1:2" s="1365" customFormat="1">
      <c r="A44" s="1363" t="s">
        <v>1240</v>
      </c>
      <c r="B44" s="1364" t="str">
        <f>'预评函-3'!C2</f>
        <v>(分摊)土地面积</v>
      </c>
    </row>
    <row r="45" spans="1:2" s="1365" customFormat="1">
      <c r="A45" s="1363" t="s">
        <v>1212</v>
      </c>
      <c r="B45" s="1364">
        <f>'预评函-3'!C4</f>
        <v>10684.47</v>
      </c>
    </row>
    <row r="46" spans="1:2" s="1365" customFormat="1">
      <c r="A46" s="1363" t="s">
        <v>1238</v>
      </c>
      <c r="B46" s="1364" t="str">
        <f>'预评函-3'!D2</f>
        <v>出让国有建设用地使用权价值</v>
      </c>
    </row>
    <row r="47" spans="1:2" s="1365" customFormat="1">
      <c r="A47" s="1363" t="s">
        <v>1213</v>
      </c>
      <c r="B47" s="1364">
        <f ca="1">'预评函-3'!D4</f>
        <v>35267</v>
      </c>
    </row>
    <row r="48" spans="1:2" s="1365" customFormat="1">
      <c r="A48" s="1363" t="s">
        <v>1214</v>
      </c>
      <c r="B48" s="1364">
        <f ca="1">'预评函-3'!E4</f>
        <v>60903</v>
      </c>
    </row>
    <row r="49" spans="1:2" s="1365" customFormat="1">
      <c r="A49" s="1363" t="s">
        <v>1215</v>
      </c>
      <c r="B49" s="1364" t="str">
        <f ca="1">'预评函-3'!D5</f>
        <v>叁亿伍仟贰佰陆拾柒万元整</v>
      </c>
    </row>
    <row r="50" spans="1:2" s="1365" customFormat="1">
      <c r="A50" s="1363" t="s">
        <v>1239</v>
      </c>
      <c r="B50" s="1364" t="str">
        <f>'预评函-3'!F2</f>
        <v>在建建筑物价值</v>
      </c>
    </row>
    <row r="51" spans="1:2" s="1365" customFormat="1">
      <c r="A51" s="1363" t="s">
        <v>1216</v>
      </c>
      <c r="B51" s="1364">
        <f ca="1">'预评函-3'!F4</f>
        <v>14686</v>
      </c>
    </row>
    <row r="52" spans="1:2" s="1365" customFormat="1">
      <c r="A52" s="1363" t="s">
        <v>1217</v>
      </c>
      <c r="B52" s="1364">
        <f ca="1">'预评函-3'!G4</f>
        <v>25362</v>
      </c>
    </row>
    <row r="53" spans="1:2" s="1365" customFormat="1">
      <c r="A53" s="1363" t="s">
        <v>1245</v>
      </c>
      <c r="B53" s="1364" t="str">
        <f ca="1">'预评函-3'!F5</f>
        <v>壹亿肆仟陆佰捌拾陆万元整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9" sqref="C29"/>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3038</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59"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1741" t="s">
        <v>832</v>
      </c>
      <c r="C54" s="1738" t="s">
        <v>1248</v>
      </c>
    </row>
    <row r="55" spans="1:4">
      <c r="A55" s="3159"/>
      <c r="B55" s="1741" t="s">
        <v>833</v>
      </c>
      <c r="C55" s="1738" t="s">
        <v>1249</v>
      </c>
    </row>
    <row r="56" spans="1:4">
      <c r="A56" s="3159"/>
      <c r="B56" s="1741" t="s">
        <v>834</v>
      </c>
      <c r="C56" s="1738" t="s">
        <v>1253</v>
      </c>
    </row>
    <row r="57" spans="1:4">
      <c r="A57" s="3159"/>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7" sqref="C1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68" t="str">
        <f>IF(B10="北京市","北京市",C10)&amp;F10&amp;IF(结果表!G1="在建","出让国有建设用地使用权及在建建筑物",IF(结果表!G1="土地","出让国有建设用地使用权",))&amp;B9&amp;"预评估"</f>
        <v>出让国有建设用地使用权及在建建筑物房地产抵押价值预评估</v>
      </c>
      <c r="C1" s="3169"/>
      <c r="D1" s="3169"/>
      <c r="E1" s="3169"/>
      <c r="F1" s="3169"/>
      <c r="G1" s="3169"/>
      <c r="H1" s="3169"/>
      <c r="I1" s="3170"/>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出让国有建设用地使用权及在建建筑物房地产</v>
      </c>
      <c r="T2" s="1933"/>
      <c r="U2" s="1933"/>
      <c r="V2" s="1933"/>
      <c r="W2" s="1933"/>
      <c r="X2" s="1933"/>
      <c r="Y2" s="1933"/>
      <c r="Z2" s="1933"/>
      <c r="AA2" s="1933"/>
      <c r="AB2" s="1933"/>
    </row>
    <row r="3" spans="1:28">
      <c r="A3" s="308" t="s">
        <v>2915</v>
      </c>
      <c r="B3" s="2599"/>
      <c r="C3" s="2600" t="s">
        <v>2916</v>
      </c>
      <c r="D3" s="2599">
        <v>44203</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3062</v>
      </c>
      <c r="C8" s="2616"/>
      <c r="D8" s="3171" t="s">
        <v>2922</v>
      </c>
      <c r="E8" s="2617" t="s">
        <v>3061</v>
      </c>
      <c r="F8" s="2618"/>
      <c r="G8" s="2892"/>
      <c r="H8" s="2892"/>
      <c r="I8" s="2892"/>
      <c r="J8" s="2667"/>
      <c r="K8" s="2842"/>
      <c r="L8" s="2841"/>
      <c r="M8" s="2841"/>
      <c r="N8" s="2667"/>
      <c r="O8" s="2678"/>
      <c r="P8" s="2667"/>
      <c r="Q8" s="2667"/>
      <c r="R8" s="2667"/>
    </row>
    <row r="9" spans="1:28" ht="13.5" thickBot="1">
      <c r="A9" s="2619" t="s">
        <v>2923</v>
      </c>
      <c r="B9" s="2620" t="s">
        <v>3061</v>
      </c>
      <c r="C9" s="2621"/>
      <c r="D9" s="3172"/>
      <c r="E9" s="2620" t="s">
        <v>70</v>
      </c>
      <c r="F9" s="2622"/>
      <c r="G9" s="2894"/>
      <c r="H9" s="2894"/>
      <c r="I9" s="2894"/>
      <c r="J9" s="2667"/>
      <c r="K9" s="2844"/>
      <c r="L9" s="2841"/>
      <c r="M9" s="2841"/>
      <c r="N9" s="2667"/>
      <c r="O9" s="2678"/>
      <c r="P9" s="2667"/>
      <c r="Q9" s="2667"/>
      <c r="R9" s="2667"/>
    </row>
    <row r="10" spans="1:28" ht="13.5" thickTop="1">
      <c r="A10" s="2623" t="s">
        <v>2924</v>
      </c>
      <c r="B10" s="2624" t="s">
        <v>3063</v>
      </c>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t="s">
        <v>3064</v>
      </c>
      <c r="C11" s="2629"/>
      <c r="D11" s="2630"/>
      <c r="E11" s="2596"/>
      <c r="F11" s="2596"/>
      <c r="G11" s="2596"/>
      <c r="H11" s="2596"/>
      <c r="I11" s="2596"/>
      <c r="J11" s="2667"/>
      <c r="K11" s="2844"/>
      <c r="L11" s="2841"/>
      <c r="M11" s="2841"/>
      <c r="N11" s="2667"/>
      <c r="O11" s="2678"/>
      <c r="P11" s="2667"/>
      <c r="Q11" s="2667"/>
      <c r="R11" s="2667"/>
    </row>
    <row r="12" spans="1:28">
      <c r="A12" s="2631" t="s">
        <v>2927</v>
      </c>
      <c r="B12" s="2628" t="s">
        <v>3065</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v>53871</v>
      </c>
      <c r="F13" s="965"/>
      <c r="G13" s="965"/>
      <c r="H13" s="965"/>
      <c r="I13" s="965"/>
      <c r="J13" s="2667"/>
      <c r="K13" s="2844"/>
      <c r="L13" s="2841"/>
      <c r="M13" s="2841"/>
      <c r="N13" s="2667"/>
      <c r="O13" s="2678"/>
      <c r="P13" s="2667"/>
      <c r="Q13" s="2667"/>
      <c r="R13" s="2667"/>
    </row>
    <row r="14" spans="1:28">
      <c r="A14" s="1241"/>
      <c r="B14" s="2633"/>
      <c r="C14" s="2634" t="s">
        <v>2936</v>
      </c>
      <c r="D14" s="2635"/>
      <c r="E14" s="2635">
        <v>40</v>
      </c>
      <c r="F14" s="2635"/>
      <c r="G14" s="2635"/>
      <c r="H14" s="2635"/>
      <c r="I14" s="2635"/>
      <c r="J14" s="2667"/>
      <c r="K14" s="2845"/>
      <c r="L14" s="2841"/>
      <c r="M14" s="2841"/>
      <c r="N14" s="2667"/>
      <c r="O14" s="2678"/>
      <c r="P14" s="2667"/>
      <c r="Q14" s="2667"/>
      <c r="R14" s="2667"/>
    </row>
    <row r="15" spans="1:28">
      <c r="A15" s="326"/>
      <c r="B15" s="2636"/>
      <c r="C15" s="2637" t="s">
        <v>2937</v>
      </c>
      <c r="D15" s="2638" t="str">
        <f>IF(B12="出让",IF(D13="","",ROUNDDOWN(MIN((D13-$D$3)/365,D14),2)),D14)</f>
        <v/>
      </c>
      <c r="E15" s="2638">
        <f>IF(B12="出让",IF(E13="","",ROUNDDOWN(MIN((E13-$D$3)/365,E14),2)),E14)</f>
        <v>26.48</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2938</v>
      </c>
      <c r="B16" s="3178"/>
      <c r="C16" s="3179"/>
      <c r="D16" s="3180"/>
      <c r="E16" s="2641" t="s">
        <v>2939</v>
      </c>
      <c r="F16" s="3181"/>
      <c r="G16" s="3182"/>
      <c r="H16" s="3182"/>
      <c r="I16" s="3183"/>
      <c r="J16" s="2667"/>
      <c r="K16" s="2846"/>
      <c r="L16" s="2679"/>
      <c r="M16" s="2679"/>
      <c r="N16" s="2737"/>
      <c r="O16" s="2679"/>
      <c r="P16" s="2737"/>
      <c r="Q16" s="2667"/>
      <c r="R16" s="2667"/>
    </row>
    <row r="17" spans="1:28">
      <c r="A17" s="319" t="s">
        <v>2940</v>
      </c>
      <c r="B17" s="308" t="s">
        <v>2941</v>
      </c>
      <c r="C17" s="11">
        <f>'数据-汇总表'!E3</f>
        <v>11531.84</v>
      </c>
      <c r="D17" s="2547" t="s">
        <v>2942</v>
      </c>
      <c r="E17" s="3184" t="s">
        <v>2943</v>
      </c>
      <c r="F17" s="3185"/>
      <c r="G17" s="3185"/>
      <c r="H17" s="3185"/>
      <c r="I17" s="3186"/>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10684.47</v>
      </c>
      <c r="D18" s="1252" t="s">
        <v>2946</v>
      </c>
      <c r="E18" s="3187" t="s">
        <v>2947</v>
      </c>
      <c r="F18" s="3188"/>
      <c r="G18" s="3188"/>
      <c r="H18" s="3188"/>
      <c r="I18" s="3189"/>
      <c r="J18" s="2667"/>
      <c r="K18" s="2847"/>
      <c r="L18" s="2679"/>
      <c r="M18" s="2679"/>
      <c r="N18" s="2737"/>
      <c r="O18" s="2679"/>
      <c r="P18" s="2737"/>
      <c r="Q18" s="2667"/>
      <c r="R18" s="2667"/>
      <c r="S18" s="2667"/>
      <c r="T18" s="2667"/>
      <c r="U18" s="2667"/>
      <c r="V18" s="2667"/>
    </row>
    <row r="19" spans="1:28" ht="37.5" thickTop="1" thickBot="1">
      <c r="A19" s="333" t="s">
        <v>1741</v>
      </c>
      <c r="B19" s="313" t="s">
        <v>2948</v>
      </c>
      <c r="C19" s="1750"/>
      <c r="D19" s="1751" t="s">
        <v>2949</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174" t="s">
        <v>2951</v>
      </c>
      <c r="C20" s="3175"/>
      <c r="D20" s="3176" t="s">
        <v>2952</v>
      </c>
      <c r="E20" s="3177"/>
      <c r="F20" s="2876" t="s">
        <v>1742</v>
      </c>
      <c r="G20" s="2893"/>
      <c r="H20" s="2893"/>
      <c r="I20" s="2893"/>
      <c r="J20" s="2667"/>
      <c r="K20" s="317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1743</v>
      </c>
      <c r="D21" s="1755" t="s">
        <v>2955</v>
      </c>
      <c r="E21" s="2864" t="s">
        <v>1743</v>
      </c>
      <c r="F21" s="2877"/>
      <c r="G21" s="2893"/>
      <c r="H21" s="2893"/>
      <c r="I21" s="2893"/>
      <c r="J21" s="2667"/>
      <c r="K21" s="317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1744</v>
      </c>
      <c r="D22" s="2892"/>
      <c r="E22" s="2892"/>
      <c r="F22" s="2892"/>
      <c r="G22" s="2893"/>
      <c r="H22" s="2893"/>
      <c r="I22" s="2893"/>
      <c r="J22" s="2667"/>
      <c r="K22" s="317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61" t="s">
        <v>2959</v>
      </c>
      <c r="B27" s="326" t="s">
        <v>2960</v>
      </c>
      <c r="C27" s="2644" t="s">
        <v>3066</v>
      </c>
      <c r="D27" s="2645"/>
      <c r="E27" s="2893"/>
      <c r="F27" s="2893"/>
      <c r="G27" s="2893"/>
      <c r="H27" s="2893"/>
      <c r="I27" s="2893"/>
      <c r="J27" s="2667"/>
      <c r="K27" s="2846"/>
      <c r="L27" s="2679"/>
      <c r="M27" s="2679"/>
      <c r="N27" s="2737"/>
      <c r="O27" s="2679"/>
      <c r="P27" s="2737"/>
      <c r="Q27" s="2667"/>
      <c r="R27" s="2667"/>
      <c r="S27" s="2667"/>
      <c r="T27" s="2667"/>
      <c r="U27" s="2667"/>
      <c r="V27" s="2667"/>
    </row>
    <row r="28" spans="1:28">
      <c r="A28" s="3161"/>
      <c r="B28" s="308" t="s">
        <v>2961</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61"/>
      <c r="B29" s="308" t="s">
        <v>2962</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62"/>
      <c r="B30" s="308" t="s">
        <v>2963</v>
      </c>
      <c r="C30" s="3163"/>
      <c r="D30" s="3164"/>
      <c r="E30" s="2893"/>
      <c r="F30" s="2893"/>
      <c r="G30" s="2893"/>
      <c r="H30" s="2893"/>
      <c r="I30" s="2893"/>
      <c r="J30" s="2667"/>
      <c r="K30" s="2844"/>
      <c r="L30" s="2841"/>
      <c r="M30" s="2841"/>
      <c r="N30" s="2667"/>
      <c r="O30" s="2678"/>
      <c r="P30" s="2667"/>
      <c r="Q30" s="2667"/>
      <c r="R30" s="2667"/>
      <c r="S30" s="2667"/>
      <c r="T30" s="2667"/>
      <c r="U30" s="2667"/>
      <c r="V30" s="2667"/>
    </row>
    <row r="31" spans="1:28">
      <c r="A31" s="3165" t="s">
        <v>2964</v>
      </c>
      <c r="B31" s="2650" t="s">
        <v>3067</v>
      </c>
      <c r="C31" s="2548" t="str">
        <f>IF(B31="现房","成新及维护状况正常否",IF(B31="在建","工程状态是否正常",IF(B31="土地","是否闲置","-")))</f>
        <v>工程状态是否正常</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66"/>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66"/>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t="s">
        <v>3068</v>
      </c>
      <c r="C34" s="2216" t="s">
        <v>3069</v>
      </c>
      <c r="D34" s="2216" t="s">
        <v>3069</v>
      </c>
      <c r="E34" s="2216" t="s">
        <v>3070</v>
      </c>
      <c r="F34" s="2216" t="s">
        <v>3071</v>
      </c>
      <c r="G34" s="2216" t="s">
        <v>3072</v>
      </c>
      <c r="H34" s="2216" t="s">
        <v>70</v>
      </c>
      <c r="I34" s="2893"/>
      <c r="J34" s="2667"/>
      <c r="K34" s="2655">
        <f>COUNTIF(B34:H34,"——")</f>
        <v>1</v>
      </c>
      <c r="L34" s="329" t="s">
        <v>2966</v>
      </c>
      <c r="M34" s="329" t="s">
        <v>2967</v>
      </c>
      <c r="N34" s="329" t="s">
        <v>2968</v>
      </c>
      <c r="O34" s="329" t="s">
        <v>2969</v>
      </c>
      <c r="P34" s="329" t="s">
        <v>2970</v>
      </c>
      <c r="Q34" s="329" t="s">
        <v>2971</v>
      </c>
      <c r="R34" s="329" t="s">
        <v>2972</v>
      </c>
      <c r="S34" s="3160" t="s">
        <v>2973</v>
      </c>
      <c r="T34" s="2656" t="str">
        <f>NUMBERSTRING(7-K34,1)&amp;"通"</f>
        <v>六通</v>
      </c>
      <c r="U34" s="2667"/>
      <c r="V34" s="2667"/>
    </row>
    <row r="35" spans="1:30">
      <c r="A35" s="2657"/>
      <c r="B35" s="3167" t="s">
        <v>2974</v>
      </c>
      <c r="C35" s="3167"/>
      <c r="D35" s="3167"/>
      <c r="E35" s="3167"/>
      <c r="F35" s="673">
        <f>C10</f>
        <v>0</v>
      </c>
      <c r="G35" s="2893"/>
      <c r="H35" s="2893"/>
      <c r="I35" s="2893"/>
      <c r="J35" s="2667"/>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通路、通电、通电、通上水、通下水、燃气</v>
      </c>
      <c r="R35" s="335" t="str">
        <f>B34&amp;"、"&amp;C34&amp;"、"&amp;D34&amp;"、"&amp;E34&amp;"、"&amp;F34&amp;"、"&amp;G34&amp;"、"&amp;H34</f>
        <v>通路、通电、通电、通上水、通下水、燃气、——</v>
      </c>
      <c r="S35" s="3160"/>
      <c r="T35" s="335" t="str">
        <f>IF(T34="一通",L35,IF(T34="二通",M35,IF(T34="三通",N35,IF(T34="四通",O35,IF(T34="五通",P35,IF(T34="六通",Q35,R35))))))</f>
        <v>通路、通电、通电、通上水、通下水、燃气</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6" sqref="AN16"/>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2" width="9.5" style="1760" customWidth="1"/>
    <col min="13"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68320.800000000003</v>
      </c>
      <c r="B3" s="14">
        <f>IF(C3="否",G5-AT5,G5)</f>
        <v>73739.22</v>
      </c>
      <c r="C3" s="1767" t="s">
        <v>1756</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1757</v>
      </c>
      <c r="B5" s="1533"/>
      <c r="C5" s="1533"/>
      <c r="D5" s="1535"/>
      <c r="E5" s="16" t="s">
        <v>1</v>
      </c>
      <c r="F5" s="16">
        <f>SUM(F13:F587)</f>
        <v>0</v>
      </c>
      <c r="G5" s="16">
        <f>SUM(G13:G587)</f>
        <v>73739.22</v>
      </c>
      <c r="H5" s="16">
        <f t="shared" ref="H5:AT5" si="0">SUM(H13:H656)</f>
        <v>36159.279999999999</v>
      </c>
      <c r="I5" s="16">
        <f t="shared" si="0"/>
        <v>33653.299999999996</v>
      </c>
      <c r="J5" s="16">
        <f t="shared" si="0"/>
        <v>0</v>
      </c>
      <c r="K5" s="16">
        <f t="shared" si="0"/>
        <v>2505.98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37579.94</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7217.4</v>
      </c>
      <c r="AM5" s="16">
        <f t="shared" si="0"/>
        <v>0</v>
      </c>
      <c r="AN5" s="16">
        <f t="shared" si="0"/>
        <v>30362.54</v>
      </c>
      <c r="AO5" s="16">
        <f t="shared" si="0"/>
        <v>0</v>
      </c>
      <c r="AP5" s="16">
        <f t="shared" si="0"/>
        <v>0</v>
      </c>
      <c r="AQ5" s="16">
        <f t="shared" si="0"/>
        <v>0</v>
      </c>
      <c r="AR5" s="16">
        <f t="shared" si="0"/>
        <v>0</v>
      </c>
      <c r="AS5" s="16">
        <f t="shared" si="0"/>
        <v>0</v>
      </c>
      <c r="AT5" s="16">
        <f t="shared" si="0"/>
        <v>0</v>
      </c>
      <c r="AU5" s="1532"/>
      <c r="AV5" s="15" t="s">
        <v>1757</v>
      </c>
      <c r="AW5" s="1533"/>
      <c r="AX5" s="1533"/>
      <c r="AY5" s="17" t="s">
        <v>3</v>
      </c>
      <c r="AZ5" s="18">
        <f t="shared" ref="AZ5:BT5" si="1">SUM(AZ13:AZ656)</f>
        <v>11531.84</v>
      </c>
      <c r="BA5" s="18">
        <f t="shared" si="1"/>
        <v>5790.6600000000008</v>
      </c>
      <c r="BB5" s="18">
        <f t="shared" si="1"/>
        <v>5790.6600000000008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5741.18</v>
      </c>
      <c r="BM5" s="18">
        <f t="shared" si="1"/>
        <v>0</v>
      </c>
      <c r="BN5" s="18">
        <f t="shared" si="1"/>
        <v>0</v>
      </c>
      <c r="BO5" s="18">
        <f t="shared" si="1"/>
        <v>0</v>
      </c>
      <c r="BP5" s="18">
        <f t="shared" si="1"/>
        <v>0</v>
      </c>
      <c r="BQ5" s="18">
        <f t="shared" si="1"/>
        <v>0</v>
      </c>
      <c r="BR5" s="18">
        <f t="shared" si="1"/>
        <v>5741.18</v>
      </c>
      <c r="BS5" s="18">
        <f t="shared" si="1"/>
        <v>0</v>
      </c>
      <c r="BT5" s="19">
        <f t="shared" si="1"/>
        <v>0</v>
      </c>
    </row>
    <row r="6" spans="1:72" s="1776" customFormat="1" ht="12.75">
      <c r="A6" s="15" t="s">
        <v>1758</v>
      </c>
      <c r="B6" s="1773"/>
      <c r="C6" s="1773"/>
      <c r="D6" s="1774"/>
      <c r="E6" s="16">
        <f>H6+AC6+AT6</f>
        <v>68320.800000000003</v>
      </c>
      <c r="F6" s="16" t="s">
        <v>1</v>
      </c>
      <c r="G6" s="16" t="s">
        <v>2</v>
      </c>
      <c r="H6" s="20">
        <f>SUMIF(I$12:AB$12,"总值",I6:AB6)</f>
        <v>33502.270000000004</v>
      </c>
      <c r="I6" s="16">
        <f t="shared" ref="I6:AB6" si="2">ROUND($A$3*I5/$B$3,2)</f>
        <v>31180.43</v>
      </c>
      <c r="J6" s="16">
        <f t="shared" si="2"/>
        <v>0</v>
      </c>
      <c r="K6" s="16">
        <f t="shared" si="2"/>
        <v>2321.84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34818.53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6687.06</v>
      </c>
      <c r="AM6" s="16">
        <f t="shared" si="3"/>
        <v>0</v>
      </c>
      <c r="AN6" s="16">
        <f t="shared" si="3"/>
        <v>28131.47</v>
      </c>
      <c r="AO6" s="16">
        <f t="shared" si="3"/>
        <v>0</v>
      </c>
      <c r="AP6" s="16">
        <f t="shared" si="3"/>
        <v>0</v>
      </c>
      <c r="AQ6" s="16">
        <f t="shared" si="3"/>
        <v>0</v>
      </c>
      <c r="AR6" s="16">
        <f t="shared" si="3"/>
        <v>0</v>
      </c>
      <c r="AS6" s="16">
        <f t="shared" si="3"/>
        <v>0</v>
      </c>
      <c r="AT6" s="20">
        <f>IF(C3="是",ROUND($A$3*AT5/$B$3,2),0)</f>
        <v>0</v>
      </c>
      <c r="AU6" s="1775"/>
      <c r="AV6" s="15" t="s">
        <v>1758</v>
      </c>
      <c r="AW6" s="1773"/>
      <c r="AX6" s="1773"/>
      <c r="AY6" s="21">
        <f>IF(AY3&gt;0,AY3,ROUND($A$3*AZ5/$B$3,2))</f>
        <v>10684.47</v>
      </c>
      <c r="AZ6" s="16" t="s">
        <v>3</v>
      </c>
      <c r="BA6" s="16">
        <f>ROUND($AY$6*BA5/$AZ$5,2)</f>
        <v>5365.16</v>
      </c>
      <c r="BB6" s="16">
        <f>ROUND($AY$6*BB5/$AZ$5,2)</f>
        <v>5365.16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5319.31</v>
      </c>
      <c r="BM6" s="16">
        <f t="shared" si="5"/>
        <v>0</v>
      </c>
      <c r="BN6" s="16">
        <f t="shared" si="5"/>
        <v>0</v>
      </c>
      <c r="BO6" s="16">
        <f t="shared" si="5"/>
        <v>0</v>
      </c>
      <c r="BP6" s="16">
        <f t="shared" si="5"/>
        <v>0</v>
      </c>
      <c r="BQ6" s="16">
        <f t="shared" si="5"/>
        <v>0</v>
      </c>
      <c r="BR6" s="16">
        <f t="shared" si="5"/>
        <v>5319.31</v>
      </c>
      <c r="BS6" s="16">
        <f t="shared" si="5"/>
        <v>0</v>
      </c>
      <c r="BT6" s="22">
        <f t="shared" si="5"/>
        <v>0</v>
      </c>
    </row>
    <row r="7" spans="1:72" s="1766" customFormat="1" ht="24.75">
      <c r="A7" s="1756" t="s">
        <v>1759</v>
      </c>
      <c r="B7" s="1756" t="s">
        <v>1760</v>
      </c>
      <c r="C7" s="1756" t="s">
        <v>1761</v>
      </c>
      <c r="D7" s="1756" t="s">
        <v>1762</v>
      </c>
      <c r="E7" s="1756" t="s">
        <v>1763</v>
      </c>
      <c r="F7" s="1756" t="s">
        <v>1764</v>
      </c>
      <c r="G7" s="1777" t="s">
        <v>1765</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1766</v>
      </c>
      <c r="AV7" s="23" t="s">
        <v>1767</v>
      </c>
      <c r="AW7" s="1765" t="s">
        <v>1768</v>
      </c>
      <c r="AX7" s="23" t="s">
        <v>1761</v>
      </c>
      <c r="AY7" s="1533" t="s">
        <v>1769</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1770</v>
      </c>
      <c r="H8" s="1783" t="s">
        <v>1771</v>
      </c>
      <c r="I8" s="1784"/>
      <c r="J8" s="1546"/>
      <c r="K8" s="1546"/>
      <c r="L8" s="1546"/>
      <c r="M8" s="1546"/>
      <c r="N8" s="1546"/>
      <c r="O8" s="1546"/>
      <c r="P8" s="1546"/>
      <c r="Q8" s="1546"/>
      <c r="R8" s="1546"/>
      <c r="S8" s="1546"/>
      <c r="T8" s="1546"/>
      <c r="U8" s="1546"/>
      <c r="V8" s="1785"/>
      <c r="W8" s="1546"/>
      <c r="X8" s="1546"/>
      <c r="Y8" s="1546"/>
      <c r="Z8" s="1546"/>
      <c r="AA8" s="1785"/>
      <c r="AB8" s="1786"/>
      <c r="AC8" s="918" t="s">
        <v>1772</v>
      </c>
      <c r="AD8" s="1787"/>
      <c r="AE8" s="1779"/>
      <c r="AF8" s="1546"/>
      <c r="AG8" s="1546"/>
      <c r="AH8" s="1546"/>
      <c r="AI8" s="1546"/>
      <c r="AJ8" s="1546"/>
      <c r="AK8" s="1546"/>
      <c r="AL8" s="1546"/>
      <c r="AM8" s="1546"/>
      <c r="AN8" s="1546"/>
      <c r="AO8" s="1546"/>
      <c r="AP8" s="1546"/>
      <c r="AQ8" s="1546"/>
      <c r="AR8" s="1546"/>
      <c r="AS8" s="1546"/>
      <c r="AT8" s="1202" t="s">
        <v>1773</v>
      </c>
      <c r="AU8" s="1781" t="s">
        <v>1774</v>
      </c>
      <c r="AV8" s="1202"/>
      <c r="AW8" s="1764"/>
      <c r="AX8" s="1202"/>
      <c r="AY8" s="1765" t="s">
        <v>1775</v>
      </c>
      <c r="AZ8" s="1545" t="s">
        <v>1776</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1777</v>
      </c>
      <c r="I9" s="1790" t="s">
        <v>3156</v>
      </c>
      <c r="J9" s="918"/>
      <c r="K9" s="1790" t="s">
        <v>3157</v>
      </c>
      <c r="L9" s="918"/>
      <c r="M9" s="1790" t="s">
        <v>3156</v>
      </c>
      <c r="N9" s="918"/>
      <c r="O9" s="1790"/>
      <c r="P9" s="918"/>
      <c r="Q9" s="1790"/>
      <c r="R9" s="918"/>
      <c r="S9" s="1790"/>
      <c r="T9" s="918"/>
      <c r="U9" s="1790"/>
      <c r="V9" s="918"/>
      <c r="W9" s="1790"/>
      <c r="X9" s="1791"/>
      <c r="Y9" s="1790"/>
      <c r="Z9" s="918"/>
      <c r="AA9" s="1790"/>
      <c r="AB9" s="918"/>
      <c r="AC9" s="1782"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2"/>
      <c r="AT9" s="1781"/>
      <c r="AU9" s="1781" t="s">
        <v>1780</v>
      </c>
      <c r="AV9" s="1202"/>
      <c r="AW9" s="1764"/>
      <c r="AX9" s="1202"/>
      <c r="AY9" s="28"/>
      <c r="AZ9" s="28" t="s">
        <v>1770</v>
      </c>
      <c r="BA9" s="1793" t="s">
        <v>1781</v>
      </c>
      <c r="BB9" s="1794"/>
      <c r="BC9" s="1248"/>
      <c r="BD9" s="1248"/>
      <c r="BE9" s="1248"/>
      <c r="BF9" s="1248"/>
      <c r="BG9" s="1248"/>
      <c r="BH9" s="1248"/>
      <c r="BI9" s="1248"/>
      <c r="BJ9" s="1248"/>
      <c r="BK9" s="1795"/>
      <c r="BL9" s="15" t="s">
        <v>1782</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t="s">
        <v>1343</v>
      </c>
      <c r="N10" s="918"/>
      <c r="O10" s="1796"/>
      <c r="P10" s="918"/>
      <c r="Q10" s="1796"/>
      <c r="R10" s="918"/>
      <c r="S10" s="1796"/>
      <c r="T10" s="918"/>
      <c r="U10" s="1796"/>
      <c r="V10" s="918"/>
      <c r="W10" s="1796"/>
      <c r="X10" s="918"/>
      <c r="Y10" s="1796"/>
      <c r="Z10" s="918"/>
      <c r="AA10" s="1796"/>
      <c r="AB10" s="918"/>
      <c r="AC10" s="1202"/>
      <c r="AD10" s="15" t="s">
        <v>1783</v>
      </c>
      <c r="AE10" s="1797"/>
      <c r="AF10" s="15" t="s">
        <v>1783</v>
      </c>
      <c r="AG10" s="1797"/>
      <c r="AH10" s="15" t="s">
        <v>1784</v>
      </c>
      <c r="AI10" s="1797"/>
      <c r="AJ10" s="15" t="s">
        <v>1784</v>
      </c>
      <c r="AK10" s="1797"/>
      <c r="AL10" s="15" t="s">
        <v>1785</v>
      </c>
      <c r="AM10" s="1208"/>
      <c r="AN10" s="15" t="s">
        <v>1785</v>
      </c>
      <c r="AO10" s="1208"/>
      <c r="AP10" s="15" t="s">
        <v>1786</v>
      </c>
      <c r="AQ10" s="1208"/>
      <c r="AR10" s="15" t="s">
        <v>1786</v>
      </c>
      <c r="AS10" s="1208"/>
      <c r="AT10" s="1781"/>
      <c r="AU10" s="1781"/>
      <c r="AV10" s="1202"/>
      <c r="AW10" s="1764"/>
      <c r="AX10" s="1202"/>
      <c r="AY10" s="28"/>
      <c r="AZ10" s="28"/>
      <c r="BA10" s="1798" t="s">
        <v>1777</v>
      </c>
      <c r="BB10" s="1799" t="str">
        <f>I9</f>
        <v>地上</v>
      </c>
      <c r="BC10" s="29" t="str">
        <f>K9</f>
        <v>地下</v>
      </c>
      <c r="BD10" s="29" t="str">
        <f>M9</f>
        <v>地上</v>
      </c>
      <c r="BE10" s="29">
        <f>O9</f>
        <v>0</v>
      </c>
      <c r="BF10" s="29">
        <f>Q9</f>
        <v>0</v>
      </c>
      <c r="BG10" s="29">
        <f>S9</f>
        <v>0</v>
      </c>
      <c r="BH10" s="29">
        <f>U9</f>
        <v>0</v>
      </c>
      <c r="BI10" s="29">
        <f>W9</f>
        <v>0</v>
      </c>
      <c r="BJ10" s="29">
        <f>Y9</f>
        <v>0</v>
      </c>
      <c r="BK10" s="29">
        <f>AA9</f>
        <v>0</v>
      </c>
      <c r="BL10" s="25" t="s">
        <v>1777</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1787</v>
      </c>
      <c r="AE11" s="1547"/>
      <c r="AF11" s="1803" t="s">
        <v>1787</v>
      </c>
      <c r="AG11" s="1547"/>
      <c r="AH11" s="1803" t="s">
        <v>1788</v>
      </c>
      <c r="AI11" s="1804"/>
      <c r="AJ11" s="1803" t="s">
        <v>1788</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t="str">
        <f>M10</f>
        <v>商业</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2" t="s">
        <v>1790</v>
      </c>
      <c r="W12" s="11" t="s">
        <v>1789</v>
      </c>
      <c r="X12" s="11" t="s">
        <v>1790</v>
      </c>
      <c r="Y12" s="11" t="s">
        <v>1789</v>
      </c>
      <c r="Z12" s="11" t="s">
        <v>1790</v>
      </c>
      <c r="AA12" s="11" t="s">
        <v>1789</v>
      </c>
      <c r="AB12" s="11" t="s">
        <v>1790</v>
      </c>
      <c r="AC12" s="1808"/>
      <c r="AD12" s="1535"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6" t="s">
        <v>1790</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99" t="s">
        <v>3159</v>
      </c>
      <c r="D13" s="1812" t="s">
        <v>3155</v>
      </c>
      <c r="E13" s="16">
        <f>IF($C$3="是",ROUND($A$3*G13/$B$3,2),ROUND($A$3*(G13-AT13)/$B$3,2))</f>
        <v>56044.83</v>
      </c>
      <c r="F13" s="32"/>
      <c r="G13" s="33">
        <f>H13+AC13+AT13</f>
        <v>60489.66</v>
      </c>
      <c r="H13" s="20">
        <f>SUMIF(I$12:AB$12,"总值",I13:AB13)</f>
        <v>28650.899999999998</v>
      </c>
      <c r="I13" s="1813">
        <f>33362.32-AL13</f>
        <v>26144.92</v>
      </c>
      <c r="J13" s="1813"/>
      <c r="K13" s="1813">
        <v>2505.98</v>
      </c>
      <c r="L13" s="1813"/>
      <c r="M13" s="1813"/>
      <c r="N13" s="1813"/>
      <c r="O13" s="1813"/>
      <c r="P13" s="1813"/>
      <c r="Q13" s="1813"/>
      <c r="R13" s="1813"/>
      <c r="S13" s="1813"/>
      <c r="T13" s="1813"/>
      <c r="U13" s="1813"/>
      <c r="V13" s="1813"/>
      <c r="W13" s="1813"/>
      <c r="X13" s="1813"/>
      <c r="Y13" s="1813"/>
      <c r="Z13" s="1813"/>
      <c r="AA13" s="1813"/>
      <c r="AB13" s="1813"/>
      <c r="AC13" s="16">
        <f>SUMIF(AD$12:AS$12,"总值",AD13:AS13)</f>
        <v>31838.760000000002</v>
      </c>
      <c r="AD13" s="1814"/>
      <c r="AE13" s="1814"/>
      <c r="AF13" s="1814"/>
      <c r="AG13" s="1814"/>
      <c r="AH13" s="1814"/>
      <c r="AI13" s="1814"/>
      <c r="AJ13" s="1814"/>
      <c r="AK13" s="1814"/>
      <c r="AL13" s="1814">
        <v>7217.4</v>
      </c>
      <c r="AM13" s="1814"/>
      <c r="AN13" s="1814">
        <f>27127.34-K13</f>
        <v>24621.360000000001</v>
      </c>
      <c r="AO13" s="1814"/>
      <c r="AP13" s="1814"/>
      <c r="AQ13" s="1814"/>
      <c r="AR13" s="1814"/>
      <c r="AS13" s="1814"/>
      <c r="AT13" s="1815"/>
      <c r="AU13" s="1816"/>
      <c r="AV13" s="11">
        <f t="shared" ref="AV13:AX17" si="6">A13</f>
        <v>0</v>
      </c>
      <c r="AW13" s="11">
        <f t="shared" si="6"/>
        <v>0</v>
      </c>
      <c r="AX13" s="11" t="str">
        <f t="shared" si="6"/>
        <v>高层酒店</v>
      </c>
      <c r="AY13" s="1535">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25.5">
      <c r="A14" s="1182"/>
      <c r="B14" s="3099" t="s">
        <v>3161</v>
      </c>
      <c r="C14" s="3100" t="s">
        <v>3160</v>
      </c>
      <c r="D14" s="1812" t="s">
        <v>3155</v>
      </c>
      <c r="E14" s="16">
        <f>IF($C$3="是",ROUND($A$3*G14/$B$3,2),ROUND($A$3*(G14-AT14)/$B$3,2))</f>
        <v>1127.05</v>
      </c>
      <c r="F14" s="32"/>
      <c r="G14" s="33">
        <f>H14+AC14+AT14</f>
        <v>1216.44</v>
      </c>
      <c r="H14" s="20">
        <f>SUMIF(I$12:AB$12,"总值",I14:AB14)</f>
        <v>1216.44</v>
      </c>
      <c r="I14" s="1813">
        <f>202.74*6</f>
        <v>1216.44</v>
      </c>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t="str">
        <f t="shared" si="6"/>
        <v>在二期土地上</v>
      </c>
      <c r="AX14" s="11" t="str">
        <f t="shared" si="6"/>
        <v>低层独栋酒店B1型</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25.5">
      <c r="A15" s="1182"/>
      <c r="B15" s="3099" t="s">
        <v>3161</v>
      </c>
      <c r="C15" s="3100" t="s">
        <v>3162</v>
      </c>
      <c r="D15" s="1812" t="s">
        <v>3155</v>
      </c>
      <c r="E15" s="16">
        <f>IF($C$3="是",ROUND($A$3*G15/$B$3,2),ROUND($A$3*(G15-AT15)/$B$3,2))</f>
        <v>464.45</v>
      </c>
      <c r="F15" s="32"/>
      <c r="G15" s="33">
        <f>H15+AC15+AT15</f>
        <v>501.28</v>
      </c>
      <c r="H15" s="20">
        <f>SUMIF(I$12:AB$12,"总值",I15:AB15)</f>
        <v>501.28</v>
      </c>
      <c r="I15" s="1813">
        <v>501.28</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t="str">
        <f t="shared" si="6"/>
        <v>在二期土地上</v>
      </c>
      <c r="AX15" s="11" t="str">
        <f t="shared" si="6"/>
        <v>低层独栋酒店C1型</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38.25">
      <c r="A16" s="1182"/>
      <c r="B16" s="1182"/>
      <c r="C16" s="3100" t="s">
        <v>3163</v>
      </c>
      <c r="D16" s="1812" t="s">
        <v>3158</v>
      </c>
      <c r="E16" s="16">
        <f>IF($C$3="是",ROUND($A$3*G16/$B$3,2),ROUND($A$3*(G16-AT16)/$B$3,2))</f>
        <v>10684.47</v>
      </c>
      <c r="F16" s="32"/>
      <c r="G16" s="33">
        <f>H16+AC16+AT16</f>
        <v>11531.84</v>
      </c>
      <c r="H16" s="20">
        <f>SUMIF(I$12:AB$12,"总值",I16:AB16)</f>
        <v>5790.6600000000008</v>
      </c>
      <c r="I16" s="1813">
        <f>抵押物清单!F21</f>
        <v>5790.6600000000008</v>
      </c>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5741.18</v>
      </c>
      <c r="AD16" s="1814"/>
      <c r="AE16" s="1814"/>
      <c r="AF16" s="1814"/>
      <c r="AG16" s="1814"/>
      <c r="AH16" s="1814"/>
      <c r="AI16" s="1814"/>
      <c r="AJ16" s="1814"/>
      <c r="AK16" s="1814"/>
      <c r="AL16" s="1814"/>
      <c r="AM16" s="1814"/>
      <c r="AN16" s="1814">
        <v>5741.18</v>
      </c>
      <c r="AO16" s="1814"/>
      <c r="AP16" s="1814"/>
      <c r="AQ16" s="1814"/>
      <c r="AR16" s="1814"/>
      <c r="AS16" s="1814"/>
      <c r="AT16" s="1815"/>
      <c r="AU16" s="1816"/>
      <c r="AV16" s="11">
        <f t="shared" si="6"/>
        <v>0</v>
      </c>
      <c r="AW16" s="11">
        <f t="shared" si="6"/>
        <v>0</v>
      </c>
      <c r="AX16" s="11" t="str">
        <f t="shared" si="6"/>
        <v>低层独栋酒店D、E、F型</v>
      </c>
      <c r="AY16" s="1535">
        <f>ROUND($AY$6*AZ16/$AZ$5,2)</f>
        <v>10684.47</v>
      </c>
      <c r="AZ16" s="16">
        <f>BA16+BL16</f>
        <v>11531.84</v>
      </c>
      <c r="BA16" s="16">
        <f>SUM(BB16:BK16)</f>
        <v>5790.6600000000008</v>
      </c>
      <c r="BB16" s="16">
        <f>IF($D16="是",I16-J16,0)</f>
        <v>5790.6600000000008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5741.18</v>
      </c>
      <c r="BM16" s="16">
        <f>IF($D16="是",AD16-AE16,0)</f>
        <v>0</v>
      </c>
      <c r="BN16" s="16">
        <f>IF($D16="是",AF16-AG16,0)</f>
        <v>0</v>
      </c>
      <c r="BO16" s="16">
        <f>IF($D16="是",AH16-AI16,0)</f>
        <v>0</v>
      </c>
      <c r="BP16" s="16">
        <f>IF($D16="是",AJ16-AK16,0)</f>
        <v>0</v>
      </c>
      <c r="BQ16" s="16">
        <f>IF($D16="是",AL16-AM16,0)</f>
        <v>0</v>
      </c>
      <c r="BR16" s="16">
        <f>IF($D16="是",AN16-AO16,0)</f>
        <v>5741.18</v>
      </c>
      <c r="BS16" s="16">
        <f>IF($D16="是",AP16-AQ16,0)</f>
        <v>0</v>
      </c>
      <c r="BT16" s="22">
        <f>IF($D16="是",AR16-AS16,0)</f>
        <v>0</v>
      </c>
    </row>
    <row r="17" spans="1:72" s="1766" customFormat="1" ht="12.75">
      <c r="A17" s="1182"/>
      <c r="B17" s="1182"/>
      <c r="C17" s="3100"/>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100"/>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0" t="s">
        <v>0</v>
      </c>
      <c r="B1" s="3190" t="s">
        <v>4</v>
      </c>
      <c r="C1" s="3190" t="s">
        <v>5</v>
      </c>
      <c r="D1" s="3191" t="s">
        <v>53</v>
      </c>
      <c r="E1" s="3191" t="s">
        <v>54</v>
      </c>
      <c r="F1" s="3191"/>
      <c r="G1" s="3191"/>
      <c r="H1" s="3191"/>
      <c r="I1" s="3191"/>
      <c r="J1" s="3191"/>
      <c r="K1" s="3191"/>
      <c r="L1" s="3191"/>
      <c r="M1" s="3191"/>
    </row>
    <row r="2" spans="1:13" ht="27" customHeight="1">
      <c r="A2" s="3190"/>
      <c r="B2" s="3190"/>
      <c r="C2" s="3190"/>
      <c r="D2" s="3191"/>
      <c r="E2" s="3191" t="s">
        <v>37</v>
      </c>
      <c r="F2" s="3191" t="s">
        <v>38</v>
      </c>
      <c r="G2" s="3191"/>
      <c r="H2" s="3191"/>
      <c r="I2" s="3191"/>
      <c r="J2" s="3191" t="s">
        <v>39</v>
      </c>
      <c r="K2" s="3191"/>
      <c r="L2" s="3191"/>
      <c r="M2" s="3191"/>
    </row>
    <row r="3" spans="1:13" ht="28.5">
      <c r="A3" s="3190"/>
      <c r="B3" s="3190"/>
      <c r="C3" s="3190"/>
      <c r="D3" s="3191"/>
      <c r="E3" s="31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1" t="s">
        <v>55</v>
      </c>
      <c r="B9" s="3191"/>
      <c r="C9" s="31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2"/>
  <sheetViews>
    <sheetView topLeftCell="A25" workbookViewId="0">
      <selection activeCell="H50" sqref="H50"/>
    </sheetView>
  </sheetViews>
  <sheetFormatPr defaultRowHeight="13.5"/>
  <cols>
    <col min="3" max="3" width="13.375" customWidth="1"/>
    <col min="6" max="6" width="14.625" customWidth="1"/>
    <col min="8" max="9" width="10.5" bestFit="1" customWidth="1"/>
    <col min="14" max="14" width="9.5" bestFit="1" customWidth="1"/>
  </cols>
  <sheetData>
    <row r="1" spans="1:6" ht="23.25" thickBot="1">
      <c r="A1" s="3192" t="s">
        <v>3138</v>
      </c>
      <c r="B1" s="3193"/>
      <c r="C1" s="3193"/>
      <c r="D1" s="3193"/>
      <c r="E1" s="3193"/>
      <c r="F1" s="3193"/>
    </row>
    <row r="2" spans="1:6" ht="15" thickBot="1">
      <c r="A2" s="3094" t="s">
        <v>3139</v>
      </c>
      <c r="B2" s="3094" t="s">
        <v>3140</v>
      </c>
      <c r="C2" s="3094" t="s">
        <v>3141</v>
      </c>
      <c r="D2" s="3094" t="s">
        <v>3142</v>
      </c>
      <c r="E2" s="3094" t="s">
        <v>3143</v>
      </c>
      <c r="F2" s="3094" t="s">
        <v>3144</v>
      </c>
    </row>
    <row r="3" spans="1:6">
      <c r="A3" s="3095">
        <v>1</v>
      </c>
      <c r="B3" s="3095">
        <v>600</v>
      </c>
      <c r="C3" s="3095" t="s">
        <v>3145</v>
      </c>
      <c r="D3" s="3095" t="s">
        <v>3146</v>
      </c>
      <c r="E3" s="3095" t="s">
        <v>3147</v>
      </c>
      <c r="F3" s="3095">
        <v>177.47</v>
      </c>
    </row>
    <row r="4" spans="1:6">
      <c r="A4" s="3095">
        <v>2</v>
      </c>
      <c r="B4" s="3096">
        <v>601</v>
      </c>
      <c r="C4" s="3095" t="s">
        <v>3145</v>
      </c>
      <c r="D4" s="3095" t="s">
        <v>3146</v>
      </c>
      <c r="E4" s="3095" t="s">
        <v>3147</v>
      </c>
      <c r="F4" s="3095">
        <v>177.47</v>
      </c>
    </row>
    <row r="5" spans="1:6">
      <c r="A5" s="3095">
        <v>3</v>
      </c>
      <c r="B5" s="3096">
        <v>602</v>
      </c>
      <c r="C5" s="3095" t="s">
        <v>3145</v>
      </c>
      <c r="D5" s="3095" t="s">
        <v>3146</v>
      </c>
      <c r="E5" s="3095" t="s">
        <v>3147</v>
      </c>
      <c r="F5" s="3095">
        <v>177.47</v>
      </c>
    </row>
    <row r="6" spans="1:6">
      <c r="A6" s="3095">
        <v>4</v>
      </c>
      <c r="B6" s="3096">
        <v>603</v>
      </c>
      <c r="C6" s="3095" t="s">
        <v>3145</v>
      </c>
      <c r="D6" s="3095" t="s">
        <v>3146</v>
      </c>
      <c r="E6" s="3095" t="s">
        <v>3147</v>
      </c>
      <c r="F6" s="3095">
        <v>177.47</v>
      </c>
    </row>
    <row r="7" spans="1:6">
      <c r="A7" s="3095">
        <v>5</v>
      </c>
      <c r="B7" s="3096">
        <v>605</v>
      </c>
      <c r="C7" s="3095" t="s">
        <v>3145</v>
      </c>
      <c r="D7" s="3095" t="s">
        <v>3146</v>
      </c>
      <c r="E7" s="3095" t="s">
        <v>3147</v>
      </c>
      <c r="F7" s="3095">
        <v>177.47</v>
      </c>
    </row>
    <row r="8" spans="1:6">
      <c r="A8" s="3095">
        <v>6</v>
      </c>
      <c r="B8" s="3096">
        <v>606</v>
      </c>
      <c r="C8" s="3095" t="s">
        <v>3145</v>
      </c>
      <c r="D8" s="3095" t="s">
        <v>3146</v>
      </c>
      <c r="E8" s="3095" t="s">
        <v>3147</v>
      </c>
      <c r="F8" s="3095">
        <v>177.47</v>
      </c>
    </row>
    <row r="9" spans="1:6">
      <c r="A9" s="3095">
        <v>7</v>
      </c>
      <c r="B9" s="3096">
        <v>607</v>
      </c>
      <c r="C9" s="3095" t="s">
        <v>3145</v>
      </c>
      <c r="D9" s="3095" t="s">
        <v>3146</v>
      </c>
      <c r="E9" s="3095" t="s">
        <v>3147</v>
      </c>
      <c r="F9" s="3095">
        <v>177.47</v>
      </c>
    </row>
    <row r="10" spans="1:6">
      <c r="A10" s="3095">
        <v>8</v>
      </c>
      <c r="B10" s="3096">
        <v>608</v>
      </c>
      <c r="C10" s="3095" t="s">
        <v>3145</v>
      </c>
      <c r="D10" s="3095" t="s">
        <v>3146</v>
      </c>
      <c r="E10" s="3095" t="s">
        <v>3147</v>
      </c>
      <c r="F10" s="3095">
        <v>177.47</v>
      </c>
    </row>
    <row r="11" spans="1:6">
      <c r="A11" s="3095">
        <v>9</v>
      </c>
      <c r="B11" s="3096">
        <v>609</v>
      </c>
      <c r="C11" s="3095" t="s">
        <v>3145</v>
      </c>
      <c r="D11" s="3095" t="s">
        <v>3146</v>
      </c>
      <c r="E11" s="3095" t="s">
        <v>3147</v>
      </c>
      <c r="F11" s="3095">
        <v>177.47</v>
      </c>
    </row>
    <row r="12" spans="1:6">
      <c r="A12" s="3095">
        <v>10</v>
      </c>
      <c r="B12" s="3096">
        <v>610</v>
      </c>
      <c r="C12" s="3095" t="s">
        <v>3145</v>
      </c>
      <c r="D12" s="3095" t="s">
        <v>3146</v>
      </c>
      <c r="E12" s="3095" t="s">
        <v>3147</v>
      </c>
      <c r="F12" s="3095">
        <v>177.47</v>
      </c>
    </row>
    <row r="13" spans="1:6">
      <c r="A13" s="3095">
        <v>11</v>
      </c>
      <c r="B13" s="3096">
        <v>611</v>
      </c>
      <c r="C13" s="3095" t="s">
        <v>3145</v>
      </c>
      <c r="D13" s="3095" t="s">
        <v>3146</v>
      </c>
      <c r="E13" s="3096" t="s">
        <v>3148</v>
      </c>
      <c r="F13" s="3096">
        <v>404.07</v>
      </c>
    </row>
    <row r="14" spans="1:6">
      <c r="A14" s="3095">
        <v>12</v>
      </c>
      <c r="B14" s="3096">
        <v>612</v>
      </c>
      <c r="C14" s="3095" t="s">
        <v>3145</v>
      </c>
      <c r="D14" s="3095" t="s">
        <v>3146</v>
      </c>
      <c r="E14" s="3096" t="s">
        <v>3148</v>
      </c>
      <c r="F14" s="3096">
        <v>404.07</v>
      </c>
    </row>
    <row r="15" spans="1:6">
      <c r="A15" s="3095">
        <v>13</v>
      </c>
      <c r="B15" s="3096">
        <v>613</v>
      </c>
      <c r="C15" s="3095" t="s">
        <v>3145</v>
      </c>
      <c r="D15" s="3095" t="s">
        <v>3146</v>
      </c>
      <c r="E15" s="3096" t="s">
        <v>3148</v>
      </c>
      <c r="F15" s="3096">
        <v>404.07</v>
      </c>
    </row>
    <row r="16" spans="1:6">
      <c r="A16" s="3095">
        <v>14</v>
      </c>
      <c r="B16" s="3096">
        <v>615</v>
      </c>
      <c r="C16" s="3095" t="s">
        <v>3145</v>
      </c>
      <c r="D16" s="3095" t="s">
        <v>3146</v>
      </c>
      <c r="E16" s="3096" t="s">
        <v>3148</v>
      </c>
      <c r="F16" s="3096">
        <v>404.07</v>
      </c>
    </row>
    <row r="17" spans="1:16">
      <c r="A17" s="3095">
        <v>15</v>
      </c>
      <c r="B17" s="3096">
        <v>616</v>
      </c>
      <c r="C17" s="3095" t="s">
        <v>3145</v>
      </c>
      <c r="D17" s="3095" t="s">
        <v>3146</v>
      </c>
      <c r="E17" s="3096" t="s">
        <v>3149</v>
      </c>
      <c r="F17" s="3096">
        <v>599.91999999999996</v>
      </c>
    </row>
    <row r="18" spans="1:16">
      <c r="A18" s="3095">
        <v>16</v>
      </c>
      <c r="B18" s="3096">
        <v>617</v>
      </c>
      <c r="C18" s="3095" t="s">
        <v>3145</v>
      </c>
      <c r="D18" s="3095" t="s">
        <v>3146</v>
      </c>
      <c r="E18" s="3096" t="s">
        <v>3149</v>
      </c>
      <c r="F18" s="3096">
        <v>599.91999999999996</v>
      </c>
    </row>
    <row r="19" spans="1:16">
      <c r="A19" s="3095">
        <v>17</v>
      </c>
      <c r="B19" s="3096">
        <v>618</v>
      </c>
      <c r="C19" s="3095" t="s">
        <v>3145</v>
      </c>
      <c r="D19" s="3095" t="s">
        <v>3146</v>
      </c>
      <c r="E19" s="3096" t="s">
        <v>3149</v>
      </c>
      <c r="F19" s="3096">
        <v>599.91999999999996</v>
      </c>
    </row>
    <row r="20" spans="1:16">
      <c r="A20" s="3095">
        <v>18</v>
      </c>
      <c r="B20" s="3096">
        <v>619</v>
      </c>
      <c r="C20" s="3095" t="s">
        <v>3145</v>
      </c>
      <c r="D20" s="3095" t="s">
        <v>3146</v>
      </c>
      <c r="E20" s="3096" t="s">
        <v>3149</v>
      </c>
      <c r="F20" s="3096">
        <v>599.91999999999996</v>
      </c>
    </row>
    <row r="21" spans="1:16">
      <c r="A21" s="3194" t="s">
        <v>37</v>
      </c>
      <c r="B21" s="3195"/>
      <c r="C21" s="3097"/>
      <c r="D21" s="3097"/>
      <c r="E21" s="3097"/>
      <c r="F21" s="3097">
        <f>SUM(F3:F20)</f>
        <v>5790.6600000000008</v>
      </c>
    </row>
    <row r="24" spans="1:16" ht="23.25" thickBot="1">
      <c r="A24" s="3192" t="s">
        <v>3138</v>
      </c>
      <c r="B24" s="3192"/>
      <c r="C24" s="3192"/>
      <c r="D24" s="3192"/>
      <c r="E24" s="3192"/>
      <c r="F24" s="3192"/>
      <c r="G24" s="3192"/>
      <c r="H24" s="3192"/>
      <c r="I24" s="3192"/>
      <c r="J24" s="3192"/>
    </row>
    <row r="25" spans="1:16" ht="57.75" thickBot="1">
      <c r="A25" s="3094" t="s">
        <v>3139</v>
      </c>
      <c r="B25" s="3094" t="s">
        <v>3140</v>
      </c>
      <c r="C25" s="3094" t="s">
        <v>3141</v>
      </c>
      <c r="D25" s="3094" t="s">
        <v>3142</v>
      </c>
      <c r="E25" s="3094" t="s">
        <v>3143</v>
      </c>
      <c r="F25" s="3094" t="s">
        <v>3262</v>
      </c>
      <c r="G25" s="3094" t="s">
        <v>3263</v>
      </c>
      <c r="H25" s="3094" t="s">
        <v>3264</v>
      </c>
      <c r="I25" s="3094" t="s">
        <v>3265</v>
      </c>
      <c r="J25" s="3094" t="s">
        <v>3266</v>
      </c>
    </row>
    <row r="26" spans="1:16">
      <c r="A26" s="3107">
        <v>1</v>
      </c>
      <c r="B26" s="3107">
        <v>600</v>
      </c>
      <c r="C26" s="3107" t="s">
        <v>3145</v>
      </c>
      <c r="D26" s="3107" t="s">
        <v>3146</v>
      </c>
      <c r="E26" s="3107" t="s">
        <v>3147</v>
      </c>
      <c r="F26" s="3107">
        <v>177.47</v>
      </c>
      <c r="G26" s="3108">
        <v>1</v>
      </c>
      <c r="H26" s="3109">
        <v>295.2</v>
      </c>
      <c r="I26" s="3109">
        <v>2</v>
      </c>
      <c r="J26" s="3109">
        <v>117.48</v>
      </c>
      <c r="L26">
        <f>F26+H26</f>
        <v>472.66999999999996</v>
      </c>
      <c r="M26">
        <f>N26/L26</f>
        <v>75092.559290837162</v>
      </c>
      <c r="N26">
        <f>F26*200000</f>
        <v>35494000</v>
      </c>
    </row>
    <row r="27" spans="1:16">
      <c r="A27" s="3107">
        <v>2</v>
      </c>
      <c r="B27" s="3110">
        <v>601</v>
      </c>
      <c r="C27" s="3107" t="s">
        <v>3145</v>
      </c>
      <c r="D27" s="3107" t="s">
        <v>3146</v>
      </c>
      <c r="E27" s="3107" t="s">
        <v>3147</v>
      </c>
      <c r="F27" s="3107">
        <v>177.47</v>
      </c>
      <c r="G27" s="3108">
        <v>1</v>
      </c>
      <c r="H27" s="3109">
        <v>295.2</v>
      </c>
      <c r="I27" s="3109">
        <v>2</v>
      </c>
      <c r="J27" s="3109">
        <v>117.48</v>
      </c>
      <c r="P27" s="3116"/>
    </row>
    <row r="28" spans="1:16">
      <c r="A28" s="3107">
        <v>3</v>
      </c>
      <c r="B28" s="3110">
        <v>602</v>
      </c>
      <c r="C28" s="3107" t="s">
        <v>3145</v>
      </c>
      <c r="D28" s="3107" t="s">
        <v>3146</v>
      </c>
      <c r="E28" s="3107" t="s">
        <v>3147</v>
      </c>
      <c r="F28" s="3107">
        <v>177.47</v>
      </c>
      <c r="G28" s="3108">
        <v>1</v>
      </c>
      <c r="H28" s="3109">
        <v>295.2</v>
      </c>
      <c r="I28" s="3109">
        <v>2</v>
      </c>
      <c r="J28" s="3109">
        <v>117.48</v>
      </c>
    </row>
    <row r="29" spans="1:16">
      <c r="A29" s="3107">
        <v>4</v>
      </c>
      <c r="B29" s="3110">
        <v>603</v>
      </c>
      <c r="C29" s="3107" t="s">
        <v>3145</v>
      </c>
      <c r="D29" s="3107" t="s">
        <v>3146</v>
      </c>
      <c r="E29" s="3107" t="s">
        <v>3147</v>
      </c>
      <c r="F29" s="3107">
        <v>177.47</v>
      </c>
      <c r="G29" s="3108">
        <v>1</v>
      </c>
      <c r="H29" s="3109">
        <v>295.2</v>
      </c>
      <c r="I29" s="3109">
        <v>2</v>
      </c>
      <c r="J29" s="3109">
        <v>117.48</v>
      </c>
    </row>
    <row r="30" spans="1:16">
      <c r="A30" s="3107">
        <v>5</v>
      </c>
      <c r="B30" s="3110">
        <v>605</v>
      </c>
      <c r="C30" s="3107" t="s">
        <v>3145</v>
      </c>
      <c r="D30" s="3107" t="s">
        <v>3146</v>
      </c>
      <c r="E30" s="3107" t="s">
        <v>3147</v>
      </c>
      <c r="F30" s="3107">
        <v>177.47</v>
      </c>
      <c r="G30" s="3108">
        <v>1</v>
      </c>
      <c r="H30" s="3109">
        <v>295.2</v>
      </c>
      <c r="I30" s="3109">
        <v>2</v>
      </c>
      <c r="J30" s="3109">
        <v>117.48</v>
      </c>
    </row>
    <row r="31" spans="1:16">
      <c r="A31" s="3107">
        <v>6</v>
      </c>
      <c r="B31" s="3110">
        <v>606</v>
      </c>
      <c r="C31" s="3107" t="s">
        <v>3145</v>
      </c>
      <c r="D31" s="3107" t="s">
        <v>3146</v>
      </c>
      <c r="E31" s="3107" t="s">
        <v>3147</v>
      </c>
      <c r="F31" s="3107">
        <v>177.47</v>
      </c>
      <c r="G31" s="3108">
        <v>1</v>
      </c>
      <c r="H31" s="3109">
        <v>295.2</v>
      </c>
      <c r="I31" s="3109">
        <v>2</v>
      </c>
      <c r="J31" s="3109">
        <v>117.48</v>
      </c>
    </row>
    <row r="32" spans="1:16">
      <c r="A32" s="3107">
        <v>7</v>
      </c>
      <c r="B32" s="3110">
        <v>607</v>
      </c>
      <c r="C32" s="3107" t="s">
        <v>3145</v>
      </c>
      <c r="D32" s="3107" t="s">
        <v>3146</v>
      </c>
      <c r="E32" s="3107" t="s">
        <v>3147</v>
      </c>
      <c r="F32" s="3107">
        <v>177.47</v>
      </c>
      <c r="G32" s="3108">
        <v>1</v>
      </c>
      <c r="H32" s="3109">
        <v>295.2</v>
      </c>
      <c r="I32" s="3109">
        <v>2</v>
      </c>
      <c r="J32" s="3109">
        <v>117.48</v>
      </c>
    </row>
    <row r="33" spans="1:10">
      <c r="A33" s="3107">
        <v>8</v>
      </c>
      <c r="B33" s="3110">
        <v>608</v>
      </c>
      <c r="C33" s="3107" t="s">
        <v>3145</v>
      </c>
      <c r="D33" s="3107" t="s">
        <v>3146</v>
      </c>
      <c r="E33" s="3107" t="s">
        <v>3147</v>
      </c>
      <c r="F33" s="3107">
        <v>177.47</v>
      </c>
      <c r="G33" s="3108">
        <v>1</v>
      </c>
      <c r="H33" s="3109">
        <v>295.2</v>
      </c>
      <c r="I33" s="3109">
        <v>2</v>
      </c>
      <c r="J33" s="3109">
        <v>117.48</v>
      </c>
    </row>
    <row r="34" spans="1:10">
      <c r="A34" s="3107">
        <v>9</v>
      </c>
      <c r="B34" s="3110">
        <v>609</v>
      </c>
      <c r="C34" s="3107" t="s">
        <v>3145</v>
      </c>
      <c r="D34" s="3107" t="s">
        <v>3146</v>
      </c>
      <c r="E34" s="3107" t="s">
        <v>3147</v>
      </c>
      <c r="F34" s="3107">
        <v>177.47</v>
      </c>
      <c r="G34" s="3108">
        <v>1</v>
      </c>
      <c r="H34" s="3109">
        <v>295.2</v>
      </c>
      <c r="I34" s="3109">
        <v>2</v>
      </c>
      <c r="J34" s="3109">
        <v>117.48</v>
      </c>
    </row>
    <row r="35" spans="1:10">
      <c r="A35" s="3107">
        <v>10</v>
      </c>
      <c r="B35" s="3110">
        <v>610</v>
      </c>
      <c r="C35" s="3107" t="s">
        <v>3145</v>
      </c>
      <c r="D35" s="3107" t="s">
        <v>3146</v>
      </c>
      <c r="E35" s="3107" t="s">
        <v>3147</v>
      </c>
      <c r="F35" s="3107">
        <v>177.47</v>
      </c>
      <c r="G35" s="3108">
        <v>1</v>
      </c>
      <c r="H35" s="3109">
        <v>295.2</v>
      </c>
      <c r="I35" s="3109">
        <v>2</v>
      </c>
      <c r="J35" s="3109">
        <v>117.48</v>
      </c>
    </row>
    <row r="36" spans="1:10">
      <c r="A36" s="3107">
        <v>11</v>
      </c>
      <c r="B36" s="3110">
        <v>611</v>
      </c>
      <c r="C36" s="3107" t="s">
        <v>3145</v>
      </c>
      <c r="D36" s="3107" t="s">
        <v>3146</v>
      </c>
      <c r="E36" s="3110" t="s">
        <v>3148</v>
      </c>
      <c r="F36" s="3110">
        <v>404.07</v>
      </c>
      <c r="G36" s="3108">
        <v>1</v>
      </c>
      <c r="H36" s="3109">
        <v>507.06</v>
      </c>
      <c r="I36" s="3109">
        <v>2</v>
      </c>
      <c r="J36" s="3108">
        <v>402.97</v>
      </c>
    </row>
    <row r="37" spans="1:10">
      <c r="A37" s="3107">
        <v>12</v>
      </c>
      <c r="B37" s="3110">
        <v>612</v>
      </c>
      <c r="C37" s="3107" t="s">
        <v>3145</v>
      </c>
      <c r="D37" s="3107" t="s">
        <v>3146</v>
      </c>
      <c r="E37" s="3110" t="s">
        <v>3148</v>
      </c>
      <c r="F37" s="3110">
        <v>404.07</v>
      </c>
      <c r="G37" s="3108">
        <v>1</v>
      </c>
      <c r="H37" s="3109">
        <v>507.06</v>
      </c>
      <c r="I37" s="3109">
        <v>2</v>
      </c>
      <c r="J37" s="3108">
        <v>402.97</v>
      </c>
    </row>
    <row r="38" spans="1:10">
      <c r="A38" s="3107">
        <v>13</v>
      </c>
      <c r="B38" s="3110">
        <v>613</v>
      </c>
      <c r="C38" s="3107" t="s">
        <v>3145</v>
      </c>
      <c r="D38" s="3107" t="s">
        <v>3146</v>
      </c>
      <c r="E38" s="3110" t="s">
        <v>3148</v>
      </c>
      <c r="F38" s="3110">
        <v>404.07</v>
      </c>
      <c r="G38" s="3108">
        <v>1</v>
      </c>
      <c r="H38" s="3109">
        <v>507.06</v>
      </c>
      <c r="I38" s="3109">
        <v>2</v>
      </c>
      <c r="J38" s="3108">
        <v>402.97</v>
      </c>
    </row>
    <row r="39" spans="1:10">
      <c r="A39" s="3107">
        <v>14</v>
      </c>
      <c r="B39" s="3110">
        <v>615</v>
      </c>
      <c r="C39" s="3107" t="s">
        <v>3145</v>
      </c>
      <c r="D39" s="3107" t="s">
        <v>3146</v>
      </c>
      <c r="E39" s="3110" t="s">
        <v>3148</v>
      </c>
      <c r="F39" s="3110">
        <v>404.07</v>
      </c>
      <c r="G39" s="3108">
        <v>1</v>
      </c>
      <c r="H39" s="3109">
        <v>507.06</v>
      </c>
      <c r="I39" s="3109">
        <v>2</v>
      </c>
      <c r="J39" s="3108">
        <v>402.97</v>
      </c>
    </row>
    <row r="40" spans="1:10">
      <c r="A40" s="3196">
        <v>15</v>
      </c>
      <c r="B40" s="3198">
        <v>616</v>
      </c>
      <c r="C40" s="3196" t="s">
        <v>3145</v>
      </c>
      <c r="D40" s="3196" t="s">
        <v>3146</v>
      </c>
      <c r="E40" s="3198" t="s">
        <v>3149</v>
      </c>
      <c r="F40" s="3198">
        <v>599.91999999999996</v>
      </c>
      <c r="G40" s="3109" t="s">
        <v>3267</v>
      </c>
      <c r="H40" s="3096">
        <v>639.04</v>
      </c>
      <c r="I40" s="3199">
        <v>2</v>
      </c>
      <c r="J40" s="3199">
        <v>409.67</v>
      </c>
    </row>
    <row r="41" spans="1:10">
      <c r="A41" s="3197"/>
      <c r="B41" s="3197"/>
      <c r="C41" s="3197"/>
      <c r="D41" s="3197"/>
      <c r="E41" s="3197"/>
      <c r="F41" s="3197"/>
      <c r="G41" s="3109" t="s">
        <v>3268</v>
      </c>
      <c r="H41" s="3096">
        <v>825.1</v>
      </c>
      <c r="I41" s="3200"/>
      <c r="J41" s="3200"/>
    </row>
    <row r="42" spans="1:10">
      <c r="A42" s="3196">
        <v>16</v>
      </c>
      <c r="B42" s="3198">
        <v>617</v>
      </c>
      <c r="C42" s="3196" t="s">
        <v>3145</v>
      </c>
      <c r="D42" s="3196" t="s">
        <v>3146</v>
      </c>
      <c r="E42" s="3198" t="s">
        <v>3149</v>
      </c>
      <c r="F42" s="3198">
        <v>599.91999999999996</v>
      </c>
      <c r="G42" s="3109" t="s">
        <v>3267</v>
      </c>
      <c r="H42" s="3096">
        <v>639.04</v>
      </c>
      <c r="I42" s="3199">
        <v>2</v>
      </c>
      <c r="J42" s="3199">
        <v>409.67</v>
      </c>
    </row>
    <row r="43" spans="1:10">
      <c r="A43" s="3197"/>
      <c r="B43" s="3197"/>
      <c r="C43" s="3197"/>
      <c r="D43" s="3197"/>
      <c r="E43" s="3197"/>
      <c r="F43" s="3197"/>
      <c r="G43" s="3109" t="s">
        <v>3268</v>
      </c>
      <c r="H43" s="3096">
        <v>825.1</v>
      </c>
      <c r="I43" s="3200"/>
      <c r="J43" s="3200"/>
    </row>
    <row r="44" spans="1:10">
      <c r="A44" s="3196">
        <v>17</v>
      </c>
      <c r="B44" s="3198">
        <v>618</v>
      </c>
      <c r="C44" s="3196" t="s">
        <v>3145</v>
      </c>
      <c r="D44" s="3196" t="s">
        <v>3146</v>
      </c>
      <c r="E44" s="3198" t="s">
        <v>3149</v>
      </c>
      <c r="F44" s="3198">
        <v>599.91999999999996</v>
      </c>
      <c r="G44" s="3109" t="s">
        <v>3267</v>
      </c>
      <c r="H44" s="3096">
        <v>639.04</v>
      </c>
      <c r="I44" s="3199">
        <v>2</v>
      </c>
      <c r="J44" s="3199">
        <v>409.67</v>
      </c>
    </row>
    <row r="45" spans="1:10">
      <c r="A45" s="3197"/>
      <c r="B45" s="3197"/>
      <c r="C45" s="3197"/>
      <c r="D45" s="3197"/>
      <c r="E45" s="3197"/>
      <c r="F45" s="3197"/>
      <c r="G45" s="3109" t="s">
        <v>3268</v>
      </c>
      <c r="H45" s="3096">
        <v>825.1</v>
      </c>
      <c r="I45" s="3200"/>
      <c r="J45" s="3200"/>
    </row>
    <row r="46" spans="1:10">
      <c r="A46" s="3196">
        <v>18</v>
      </c>
      <c r="B46" s="3198">
        <v>619</v>
      </c>
      <c r="C46" s="3196" t="s">
        <v>3145</v>
      </c>
      <c r="D46" s="3196" t="s">
        <v>3146</v>
      </c>
      <c r="E46" s="3198" t="s">
        <v>3149</v>
      </c>
      <c r="F46" s="3198">
        <v>599.91999999999996</v>
      </c>
      <c r="G46" s="3109" t="s">
        <v>3267</v>
      </c>
      <c r="H46" s="3096">
        <v>639.04</v>
      </c>
      <c r="I46" s="3199">
        <v>2</v>
      </c>
      <c r="J46" s="3199">
        <v>409.67</v>
      </c>
    </row>
    <row r="47" spans="1:10">
      <c r="A47" s="3197"/>
      <c r="B47" s="3197"/>
      <c r="C47" s="3197"/>
      <c r="D47" s="3197"/>
      <c r="E47" s="3197"/>
      <c r="F47" s="3197"/>
      <c r="G47" s="3109" t="s">
        <v>3268</v>
      </c>
      <c r="H47" s="3096">
        <v>825.1</v>
      </c>
      <c r="I47" s="3200"/>
      <c r="J47" s="3200"/>
    </row>
    <row r="48" spans="1:10">
      <c r="A48" s="3201" t="s">
        <v>37</v>
      </c>
      <c r="B48" s="3195"/>
      <c r="C48" s="3097"/>
      <c r="D48" s="3097"/>
      <c r="E48" s="3097"/>
      <c r="F48" s="3097">
        <f>SUM(F26:F46)</f>
        <v>5790.6600000000008</v>
      </c>
      <c r="G48" s="3108"/>
      <c r="H48" s="3097">
        <f>SUM(H26:H47)</f>
        <v>10836.800000000001</v>
      </c>
      <c r="I48" s="3108"/>
      <c r="J48" s="3097">
        <f>SUM(J26:J47)</f>
        <v>4425.3600000000006</v>
      </c>
    </row>
    <row r="50" spans="6:10">
      <c r="F50">
        <f>F48*(5000+3000)</f>
        <v>46325280.000000007</v>
      </c>
      <c r="H50">
        <f>H48*(6000+3000)</f>
        <v>97531200.000000015</v>
      </c>
      <c r="I50">
        <f>H50+F50</f>
        <v>143856480.00000003</v>
      </c>
      <c r="J50">
        <f>I50/I51</f>
        <v>8651.741155895128</v>
      </c>
    </row>
    <row r="51" spans="6:10">
      <c r="I51">
        <f>H48+F48</f>
        <v>16627.460000000003</v>
      </c>
    </row>
    <row r="52" spans="6:10">
      <c r="I52">
        <f>I50/('数据-汇总表'!E3)</f>
        <v>12474.720426228601</v>
      </c>
    </row>
  </sheetData>
  <mergeCells count="36">
    <mergeCell ref="F46:F47"/>
    <mergeCell ref="I46:I47"/>
    <mergeCell ref="J46:J47"/>
    <mergeCell ref="A48:B48"/>
    <mergeCell ref="A46:A47"/>
    <mergeCell ref="B46:B47"/>
    <mergeCell ref="C46:C47"/>
    <mergeCell ref="D46:D47"/>
    <mergeCell ref="E46:E47"/>
    <mergeCell ref="F42:F43"/>
    <mergeCell ref="I42:I43"/>
    <mergeCell ref="J42:J43"/>
    <mergeCell ref="A44:A45"/>
    <mergeCell ref="B44:B45"/>
    <mergeCell ref="C44:C45"/>
    <mergeCell ref="D44:D45"/>
    <mergeCell ref="E44:E45"/>
    <mergeCell ref="F44:F45"/>
    <mergeCell ref="I44:I45"/>
    <mergeCell ref="J44:J45"/>
    <mergeCell ref="A42:A43"/>
    <mergeCell ref="B42:B43"/>
    <mergeCell ref="C42:C43"/>
    <mergeCell ref="D42:D43"/>
    <mergeCell ref="E42:E43"/>
    <mergeCell ref="A1:F1"/>
    <mergeCell ref="A21:B21"/>
    <mergeCell ref="A24:J24"/>
    <mergeCell ref="A40:A41"/>
    <mergeCell ref="B40:B41"/>
    <mergeCell ref="C40:C41"/>
    <mergeCell ref="D40:D41"/>
    <mergeCell ref="E40:E41"/>
    <mergeCell ref="F40:F41"/>
    <mergeCell ref="I40:I41"/>
    <mergeCell ref="J40:J41"/>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XFC38"/>
  <sheetViews>
    <sheetView workbookViewId="0">
      <selection activeCell="F40" sqref="F40"/>
    </sheetView>
  </sheetViews>
  <sheetFormatPr defaultColWidth="9" defaultRowHeight="13.5"/>
  <cols>
    <col min="1" max="1" width="5.875" style="3089" customWidth="1"/>
    <col min="2" max="2" width="10.75" style="3090" customWidth="1"/>
    <col min="3" max="3" width="13.375" style="3091" customWidth="1"/>
    <col min="4" max="4" width="15" style="3091" customWidth="1"/>
    <col min="5" max="5" width="8.5" style="3091" customWidth="1"/>
    <col min="6" max="6" width="20.25" style="3091" customWidth="1"/>
    <col min="7" max="7" width="8.5" style="3092" customWidth="1"/>
    <col min="8" max="8" width="6.5" style="3092" customWidth="1"/>
    <col min="9" max="9" width="10.75" style="3091" customWidth="1"/>
    <col min="10" max="12" width="11" style="3091" customWidth="1"/>
    <col min="13" max="13" width="13.375" style="3093" customWidth="1"/>
    <col min="14" max="14" width="16.375" style="3091" customWidth="1"/>
    <col min="15" max="15" width="13" style="3091" customWidth="1"/>
    <col min="16" max="16" width="12.625" style="3091" customWidth="1"/>
    <col min="17" max="17" width="13.25" style="3091" customWidth="1"/>
    <col min="18" max="19" width="9" style="3092"/>
    <col min="20" max="20" width="15.875" style="3091" customWidth="1"/>
    <col min="21" max="21" width="13.375" style="3091" customWidth="1"/>
    <col min="22" max="22" width="14.5" style="3091" customWidth="1"/>
    <col min="23" max="23" width="15.375" style="3091" customWidth="1"/>
    <col min="24" max="24" width="15.625" style="3091" customWidth="1"/>
    <col min="25" max="25" width="14.5" style="3091" customWidth="1"/>
    <col min="26" max="26" width="18.875" style="3091" customWidth="1"/>
    <col min="27" max="27" width="18.375" style="3091" customWidth="1"/>
    <col min="28" max="28" width="20.25" style="3091" customWidth="1"/>
    <col min="29" max="30" width="9" style="3091"/>
    <col min="31" max="31" width="16.125" style="3091" customWidth="1"/>
    <col min="32" max="32" width="33.25" style="3091" customWidth="1"/>
    <col min="33" max="34" width="9" style="3091"/>
    <col min="35" max="35" width="18.625" style="3091" customWidth="1"/>
    <col min="36" max="36" width="19.875" style="3091" customWidth="1"/>
    <col min="37" max="16383" width="9" style="3091"/>
    <col min="16384" max="16384" width="9" style="1407"/>
  </cols>
  <sheetData>
    <row r="1" spans="1:19" s="3047" customFormat="1" ht="22.5">
      <c r="A1" s="3239" t="s">
        <v>3073</v>
      </c>
      <c r="B1" s="3240"/>
      <c r="C1" s="3240"/>
      <c r="D1" s="3240"/>
      <c r="E1" s="3240"/>
      <c r="F1" s="3240"/>
      <c r="G1" s="3240"/>
      <c r="H1" s="3240"/>
      <c r="I1" s="3240"/>
      <c r="J1" s="3240"/>
      <c r="K1" s="3240"/>
      <c r="L1" s="3240"/>
      <c r="M1" s="3240"/>
      <c r="N1" s="3240"/>
      <c r="O1" s="3240"/>
      <c r="P1" s="3240"/>
      <c r="Q1" s="3240"/>
      <c r="R1" s="3046"/>
      <c r="S1" s="3046"/>
    </row>
    <row r="2" spans="1:19" s="3051" customFormat="1">
      <c r="A2" s="3048" t="s">
        <v>3074</v>
      </c>
      <c r="B2" s="3049" t="s">
        <v>3075</v>
      </c>
      <c r="C2" s="3048" t="s">
        <v>3076</v>
      </c>
      <c r="D2" s="3048" t="s">
        <v>3077</v>
      </c>
      <c r="E2" s="3048" t="s">
        <v>3078</v>
      </c>
      <c r="F2" s="3048" t="s">
        <v>3079</v>
      </c>
      <c r="G2" s="3048" t="s">
        <v>3080</v>
      </c>
      <c r="H2" s="3048" t="s">
        <v>3081</v>
      </c>
      <c r="I2" s="3048" t="s">
        <v>3082</v>
      </c>
      <c r="J2" s="3048" t="s">
        <v>3083</v>
      </c>
      <c r="K2" s="3048" t="s">
        <v>3084</v>
      </c>
      <c r="L2" s="3048" t="s">
        <v>3085</v>
      </c>
      <c r="M2" s="3050" t="s">
        <v>3086</v>
      </c>
      <c r="N2" s="3048" t="s">
        <v>3087</v>
      </c>
      <c r="O2" s="3048" t="s">
        <v>3088</v>
      </c>
      <c r="P2" s="3048" t="s">
        <v>3089</v>
      </c>
      <c r="Q2" s="3048" t="s">
        <v>3090</v>
      </c>
      <c r="R2" s="3046"/>
      <c r="S2" s="3046"/>
    </row>
    <row r="3" spans="1:19" s="3058" customFormat="1">
      <c r="A3" s="3241" t="s">
        <v>3091</v>
      </c>
      <c r="B3" s="3226" t="s">
        <v>3092</v>
      </c>
      <c r="C3" s="3246">
        <v>85658.13</v>
      </c>
      <c r="D3" s="3246">
        <v>81596.160000000003</v>
      </c>
      <c r="E3" s="3249" t="s">
        <v>3093</v>
      </c>
      <c r="F3" s="3052" t="s">
        <v>3094</v>
      </c>
      <c r="G3" s="3053" t="s">
        <v>3095</v>
      </c>
      <c r="H3" s="3053" t="s">
        <v>3095</v>
      </c>
      <c r="I3" s="3054">
        <v>84.07</v>
      </c>
      <c r="J3" s="3054" t="s">
        <v>3096</v>
      </c>
      <c r="K3" s="3252">
        <v>3.75</v>
      </c>
      <c r="L3" s="3055">
        <v>140</v>
      </c>
      <c r="M3" s="3255">
        <f>M6</f>
        <v>47079.49</v>
      </c>
      <c r="N3" s="3056">
        <v>10371.200000000001</v>
      </c>
      <c r="O3" s="3056">
        <v>10371.200000000001</v>
      </c>
      <c r="P3" s="3057">
        <f>O3-210</f>
        <v>10161.200000000001</v>
      </c>
      <c r="Q3" s="3246">
        <v>32610.19</v>
      </c>
      <c r="R3" s="3051"/>
      <c r="S3" s="3051"/>
    </row>
    <row r="4" spans="1:19" s="3058" customFormat="1">
      <c r="A4" s="3242"/>
      <c r="B4" s="3244"/>
      <c r="C4" s="3247"/>
      <c r="D4" s="3247"/>
      <c r="E4" s="3250"/>
      <c r="F4" s="3052" t="s">
        <v>3097</v>
      </c>
      <c r="G4" s="3053" t="s">
        <v>3095</v>
      </c>
      <c r="H4" s="3053" t="s">
        <v>3095</v>
      </c>
      <c r="I4" s="3054">
        <v>127.02</v>
      </c>
      <c r="J4" s="3054" t="s">
        <v>3096</v>
      </c>
      <c r="K4" s="3253"/>
      <c r="L4" s="3055">
        <v>24</v>
      </c>
      <c r="M4" s="3256"/>
      <c r="N4" s="3056">
        <v>2901.6</v>
      </c>
      <c r="O4" s="3056">
        <v>2901.6</v>
      </c>
      <c r="P4" s="3056">
        <f>O4-72</f>
        <v>2829.6</v>
      </c>
      <c r="Q4" s="3247"/>
      <c r="R4" s="3051"/>
      <c r="S4" s="3051"/>
    </row>
    <row r="5" spans="1:19" s="3058" customFormat="1">
      <c r="A5" s="3243"/>
      <c r="B5" s="3245"/>
      <c r="C5" s="3248"/>
      <c r="D5" s="3248"/>
      <c r="E5" s="3251"/>
      <c r="F5" s="3052" t="s">
        <v>3098</v>
      </c>
      <c r="G5" s="3053" t="s">
        <v>3095</v>
      </c>
      <c r="H5" s="3053" t="s">
        <v>3095</v>
      </c>
      <c r="I5" s="3054">
        <v>127.55</v>
      </c>
      <c r="J5" s="3054" t="s">
        <v>3096</v>
      </c>
      <c r="K5" s="3254"/>
      <c r="L5" s="3055">
        <v>10</v>
      </c>
      <c r="M5" s="3257"/>
      <c r="N5" s="3056">
        <v>1196.5</v>
      </c>
      <c r="O5" s="3056">
        <v>1196.5</v>
      </c>
      <c r="P5" s="3056">
        <f>O5-30</f>
        <v>1166.5</v>
      </c>
      <c r="Q5" s="3248"/>
      <c r="R5" s="3051"/>
      <c r="S5" s="3051"/>
    </row>
    <row r="6" spans="1:19" s="3064" customFormat="1">
      <c r="A6" s="3232" t="s">
        <v>3099</v>
      </c>
      <c r="B6" s="3233"/>
      <c r="C6" s="3059">
        <f>C3</f>
        <v>85658.13</v>
      </c>
      <c r="D6" s="3059">
        <f>D3</f>
        <v>81596.160000000003</v>
      </c>
      <c r="E6" s="3059"/>
      <c r="F6" s="3232" t="s">
        <v>3100</v>
      </c>
      <c r="G6" s="3234"/>
      <c r="H6" s="3234"/>
      <c r="I6" s="3234"/>
      <c r="J6" s="3234"/>
      <c r="K6" s="3233"/>
      <c r="L6" s="3060">
        <f t="shared" ref="L6:P6" si="0">L3+L4+L5</f>
        <v>174</v>
      </c>
      <c r="M6" s="3061">
        <f>N6+Q6</f>
        <v>47079.49</v>
      </c>
      <c r="N6" s="3061">
        <f t="shared" si="0"/>
        <v>14469.300000000001</v>
      </c>
      <c r="O6" s="3061">
        <f t="shared" si="0"/>
        <v>14469.300000000001</v>
      </c>
      <c r="P6" s="3061">
        <f t="shared" si="0"/>
        <v>14157.300000000001</v>
      </c>
      <c r="Q6" s="3062">
        <f>Q3</f>
        <v>32610.19</v>
      </c>
      <c r="R6" s="3063"/>
      <c r="S6" s="3063"/>
    </row>
    <row r="7" spans="1:19" s="3072" customFormat="1" ht="36" customHeight="1">
      <c r="A7" s="3235" t="s">
        <v>3101</v>
      </c>
      <c r="B7" s="3236" t="s">
        <v>3102</v>
      </c>
      <c r="C7" s="3236">
        <v>76005.429999999993</v>
      </c>
      <c r="D7" s="3236">
        <v>59891.4</v>
      </c>
      <c r="E7" s="3237" t="s">
        <v>3103</v>
      </c>
      <c r="F7" s="3065" t="s">
        <v>3104</v>
      </c>
      <c r="G7" s="3066" t="s">
        <v>3095</v>
      </c>
      <c r="H7" s="3053" t="s">
        <v>3095</v>
      </c>
      <c r="I7" s="3067"/>
      <c r="J7" s="3067" t="s">
        <v>3105</v>
      </c>
      <c r="K7" s="3067">
        <v>131.9</v>
      </c>
      <c r="L7" s="3068" t="s">
        <v>3106</v>
      </c>
      <c r="M7" s="3069">
        <v>53874.9</v>
      </c>
      <c r="N7" s="3067">
        <f t="shared" ref="N7:N12" si="1">M7</f>
        <v>53874.9</v>
      </c>
      <c r="O7" s="3067">
        <v>46483.73</v>
      </c>
      <c r="P7" s="3067">
        <v>46147.73</v>
      </c>
      <c r="Q7" s="3070">
        <v>0</v>
      </c>
      <c r="R7" s="3071"/>
      <c r="S7" s="3071"/>
    </row>
    <row r="8" spans="1:19" s="3072" customFormat="1">
      <c r="A8" s="3218"/>
      <c r="B8" s="3220"/>
      <c r="C8" s="3220"/>
      <c r="D8" s="3220"/>
      <c r="E8" s="3238"/>
      <c r="F8" s="3065" t="s">
        <v>3107</v>
      </c>
      <c r="G8" s="3066" t="s">
        <v>3095</v>
      </c>
      <c r="H8" s="3053" t="s">
        <v>3095</v>
      </c>
      <c r="I8" s="3067"/>
      <c r="J8" s="3067" t="s">
        <v>3108</v>
      </c>
      <c r="K8" s="3067"/>
      <c r="L8" s="3065"/>
      <c r="M8" s="3069">
        <v>34725.360000000001</v>
      </c>
      <c r="N8" s="3067">
        <v>0</v>
      </c>
      <c r="O8" s="3067">
        <v>6250.49</v>
      </c>
      <c r="P8" s="3067">
        <f>O8</f>
        <v>6250.49</v>
      </c>
      <c r="Q8" s="3070">
        <f>M8</f>
        <v>34725.360000000001</v>
      </c>
      <c r="R8" s="3071"/>
      <c r="S8" s="3071"/>
    </row>
    <row r="9" spans="1:19" s="3072" customFormat="1">
      <c r="A9" s="3211" t="s">
        <v>3109</v>
      </c>
      <c r="B9" s="3214"/>
      <c r="C9" s="3073">
        <f>C7</f>
        <v>76005.429999999993</v>
      </c>
      <c r="D9" s="3073">
        <f>D7</f>
        <v>59891.4</v>
      </c>
      <c r="E9" s="3073"/>
      <c r="F9" s="3211" t="s">
        <v>3110</v>
      </c>
      <c r="G9" s="3206"/>
      <c r="H9" s="3206"/>
      <c r="I9" s="3206"/>
      <c r="J9" s="3206"/>
      <c r="K9" s="3207"/>
      <c r="L9" s="3074">
        <v>328</v>
      </c>
      <c r="M9" s="3075">
        <f t="shared" ref="M9:Q9" si="2">M7+M8</f>
        <v>88600.260000000009</v>
      </c>
      <c r="N9" s="3075">
        <f t="shared" si="2"/>
        <v>53874.9</v>
      </c>
      <c r="O9" s="3075">
        <f t="shared" si="2"/>
        <v>52734.22</v>
      </c>
      <c r="P9" s="3075">
        <f t="shared" si="2"/>
        <v>52398.22</v>
      </c>
      <c r="Q9" s="3075">
        <f t="shared" si="2"/>
        <v>34725.360000000001</v>
      </c>
      <c r="R9" s="3071"/>
      <c r="S9" s="3071"/>
    </row>
    <row r="10" spans="1:19" s="3072" customFormat="1">
      <c r="A10" s="3223" t="s">
        <v>3111</v>
      </c>
      <c r="B10" s="3226" t="s">
        <v>3112</v>
      </c>
      <c r="C10" s="3229">
        <v>131452.39000000001</v>
      </c>
      <c r="D10" s="3229">
        <v>83307.64</v>
      </c>
      <c r="E10" s="3202" t="s">
        <v>3113</v>
      </c>
      <c r="F10" s="3065" t="s">
        <v>3094</v>
      </c>
      <c r="G10" s="3202" t="s">
        <v>3095</v>
      </c>
      <c r="H10" s="3202" t="s">
        <v>3095</v>
      </c>
      <c r="I10" s="3076" t="s">
        <v>3114</v>
      </c>
      <c r="J10" s="3229" t="s">
        <v>3096</v>
      </c>
      <c r="K10" s="3229">
        <v>5.85</v>
      </c>
      <c r="L10" s="3065">
        <v>149</v>
      </c>
      <c r="M10" s="3069">
        <v>12733.54</v>
      </c>
      <c r="N10" s="3067">
        <v>11195.86</v>
      </c>
      <c r="O10" s="3067">
        <v>11195.86</v>
      </c>
      <c r="P10" s="3067">
        <f>O10-201</f>
        <v>10994.86</v>
      </c>
      <c r="Q10" s="3067">
        <v>1537.68</v>
      </c>
      <c r="R10" s="3071"/>
      <c r="S10" s="3071"/>
    </row>
    <row r="11" spans="1:19" s="3072" customFormat="1">
      <c r="A11" s="3224"/>
      <c r="B11" s="3227"/>
      <c r="C11" s="3230"/>
      <c r="D11" s="3230"/>
      <c r="E11" s="3203"/>
      <c r="F11" s="3065" t="s">
        <v>3097</v>
      </c>
      <c r="G11" s="3203"/>
      <c r="H11" s="3203"/>
      <c r="I11" s="3070">
        <v>122.14</v>
      </c>
      <c r="J11" s="3230"/>
      <c r="K11" s="3230"/>
      <c r="L11" s="3065">
        <v>8</v>
      </c>
      <c r="M11" s="3069">
        <v>977.12</v>
      </c>
      <c r="N11" s="3067">
        <f t="shared" si="1"/>
        <v>977.12</v>
      </c>
      <c r="O11" s="3067">
        <f>N11</f>
        <v>977.12</v>
      </c>
      <c r="P11" s="3067">
        <f>O11-60</f>
        <v>917.12</v>
      </c>
      <c r="Q11" s="3067">
        <v>0</v>
      </c>
      <c r="R11" s="3071"/>
      <c r="S11" s="3071"/>
    </row>
    <row r="12" spans="1:19" s="3072" customFormat="1">
      <c r="A12" s="3224"/>
      <c r="B12" s="3227"/>
      <c r="C12" s="3230"/>
      <c r="D12" s="3230"/>
      <c r="E12" s="3203"/>
      <c r="F12" s="3065" t="s">
        <v>3098</v>
      </c>
      <c r="G12" s="3204"/>
      <c r="H12" s="3204"/>
      <c r="I12" s="3070">
        <v>121.2</v>
      </c>
      <c r="J12" s="3231"/>
      <c r="K12" s="3231"/>
      <c r="L12" s="3065">
        <v>12</v>
      </c>
      <c r="M12" s="3069">
        <v>1454.4</v>
      </c>
      <c r="N12" s="3067">
        <f t="shared" si="1"/>
        <v>1454.4</v>
      </c>
      <c r="O12" s="3067">
        <f>N12</f>
        <v>1454.4</v>
      </c>
      <c r="P12" s="3067">
        <f>O12-30</f>
        <v>1424.4</v>
      </c>
      <c r="Q12" s="3067">
        <v>0</v>
      </c>
      <c r="R12" s="3071"/>
      <c r="S12" s="3071"/>
    </row>
    <row r="13" spans="1:19" s="3072" customFormat="1">
      <c r="A13" s="3224"/>
      <c r="B13" s="3227"/>
      <c r="C13" s="3230"/>
      <c r="D13" s="3230"/>
      <c r="E13" s="3203"/>
      <c r="F13" s="3211" t="s">
        <v>3115</v>
      </c>
      <c r="G13" s="3212"/>
      <c r="H13" s="3212"/>
      <c r="I13" s="3212"/>
      <c r="J13" s="3212"/>
      <c r="K13" s="3213"/>
      <c r="L13" s="3074">
        <f t="shared" ref="L13:Q13" si="3">L10+L11+L12</f>
        <v>169</v>
      </c>
      <c r="M13" s="3075">
        <f t="shared" si="3"/>
        <v>15165.060000000001</v>
      </c>
      <c r="N13" s="3075">
        <f t="shared" si="3"/>
        <v>13627.380000000001</v>
      </c>
      <c r="O13" s="3075">
        <f t="shared" si="3"/>
        <v>13627.380000000001</v>
      </c>
      <c r="P13" s="3075">
        <f t="shared" si="3"/>
        <v>13336.380000000001</v>
      </c>
      <c r="Q13" s="3075">
        <f t="shared" si="3"/>
        <v>1537.68</v>
      </c>
      <c r="R13" s="3071"/>
      <c r="S13" s="3071"/>
    </row>
    <row r="14" spans="1:19" s="3072" customFormat="1" ht="24">
      <c r="A14" s="3224"/>
      <c r="B14" s="3227"/>
      <c r="C14" s="3230"/>
      <c r="D14" s="3230"/>
      <c r="E14" s="3203"/>
      <c r="F14" s="3065" t="s">
        <v>3116</v>
      </c>
      <c r="G14" s="3066" t="s">
        <v>3095</v>
      </c>
      <c r="H14" s="3066" t="s">
        <v>3095</v>
      </c>
      <c r="I14" s="3067"/>
      <c r="J14" s="3067" t="s">
        <v>3117</v>
      </c>
      <c r="K14" s="3067"/>
      <c r="L14" s="3065"/>
      <c r="M14" s="3075">
        <v>2785.89</v>
      </c>
      <c r="N14" s="3073">
        <v>619.57000000000005</v>
      </c>
      <c r="O14" s="3073">
        <v>1522.36</v>
      </c>
      <c r="P14" s="3073">
        <f>O14</f>
        <v>1522.36</v>
      </c>
      <c r="Q14" s="3073">
        <v>2166.3200000000002</v>
      </c>
      <c r="R14" s="3071"/>
      <c r="S14" s="3071"/>
    </row>
    <row r="15" spans="1:19" s="3072" customFormat="1">
      <c r="A15" s="3224"/>
      <c r="B15" s="3227"/>
      <c r="C15" s="3230"/>
      <c r="D15" s="3230"/>
      <c r="E15" s="3203"/>
      <c r="F15" s="3065" t="s">
        <v>3118</v>
      </c>
      <c r="G15" s="3202" t="s">
        <v>3095</v>
      </c>
      <c r="H15" s="3202" t="s">
        <v>3095</v>
      </c>
      <c r="I15" s="3202"/>
      <c r="J15" s="3202"/>
      <c r="K15" s="3202"/>
      <c r="L15" s="3065"/>
      <c r="M15" s="3069">
        <v>11726.14</v>
      </c>
      <c r="N15" s="3067">
        <v>0</v>
      </c>
      <c r="O15" s="3067">
        <v>0</v>
      </c>
      <c r="P15" s="3067"/>
      <c r="Q15" s="3067">
        <f t="shared" ref="Q15:Q17" si="4">M15</f>
        <v>11726.14</v>
      </c>
      <c r="R15" s="3071"/>
      <c r="S15" s="3071"/>
    </row>
    <row r="16" spans="1:19" s="3072" customFormat="1">
      <c r="A16" s="3224"/>
      <c r="B16" s="3227"/>
      <c r="C16" s="3230"/>
      <c r="D16" s="3230"/>
      <c r="E16" s="3203"/>
      <c r="F16" s="3065" t="s">
        <v>48</v>
      </c>
      <c r="G16" s="3203"/>
      <c r="H16" s="3203"/>
      <c r="I16" s="3203"/>
      <c r="J16" s="3203"/>
      <c r="K16" s="3203"/>
      <c r="L16" s="3065"/>
      <c r="M16" s="3069">
        <v>16414.09</v>
      </c>
      <c r="N16" s="3077">
        <v>0</v>
      </c>
      <c r="O16" s="3067">
        <v>0</v>
      </c>
      <c r="P16" s="3067"/>
      <c r="Q16" s="3067">
        <f t="shared" si="4"/>
        <v>16414.09</v>
      </c>
      <c r="R16" s="3071"/>
      <c r="S16" s="3071"/>
    </row>
    <row r="17" spans="1:19" s="3072" customFormat="1">
      <c r="A17" s="3224"/>
      <c r="B17" s="3227"/>
      <c r="C17" s="3230"/>
      <c r="D17" s="3230"/>
      <c r="E17" s="3203"/>
      <c r="F17" s="3065" t="s">
        <v>3119</v>
      </c>
      <c r="G17" s="3204"/>
      <c r="H17" s="3204"/>
      <c r="I17" s="3204"/>
      <c r="J17" s="3204"/>
      <c r="K17" s="3204"/>
      <c r="L17" s="3065"/>
      <c r="M17" s="3069">
        <v>2320</v>
      </c>
      <c r="N17" s="3077">
        <v>0</v>
      </c>
      <c r="O17" s="3067">
        <v>0</v>
      </c>
      <c r="P17" s="3067"/>
      <c r="Q17" s="3067">
        <f t="shared" si="4"/>
        <v>2320</v>
      </c>
      <c r="R17" s="3071"/>
      <c r="S17" s="3071"/>
    </row>
    <row r="18" spans="1:19" s="3072" customFormat="1">
      <c r="A18" s="3225"/>
      <c r="B18" s="3228"/>
      <c r="C18" s="3231"/>
      <c r="D18" s="3231"/>
      <c r="E18" s="3204"/>
      <c r="F18" s="3211" t="s">
        <v>3115</v>
      </c>
      <c r="G18" s="3212"/>
      <c r="H18" s="3212"/>
      <c r="I18" s="3212"/>
      <c r="J18" s="3212"/>
      <c r="K18" s="3213"/>
      <c r="L18" s="3074">
        <f t="shared" ref="L18:O18" si="5">L15+L16+L17</f>
        <v>0</v>
      </c>
      <c r="M18" s="3075">
        <f t="shared" si="5"/>
        <v>30460.23</v>
      </c>
      <c r="N18" s="3075">
        <f t="shared" si="5"/>
        <v>0</v>
      </c>
      <c r="O18" s="3075">
        <f t="shared" si="5"/>
        <v>0</v>
      </c>
      <c r="P18" s="3075"/>
      <c r="Q18" s="3075">
        <f>Q15+Q16+Q17</f>
        <v>30460.23</v>
      </c>
      <c r="R18" s="3071"/>
      <c r="S18" s="3071"/>
    </row>
    <row r="19" spans="1:19" s="3079" customFormat="1">
      <c r="A19" s="3211" t="s">
        <v>3120</v>
      </c>
      <c r="B19" s="3214"/>
      <c r="C19" s="3073">
        <f>C10</f>
        <v>131452.39000000001</v>
      </c>
      <c r="D19" s="3073">
        <f>D10</f>
        <v>83307.64</v>
      </c>
      <c r="E19" s="3074"/>
      <c r="F19" s="3211" t="s">
        <v>3121</v>
      </c>
      <c r="G19" s="3215"/>
      <c r="H19" s="3215"/>
      <c r="I19" s="3215"/>
      <c r="J19" s="3215"/>
      <c r="K19" s="3216"/>
      <c r="L19" s="3074">
        <f t="shared" ref="L19:Q19" si="6">L13+L14+L18</f>
        <v>169</v>
      </c>
      <c r="M19" s="3075">
        <f t="shared" si="6"/>
        <v>48411.18</v>
      </c>
      <c r="N19" s="3075">
        <f t="shared" si="6"/>
        <v>14246.95</v>
      </c>
      <c r="O19" s="3075">
        <f t="shared" si="6"/>
        <v>15149.740000000002</v>
      </c>
      <c r="P19" s="3075">
        <f t="shared" si="6"/>
        <v>14858.740000000002</v>
      </c>
      <c r="Q19" s="3075">
        <f t="shared" si="6"/>
        <v>34164.229999999996</v>
      </c>
      <c r="R19" s="3078"/>
      <c r="S19" s="3078"/>
    </row>
    <row r="20" spans="1:19" s="3072" customFormat="1" ht="24">
      <c r="A20" s="3217" t="s">
        <v>3122</v>
      </c>
      <c r="B20" s="3219" t="s">
        <v>3123</v>
      </c>
      <c r="C20" s="3219"/>
      <c r="D20" s="3221">
        <v>68320.800000000003</v>
      </c>
      <c r="E20" s="3203" t="s">
        <v>3113</v>
      </c>
      <c r="F20" s="3080" t="s">
        <v>3124</v>
      </c>
      <c r="G20" s="3081" t="s">
        <v>3095</v>
      </c>
      <c r="H20" s="3070"/>
      <c r="I20" s="3067"/>
      <c r="J20" s="3067" t="s">
        <v>3125</v>
      </c>
      <c r="K20" s="3067">
        <v>112.05</v>
      </c>
      <c r="L20" s="3065"/>
      <c r="M20" s="3069">
        <v>60489.66</v>
      </c>
      <c r="N20" s="3069">
        <v>33362.32</v>
      </c>
      <c r="O20" s="3069">
        <v>28650.9</v>
      </c>
      <c r="P20" s="3069">
        <v>28281.9</v>
      </c>
      <c r="Q20" s="3069">
        <v>27127.34</v>
      </c>
      <c r="R20" s="3071"/>
      <c r="S20" s="3071"/>
    </row>
    <row r="21" spans="1:19" s="3072" customFormat="1">
      <c r="A21" s="3217"/>
      <c r="B21" s="3219"/>
      <c r="C21" s="3219"/>
      <c r="D21" s="3221"/>
      <c r="E21" s="3203"/>
      <c r="F21" s="3082" t="s">
        <v>3126</v>
      </c>
      <c r="G21" s="3083" t="s">
        <v>3095</v>
      </c>
      <c r="H21" s="3084"/>
      <c r="I21" s="3085">
        <v>202.74</v>
      </c>
      <c r="J21" s="3085" t="s">
        <v>3096</v>
      </c>
      <c r="K21" s="3085">
        <v>7</v>
      </c>
      <c r="L21" s="3086">
        <v>6</v>
      </c>
      <c r="M21" s="3069">
        <v>1216.44</v>
      </c>
      <c r="N21" s="3067">
        <f t="shared" ref="N21:O25" si="7">M21</f>
        <v>1216.44</v>
      </c>
      <c r="O21" s="3067">
        <f t="shared" si="7"/>
        <v>1216.44</v>
      </c>
      <c r="P21" s="3067">
        <v>1198.44</v>
      </c>
      <c r="Q21" s="3070"/>
      <c r="R21" s="3071"/>
      <c r="S21" s="3071"/>
    </row>
    <row r="22" spans="1:19" s="3072" customFormat="1">
      <c r="A22" s="3217"/>
      <c r="B22" s="3219"/>
      <c r="C22" s="3219"/>
      <c r="D22" s="3221"/>
      <c r="E22" s="3203"/>
      <c r="F22" s="3082" t="s">
        <v>3127</v>
      </c>
      <c r="G22" s="3083" t="s">
        <v>3095</v>
      </c>
      <c r="H22" s="3084"/>
      <c r="I22" s="3085">
        <v>501.28</v>
      </c>
      <c r="J22" s="3085" t="s">
        <v>3096</v>
      </c>
      <c r="K22" s="3085">
        <v>6.7</v>
      </c>
      <c r="L22" s="3086">
        <v>1</v>
      </c>
      <c r="M22" s="3069">
        <f>I22</f>
        <v>501.28</v>
      </c>
      <c r="N22" s="3067">
        <f t="shared" si="7"/>
        <v>501.28</v>
      </c>
      <c r="O22" s="3067">
        <f t="shared" si="7"/>
        <v>501.28</v>
      </c>
      <c r="P22" s="3067">
        <v>496.78</v>
      </c>
      <c r="Q22" s="3070"/>
      <c r="R22" s="3071"/>
      <c r="S22" s="3071"/>
    </row>
    <row r="23" spans="1:19" s="3072" customFormat="1">
      <c r="A23" s="3217"/>
      <c r="B23" s="3219"/>
      <c r="C23" s="3219"/>
      <c r="D23" s="3221"/>
      <c r="E23" s="3203"/>
      <c r="F23" s="3087" t="s">
        <v>3128</v>
      </c>
      <c r="G23" s="3081" t="s">
        <v>3095</v>
      </c>
      <c r="H23" s="3066"/>
      <c r="I23" s="3067">
        <v>431.73</v>
      </c>
      <c r="J23" s="3067" t="s">
        <v>3129</v>
      </c>
      <c r="K23" s="3067">
        <v>7.6</v>
      </c>
      <c r="L23" s="3088">
        <v>4</v>
      </c>
      <c r="M23" s="3069">
        <v>1726.92</v>
      </c>
      <c r="N23" s="3067">
        <f t="shared" si="7"/>
        <v>1726.92</v>
      </c>
      <c r="O23" s="3067">
        <f t="shared" si="7"/>
        <v>1726.92</v>
      </c>
      <c r="P23" s="3067">
        <v>1690.92</v>
      </c>
      <c r="Q23" s="3070"/>
      <c r="R23" s="3071"/>
      <c r="S23" s="3071"/>
    </row>
    <row r="24" spans="1:19" s="3072" customFormat="1">
      <c r="A24" s="3217"/>
      <c r="B24" s="3219"/>
      <c r="C24" s="3219"/>
      <c r="D24" s="3221"/>
      <c r="E24" s="3203"/>
      <c r="F24" s="3087" t="s">
        <v>3130</v>
      </c>
      <c r="G24" s="3081" t="s">
        <v>3095</v>
      </c>
      <c r="H24" s="3066"/>
      <c r="I24" s="3070">
        <v>617.12</v>
      </c>
      <c r="J24" s="3067" t="s">
        <v>3129</v>
      </c>
      <c r="K24" s="3067">
        <v>7.6</v>
      </c>
      <c r="L24" s="3065">
        <v>4</v>
      </c>
      <c r="M24" s="3069">
        <v>2468.48</v>
      </c>
      <c r="N24" s="3067">
        <f t="shared" si="7"/>
        <v>2468.48</v>
      </c>
      <c r="O24" s="3069">
        <f t="shared" si="7"/>
        <v>2468.48</v>
      </c>
      <c r="P24" s="3069">
        <v>2432.48</v>
      </c>
      <c r="Q24" s="3069"/>
      <c r="R24" s="3071"/>
      <c r="S24" s="3071"/>
    </row>
    <row r="25" spans="1:19" s="3072" customFormat="1">
      <c r="A25" s="3217"/>
      <c r="B25" s="3219"/>
      <c r="C25" s="3219"/>
      <c r="D25" s="3221"/>
      <c r="E25" s="3203"/>
      <c r="F25" s="3087" t="s">
        <v>3131</v>
      </c>
      <c r="G25" s="3081" t="s">
        <v>3095</v>
      </c>
      <c r="H25" s="3066"/>
      <c r="I25" s="3070">
        <v>174.48</v>
      </c>
      <c r="J25" s="3067" t="s">
        <v>3129</v>
      </c>
      <c r="K25" s="3067">
        <v>7.6</v>
      </c>
      <c r="L25" s="3065">
        <v>10</v>
      </c>
      <c r="M25" s="3069">
        <v>1744.8</v>
      </c>
      <c r="N25" s="3067">
        <f t="shared" si="7"/>
        <v>1744.8</v>
      </c>
      <c r="O25" s="3069">
        <f t="shared" si="7"/>
        <v>1744.8</v>
      </c>
      <c r="P25" s="3069">
        <v>1699.8</v>
      </c>
      <c r="Q25" s="3069"/>
      <c r="R25" s="3071"/>
      <c r="S25" s="3071"/>
    </row>
    <row r="26" spans="1:19" s="3072" customFormat="1">
      <c r="A26" s="3217"/>
      <c r="B26" s="3219"/>
      <c r="C26" s="3219"/>
      <c r="D26" s="3221"/>
      <c r="E26" s="3203"/>
      <c r="F26" s="3087" t="s">
        <v>3132</v>
      </c>
      <c r="G26" s="3081" t="s">
        <v>3095</v>
      </c>
      <c r="H26" s="3066"/>
      <c r="I26" s="3070"/>
      <c r="J26" s="3067" t="s">
        <v>3133</v>
      </c>
      <c r="K26" s="3067"/>
      <c r="L26" s="3065"/>
      <c r="M26" s="3069">
        <v>5741.18</v>
      </c>
      <c r="N26" s="3069"/>
      <c r="O26" s="3069"/>
      <c r="P26" s="3069"/>
      <c r="Q26" s="3069">
        <f>M26</f>
        <v>5741.18</v>
      </c>
      <c r="R26" s="3071"/>
      <c r="S26" s="3071"/>
    </row>
    <row r="27" spans="1:19" s="3072" customFormat="1">
      <c r="A27" s="3218"/>
      <c r="B27" s="3220"/>
      <c r="C27" s="3220"/>
      <c r="D27" s="3222"/>
      <c r="E27" s="3204"/>
      <c r="F27" s="3211" t="s">
        <v>3134</v>
      </c>
      <c r="G27" s="3206"/>
      <c r="H27" s="3206"/>
      <c r="I27" s="3206"/>
      <c r="J27" s="3206"/>
      <c r="K27" s="3207"/>
      <c r="L27" s="3065">
        <f>SUM(L21:L25)</f>
        <v>25</v>
      </c>
      <c r="M27" s="3075">
        <f t="shared" ref="M27:Q27" si="8">SUM(M21:M26)</f>
        <v>13399.100000000002</v>
      </c>
      <c r="N27" s="3075">
        <f t="shared" si="8"/>
        <v>7657.920000000001</v>
      </c>
      <c r="O27" s="3075">
        <f t="shared" si="8"/>
        <v>7657.920000000001</v>
      </c>
      <c r="P27" s="3075">
        <f t="shared" si="8"/>
        <v>7518.420000000001</v>
      </c>
      <c r="Q27" s="3075">
        <f t="shared" si="8"/>
        <v>5741.18</v>
      </c>
      <c r="R27" s="3071"/>
      <c r="S27" s="3071"/>
    </row>
    <row r="28" spans="1:19" s="3064" customFormat="1">
      <c r="A28" s="3048" t="s">
        <v>3135</v>
      </c>
      <c r="B28" s="3049"/>
      <c r="C28" s="3059"/>
      <c r="D28" s="3061">
        <f>D20</f>
        <v>68320.800000000003</v>
      </c>
      <c r="E28" s="3059"/>
      <c r="F28" s="3205" t="s">
        <v>3136</v>
      </c>
      <c r="G28" s="3206"/>
      <c r="H28" s="3206"/>
      <c r="I28" s="3206"/>
      <c r="J28" s="3206"/>
      <c r="K28" s="3207"/>
      <c r="L28" s="3060"/>
      <c r="M28" s="3061">
        <f t="shared" ref="M28:Q28" si="9">M20+M27</f>
        <v>73888.760000000009</v>
      </c>
      <c r="N28" s="3061">
        <f t="shared" si="9"/>
        <v>41020.239999999998</v>
      </c>
      <c r="O28" s="3061">
        <f t="shared" si="9"/>
        <v>36308.82</v>
      </c>
      <c r="P28" s="3061">
        <f t="shared" si="9"/>
        <v>35800.32</v>
      </c>
      <c r="Q28" s="3061">
        <f t="shared" si="9"/>
        <v>32868.520000000004</v>
      </c>
      <c r="R28" s="3063"/>
      <c r="S28" s="3063"/>
    </row>
    <row r="29" spans="1:19" s="3058" customFormat="1">
      <c r="A29" s="3048" t="s">
        <v>3137</v>
      </c>
      <c r="B29" s="3049"/>
      <c r="C29" s="3059">
        <f>C6+C9+C19</f>
        <v>293115.95</v>
      </c>
      <c r="D29" s="3059">
        <f>D6+D9+D19+D28</f>
        <v>293116</v>
      </c>
      <c r="E29" s="3059"/>
      <c r="F29" s="3208"/>
      <c r="G29" s="3209"/>
      <c r="H29" s="3209"/>
      <c r="I29" s="3209"/>
      <c r="J29" s="3209"/>
      <c r="K29" s="3210"/>
      <c r="L29" s="3055"/>
      <c r="M29" s="3061">
        <f t="shared" ref="M29:Q29" si="10">M6+M9+M19+M28</f>
        <v>257979.69</v>
      </c>
      <c r="N29" s="3061">
        <f t="shared" si="10"/>
        <v>123611.38999999998</v>
      </c>
      <c r="O29" s="3061">
        <f t="shared" si="10"/>
        <v>118662.08000000002</v>
      </c>
      <c r="P29" s="3061">
        <f t="shared" si="10"/>
        <v>117214.58000000002</v>
      </c>
      <c r="Q29" s="3061">
        <f t="shared" si="10"/>
        <v>134368.29999999999</v>
      </c>
      <c r="R29" s="3051"/>
      <c r="S29" s="3051"/>
    </row>
    <row r="34" spans="3:7">
      <c r="C34"/>
      <c r="D34"/>
      <c r="E34" s="3098" t="s">
        <v>3150</v>
      </c>
      <c r="F34" s="3098" t="s">
        <v>3151</v>
      </c>
      <c r="G34"/>
    </row>
    <row r="35" spans="3:7">
      <c r="C35" s="3098" t="s">
        <v>3152</v>
      </c>
      <c r="D35">
        <f>L10</f>
        <v>149</v>
      </c>
      <c r="E35">
        <v>75.14</v>
      </c>
      <c r="F35">
        <v>9.42</v>
      </c>
      <c r="G35">
        <f>SUM(E35:F35)</f>
        <v>84.56</v>
      </c>
    </row>
    <row r="36" spans="3:7">
      <c r="C36" s="3098" t="s">
        <v>3153</v>
      </c>
      <c r="D36">
        <f>L11</f>
        <v>8</v>
      </c>
      <c r="E36">
        <v>122.14</v>
      </c>
      <c r="F36">
        <v>0</v>
      </c>
      <c r="G36">
        <f>SUM(E36:F36)</f>
        <v>122.14</v>
      </c>
    </row>
    <row r="37" spans="3:7">
      <c r="C37" s="3098" t="s">
        <v>3154</v>
      </c>
      <c r="D37">
        <f>L12</f>
        <v>12</v>
      </c>
      <c r="E37">
        <v>121.17</v>
      </c>
      <c r="F37">
        <v>0</v>
      </c>
      <c r="G37">
        <f>SUM(E37:F37)</f>
        <v>121.17</v>
      </c>
    </row>
    <row r="38" spans="3:7">
      <c r="C38"/>
      <c r="D38">
        <f>SUM(D35:D37)</f>
        <v>169</v>
      </c>
      <c r="E38">
        <f>E35*D35+E36*D36+E37*D37</f>
        <v>13627.02</v>
      </c>
      <c r="F38">
        <f>F35*D35</f>
        <v>1403.58</v>
      </c>
      <c r="G38">
        <f>G35*D35+G36*D36+G37*D37</f>
        <v>15030.600000000002</v>
      </c>
    </row>
  </sheetData>
  <mergeCells count="44">
    <mergeCell ref="A1:Q1"/>
    <mergeCell ref="A3:A5"/>
    <mergeCell ref="B3:B5"/>
    <mergeCell ref="C3:C5"/>
    <mergeCell ref="D3:D5"/>
    <mergeCell ref="E3:E5"/>
    <mergeCell ref="K3:K5"/>
    <mergeCell ref="M3:M5"/>
    <mergeCell ref="Q3:Q5"/>
    <mergeCell ref="A6:B6"/>
    <mergeCell ref="F6:K6"/>
    <mergeCell ref="A7:A8"/>
    <mergeCell ref="B7:B8"/>
    <mergeCell ref="C7:C8"/>
    <mergeCell ref="D7:D8"/>
    <mergeCell ref="E7:E8"/>
    <mergeCell ref="A9:B9"/>
    <mergeCell ref="F9:K9"/>
    <mergeCell ref="A10:A18"/>
    <mergeCell ref="B10:B18"/>
    <mergeCell ref="C10:C18"/>
    <mergeCell ref="D10:D18"/>
    <mergeCell ref="E10:E18"/>
    <mergeCell ref="G10:G12"/>
    <mergeCell ref="H10:H12"/>
    <mergeCell ref="J10:J12"/>
    <mergeCell ref="K10:K12"/>
    <mergeCell ref="F13:K13"/>
    <mergeCell ref="G15:G17"/>
    <mergeCell ref="H15:H17"/>
    <mergeCell ref="I15:I17"/>
    <mergeCell ref="J15:J17"/>
    <mergeCell ref="K15:K17"/>
    <mergeCell ref="F28:K28"/>
    <mergeCell ref="F29:K29"/>
    <mergeCell ref="F18:K18"/>
    <mergeCell ref="A19:B19"/>
    <mergeCell ref="F19:K19"/>
    <mergeCell ref="A20:A27"/>
    <mergeCell ref="B20:B27"/>
    <mergeCell ref="C20:C27"/>
    <mergeCell ref="D20:D27"/>
    <mergeCell ref="E20:E27"/>
    <mergeCell ref="F27:K27"/>
  </mergeCells>
  <phoneticPr fontId="140"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S7" sqref="S7"/>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1816</v>
      </c>
      <c r="B1" s="1301"/>
      <c r="C1" s="1301"/>
      <c r="D1" s="1301"/>
      <c r="E1" s="1301"/>
      <c r="F1" s="1301"/>
      <c r="G1" s="1301"/>
      <c r="H1" s="1301"/>
      <c r="I1" s="1301"/>
      <c r="J1" s="1301"/>
      <c r="K1" s="1301"/>
      <c r="L1" s="1301"/>
      <c r="M1" s="1301"/>
      <c r="N1" s="1301"/>
      <c r="O1" s="1301"/>
      <c r="P1" s="1301"/>
    </row>
    <row r="2" spans="1:16" ht="15">
      <c r="A2" s="3267" t="s">
        <v>1817</v>
      </c>
      <c r="B2" s="3267"/>
      <c r="C2" s="3267"/>
      <c r="D2" s="904" t="s">
        <v>1793</v>
      </c>
      <c r="E2" s="1826" t="s">
        <v>1794</v>
      </c>
      <c r="F2" s="2888"/>
      <c r="G2" s="2879"/>
      <c r="H2" s="2880"/>
      <c r="I2" s="2550" t="s">
        <v>1818</v>
      </c>
      <c r="J2" s="2888"/>
      <c r="K2" s="2888"/>
      <c r="L2" s="2888"/>
      <c r="M2" s="2888"/>
      <c r="N2" s="2890"/>
      <c r="O2" s="2888"/>
      <c r="P2" s="2888"/>
    </row>
    <row r="3" spans="1:16" ht="15.75" thickBot="1">
      <c r="A3" s="3268" t="s">
        <v>1791</v>
      </c>
      <c r="B3" s="3268"/>
      <c r="C3" s="3268"/>
      <c r="D3" s="46">
        <f>'数据-基础表'!AY6</f>
        <v>10684.47</v>
      </c>
      <c r="E3" s="46">
        <f>'数据-基础表'!AZ5</f>
        <v>11531.84</v>
      </c>
      <c r="F3" s="2888"/>
      <c r="G3" s="1307"/>
      <c r="H3" s="1157" t="s">
        <v>1792</v>
      </c>
      <c r="I3" s="964">
        <f>ROUND('数据-基础表'!B3/'数据-基础表'!A3,2)</f>
        <v>1.08</v>
      </c>
      <c r="J3" s="2888"/>
      <c r="K3" s="2888"/>
      <c r="L3" s="2888"/>
      <c r="M3" s="2888"/>
      <c r="N3" s="2890"/>
      <c r="O3" s="2888"/>
      <c r="P3" s="2888"/>
    </row>
    <row r="4" spans="1:16" ht="15">
      <c r="A4" s="3269"/>
      <c r="B4" s="3270"/>
      <c r="C4" s="3271"/>
      <c r="D4" s="1828" t="s">
        <v>1793</v>
      </c>
      <c r="E4" s="1829" t="s">
        <v>1794</v>
      </c>
      <c r="F4" s="2888"/>
      <c r="G4" s="2881" t="s">
        <v>1819</v>
      </c>
      <c r="H4" s="1157" t="s">
        <v>1799</v>
      </c>
      <c r="I4" s="964">
        <f>ROUND(SUMIF('数据-基础表'!I9:AS9,"地上",'数据-基础表'!I5:AS5)/'数据-基础表'!A3,2)</f>
        <v>0.6</v>
      </c>
      <c r="J4" s="2888"/>
      <c r="K4" s="2888"/>
      <c r="L4" s="2888"/>
      <c r="M4" s="2888"/>
      <c r="N4" s="2890"/>
      <c r="O4" s="2888"/>
      <c r="P4" s="2888"/>
    </row>
    <row r="5" spans="1:16">
      <c r="A5" s="47" t="s">
        <v>1795</v>
      </c>
      <c r="B5" s="3272" t="s">
        <v>1796</v>
      </c>
      <c r="C5" s="3272"/>
      <c r="D5" s="48">
        <f>ROUND($D$3*E5/$E$3,2)</f>
        <v>0</v>
      </c>
      <c r="E5" s="49">
        <f>SUMIF('数据-基础表'!$11:$11,"住宅",'数据-基础表'!$5:$5)</f>
        <v>0</v>
      </c>
      <c r="F5" s="2888"/>
      <c r="G5" s="1307"/>
      <c r="H5" s="1157" t="s">
        <v>1792</v>
      </c>
      <c r="I5" s="964">
        <f>ROUND(E31/D31,2)</f>
        <v>1.08</v>
      </c>
      <c r="J5" s="2888"/>
      <c r="K5" s="2888"/>
      <c r="L5" s="2888"/>
      <c r="M5" s="2888"/>
      <c r="N5" s="2888"/>
      <c r="O5" s="2888"/>
      <c r="P5" s="2888"/>
    </row>
    <row r="6" spans="1:16" ht="15" thickBot="1">
      <c r="A6" s="1831"/>
      <c r="B6" s="3272" t="s">
        <v>1797</v>
      </c>
      <c r="C6" s="3272"/>
      <c r="D6" s="48">
        <f>ROUND($D$3*E6/$E$3,2)</f>
        <v>10684.47</v>
      </c>
      <c r="E6" s="49">
        <f>E3-E5</f>
        <v>11531.84</v>
      </c>
      <c r="F6" s="2888"/>
      <c r="G6" s="2882" t="s">
        <v>1798</v>
      </c>
      <c r="H6" s="1308" t="s">
        <v>1799</v>
      </c>
      <c r="I6" s="2883">
        <f>ROUND(F31/D31,2)</f>
        <v>0.54</v>
      </c>
      <c r="J6" s="2888"/>
      <c r="K6" s="2888"/>
      <c r="L6" s="2888"/>
      <c r="M6" s="2888"/>
      <c r="N6" s="2888"/>
      <c r="O6" s="2888"/>
      <c r="P6" s="2888"/>
    </row>
    <row r="7" spans="1:16" ht="15.75" thickBot="1">
      <c r="A7" s="3264"/>
      <c r="B7" s="3265"/>
      <c r="C7" s="3266"/>
      <c r="D7" s="1828" t="s">
        <v>1793</v>
      </c>
      <c r="E7" s="1832" t="s">
        <v>1800</v>
      </c>
      <c r="F7" s="2888"/>
      <c r="G7" s="2884" t="s">
        <v>1801</v>
      </c>
      <c r="H7" s="2885"/>
      <c r="I7" s="2886">
        <v>0.4</v>
      </c>
      <c r="J7" s="2888"/>
      <c r="K7" s="2888"/>
      <c r="L7" s="2888"/>
      <c r="M7" s="2888"/>
      <c r="N7" s="2888"/>
      <c r="O7" s="2888"/>
      <c r="P7" s="2888"/>
    </row>
    <row r="8" spans="1:16">
      <c r="A8" s="47" t="s">
        <v>1802</v>
      </c>
      <c r="B8" s="50" t="s">
        <v>1803</v>
      </c>
      <c r="C8" s="48" t="s">
        <v>1804</v>
      </c>
      <c r="D8" s="48">
        <f t="shared" ref="D8:D15" si="0">ROUND($D$3*E8/$E$3,2)</f>
        <v>5365.16</v>
      </c>
      <c r="E8" s="51">
        <f>SUMIF('数据-基础表'!BB10:BK10,"地上",'数据-基础表'!BB5:BK5)</f>
        <v>5790.6600000000008</v>
      </c>
      <c r="F8" s="2888"/>
      <c r="G8" s="2889"/>
      <c r="H8" s="2889"/>
      <c r="I8" s="2888"/>
      <c r="J8" s="2888"/>
      <c r="K8" s="2888"/>
      <c r="L8" s="2888"/>
      <c r="M8" s="2888"/>
      <c r="N8" s="2888"/>
      <c r="O8" s="2888"/>
      <c r="P8" s="2888"/>
    </row>
    <row r="9" spans="1:16">
      <c r="A9" s="1833"/>
      <c r="B9" s="1834"/>
      <c r="C9" s="48" t="s">
        <v>1805</v>
      </c>
      <c r="D9" s="48">
        <f t="shared" si="0"/>
        <v>0</v>
      </c>
      <c r="E9" s="52">
        <v>0</v>
      </c>
      <c r="F9" s="2888"/>
      <c r="G9" s="2889"/>
      <c r="H9" s="2889"/>
      <c r="I9" s="2888"/>
      <c r="J9" s="2888"/>
      <c r="K9" s="2888"/>
      <c r="L9" s="2888"/>
      <c r="M9" s="2888"/>
      <c r="N9" s="2888"/>
      <c r="O9" s="2888"/>
      <c r="P9" s="2888"/>
    </row>
    <row r="10" spans="1:16">
      <c r="A10" s="1833"/>
      <c r="B10" s="1834"/>
      <c r="C10" s="48" t="s">
        <v>1814</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1806</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1807</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1808</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1820</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1815</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1809</v>
      </c>
      <c r="D16" s="50">
        <f>SUM(D8:D15)</f>
        <v>5365.16</v>
      </c>
      <c r="E16" s="53">
        <f>SUM(E8:E15)</f>
        <v>5790.6600000000008</v>
      </c>
      <c r="F16" s="2888"/>
      <c r="G16" s="2889"/>
      <c r="H16" s="1835" t="s">
        <v>1821</v>
      </c>
      <c r="I16" s="1836"/>
      <c r="J16" s="1301"/>
      <c r="K16" s="3261" t="s">
        <v>1821</v>
      </c>
      <c r="L16" s="3262"/>
      <c r="M16" s="3262"/>
      <c r="N16" s="3262"/>
      <c r="O16" s="3262"/>
      <c r="P16" s="3263"/>
    </row>
    <row r="17" spans="1:19" ht="15">
      <c r="A17" s="1837" t="s">
        <v>1822</v>
      </c>
      <c r="B17" s="1838" t="s">
        <v>1823</v>
      </c>
      <c r="C17" s="1839" t="s">
        <v>1824</v>
      </c>
      <c r="D17" s="1840" t="s">
        <v>1812</v>
      </c>
      <c r="E17" s="1841" t="s">
        <v>1813</v>
      </c>
      <c r="F17" s="1842"/>
      <c r="G17" s="1843"/>
      <c r="H17" s="1844" t="s">
        <v>1825</v>
      </c>
      <c r="I17" s="1845" t="s">
        <v>1810</v>
      </c>
      <c r="J17" s="1301"/>
      <c r="K17" s="3258" t="s">
        <v>1826</v>
      </c>
      <c r="L17" s="3259"/>
      <c r="M17" s="3260"/>
      <c r="N17" s="3258" t="s">
        <v>1827</v>
      </c>
      <c r="O17" s="3259"/>
      <c r="P17" s="3260"/>
      <c r="R17" s="1827" t="s">
        <v>1828</v>
      </c>
      <c r="S17" s="60"/>
    </row>
    <row r="18" spans="1:19" ht="15">
      <c r="A18" s="1833"/>
      <c r="B18" s="1846"/>
      <c r="C18" s="1847"/>
      <c r="D18" s="1848"/>
      <c r="E18" s="1849" t="s">
        <v>1829</v>
      </c>
      <c r="F18" s="1850" t="s">
        <v>1830</v>
      </c>
      <c r="G18" s="1851" t="s">
        <v>1831</v>
      </c>
      <c r="H18" s="1172" t="s">
        <v>1832</v>
      </c>
      <c r="I18" s="1852" t="s">
        <v>1833</v>
      </c>
      <c r="J18" s="1301"/>
      <c r="K18" s="1172" t="s">
        <v>1834</v>
      </c>
      <c r="L18" s="1853" t="s">
        <v>1835</v>
      </c>
      <c r="M18" s="964" t="s">
        <v>1836</v>
      </c>
      <c r="N18" s="1172" t="s">
        <v>1834</v>
      </c>
      <c r="O18" s="1853" t="s">
        <v>1835</v>
      </c>
      <c r="P18" s="964" t="s">
        <v>1836</v>
      </c>
      <c r="R18" s="1157" t="s">
        <v>1837</v>
      </c>
      <c r="S18" s="1157" t="s">
        <v>1838</v>
      </c>
    </row>
    <row r="19" spans="1:19">
      <c r="A19" s="1854"/>
      <c r="B19" s="50" t="s">
        <v>1811</v>
      </c>
      <c r="C19" s="3101" t="s">
        <v>3165</v>
      </c>
      <c r="D19" s="48">
        <f>ROUND($D$3*E19/$E$3,2)</f>
        <v>5365.16</v>
      </c>
      <c r="E19" s="56">
        <f t="shared" ref="E19:E26" si="1">SUM(F19:G19)</f>
        <v>5790.6600000000008</v>
      </c>
      <c r="F19" s="3028">
        <f>'数据-基础表'!I16</f>
        <v>5790.6600000000008</v>
      </c>
      <c r="G19" s="3029"/>
      <c r="H19" s="679">
        <f>ROUND($D$3*I19/$E$3,2)</f>
        <v>5319.31</v>
      </c>
      <c r="I19" s="51">
        <f t="shared" ref="I19:I26" si="2">IF($I$17="自定义",P19,M19)</f>
        <v>5741.18</v>
      </c>
      <c r="J19" s="1301"/>
      <c r="K19" s="1300">
        <f t="shared" ref="K19:K26" si="3">ROUND(E$28*E19/E$27,2)</f>
        <v>5741.18</v>
      </c>
      <c r="L19" s="1157">
        <f t="shared" ref="L19:L26" si="4">ROUND(IF(COUNTIF(C19,"*住宅*")&gt;0,E$29*E19/E$32,0),2)</f>
        <v>0</v>
      </c>
      <c r="M19" s="1312">
        <f>K19+L19</f>
        <v>5741.18</v>
      </c>
      <c r="N19" s="1856"/>
      <c r="O19" s="1857"/>
      <c r="P19" s="1312">
        <f>N19+O19</f>
        <v>0</v>
      </c>
      <c r="R19" s="1157">
        <f t="shared" ref="R19:S26" si="5">D19+H19</f>
        <v>10684.470000000001</v>
      </c>
      <c r="S19" s="1158">
        <f t="shared" si="5"/>
        <v>11531.84</v>
      </c>
    </row>
    <row r="20" spans="1:19">
      <c r="A20" s="1858"/>
      <c r="B20" s="50" t="s">
        <v>1839</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1839</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1839</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1839</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1839</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1839</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1839</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1840</v>
      </c>
      <c r="D27" s="1302">
        <f>SUM(D19:D26)</f>
        <v>5365.16</v>
      </c>
      <c r="E27" s="1303">
        <f>IF(SUM(E19:E26)='数据-基础表'!BA5,SUM(E19:E26),IF(F27="地上面积有误","面积有误","地下面积有误"))</f>
        <v>5790.6600000000008</v>
      </c>
      <c r="F27" s="1302">
        <f>IF(SUM(F19:F26)=E8,SUM(F19:F26),"地上面积有误")</f>
        <v>5790.6600000000008</v>
      </c>
      <c r="G27" s="1304">
        <f>SUM(G19:G26)</f>
        <v>0</v>
      </c>
      <c r="H27" s="1305">
        <f>SUM(H19:H26)</f>
        <v>5319.31</v>
      </c>
      <c r="I27" s="1306">
        <f>SUM(I19:I26)</f>
        <v>5741.18</v>
      </c>
      <c r="J27" s="1301"/>
      <c r="K27" s="1309">
        <f>SUM(K19:K26)</f>
        <v>5741.18</v>
      </c>
      <c r="L27" s="1310">
        <f>SUM(L19:L26)</f>
        <v>0</v>
      </c>
      <c r="M27" s="1313">
        <f>SUM(M19:M26)</f>
        <v>5741.18</v>
      </c>
      <c r="N27" s="1309">
        <f t="shared" ref="N27:O27" si="10">SUM(N19:N26)</f>
        <v>0</v>
      </c>
      <c r="O27" s="1310">
        <f t="shared" si="10"/>
        <v>0</v>
      </c>
      <c r="P27" s="1311">
        <f>SUM(P19:P26)</f>
        <v>0</v>
      </c>
      <c r="R27" s="1159">
        <f>IF(SUM(R19:R26)=$D$3,SUM(R19:R26),SUM(R19:R26)&amp;"误差"&amp;ROUND(SUM(R19:R26)-$D$3,2))</f>
        <v>10684.470000000001</v>
      </c>
      <c r="S27" s="1157">
        <f>IF(SUM(S19:S26)=$E$3,SUM(S19:S26),SUM(S19:S26)&amp;"误差"&amp;ROUND(SUM(S19:S26)-E3,2))</f>
        <v>11531.84</v>
      </c>
    </row>
    <row r="28" spans="1:19">
      <c r="A28" s="1858"/>
      <c r="B28" s="50" t="s">
        <v>1841</v>
      </c>
      <c r="C28" s="1169" t="s">
        <v>1842</v>
      </c>
      <c r="D28" s="48">
        <f>ROUND($D$3*E28/$E$3,2)</f>
        <v>5319.31</v>
      </c>
      <c r="E28" s="56">
        <f>SUM(F28:G28)</f>
        <v>5741.18</v>
      </c>
      <c r="F28" s="60">
        <f>'数据-基础表'!BQ5+'数据-基础表'!BS5</f>
        <v>0</v>
      </c>
      <c r="G28" s="61">
        <f>'数据-基础表'!BR5+'数据-基础表'!BT5</f>
        <v>5741.18</v>
      </c>
      <c r="H28" s="2888"/>
      <c r="I28" s="2888"/>
      <c r="J28" s="2888"/>
      <c r="K28" s="2888"/>
      <c r="L28" s="2888"/>
      <c r="M28" s="2888"/>
      <c r="N28" s="2888"/>
      <c r="O28" s="2888"/>
      <c r="P28" s="2888"/>
    </row>
    <row r="29" spans="1:19">
      <c r="A29" s="1858"/>
      <c r="B29" s="50" t="s">
        <v>1841</v>
      </c>
      <c r="C29" s="1862" t="s">
        <v>1843</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1840</v>
      </c>
      <c r="D30" s="1302">
        <f>SUM(D28:D29)</f>
        <v>5319.31</v>
      </c>
      <c r="E30" s="1302">
        <f>SUM(E28:E29)</f>
        <v>5741.18</v>
      </c>
      <c r="F30" s="1302">
        <f>SUM(F28:F29)</f>
        <v>0</v>
      </c>
      <c r="G30" s="1304">
        <f>SUM(G28:G29)</f>
        <v>5741.18</v>
      </c>
      <c r="H30" s="2888"/>
      <c r="I30" s="2888"/>
      <c r="J30" s="2888"/>
      <c r="K30" s="2888"/>
      <c r="L30" s="2888"/>
      <c r="M30" s="2888"/>
      <c r="N30" s="2888"/>
      <c r="O30" s="2888"/>
      <c r="P30" s="2888"/>
    </row>
    <row r="31" spans="1:19" ht="15.75" thickBot="1">
      <c r="A31" s="1864"/>
      <c r="B31" s="1865"/>
      <c r="C31" s="944" t="s">
        <v>1844</v>
      </c>
      <c r="D31" s="685">
        <f>D27+D30</f>
        <v>10684.470000000001</v>
      </c>
      <c r="E31" s="685">
        <f>E27+E30</f>
        <v>11531.84</v>
      </c>
      <c r="F31" s="686">
        <f>F27+F30</f>
        <v>5790.6600000000008</v>
      </c>
      <c r="G31" s="687">
        <f>G27+G30</f>
        <v>5741.18</v>
      </c>
      <c r="H31" s="2888"/>
      <c r="I31" s="2888"/>
      <c r="J31" s="2888"/>
      <c r="K31" s="2888"/>
      <c r="L31" s="2888"/>
      <c r="M31" s="2888"/>
      <c r="N31" s="2888"/>
      <c r="O31" s="2888"/>
      <c r="P31" s="2888"/>
    </row>
    <row r="32" spans="1:19">
      <c r="A32" s="1830"/>
      <c r="B32" s="1830" t="s">
        <v>1845</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1846</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1847</v>
      </c>
      <c r="B2" s="1176">
        <f>项目基本情况!D3</f>
        <v>44203</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1848</v>
      </c>
      <c r="B4" s="1876"/>
      <c r="C4" s="1877"/>
      <c r="D4" s="1878"/>
      <c r="E4" s="1877" t="s">
        <v>1849</v>
      </c>
      <c r="F4" s="1877"/>
      <c r="G4" s="1877"/>
      <c r="H4" s="1877"/>
      <c r="I4" s="1877"/>
      <c r="J4" s="1879"/>
      <c r="K4" s="1880"/>
      <c r="L4" s="1881"/>
      <c r="M4" s="1877"/>
      <c r="N4" s="1877" t="s">
        <v>1850</v>
      </c>
      <c r="O4" s="1877"/>
      <c r="P4" s="1877"/>
      <c r="Q4" s="1877"/>
      <c r="R4" s="1877"/>
      <c r="S4" s="1879"/>
      <c r="T4" s="2887" t="str">
        <f>'数据-汇总表'!I17</f>
        <v>按面积比例</v>
      </c>
      <c r="U4" s="1876" t="s">
        <v>1851</v>
      </c>
      <c r="V4" s="1877"/>
      <c r="W4" s="1877"/>
      <c r="X4" s="1877"/>
      <c r="Y4" s="1879"/>
      <c r="Z4" s="1839" t="s">
        <v>1852</v>
      </c>
      <c r="AA4" s="1839"/>
      <c r="AB4" s="1839"/>
      <c r="AC4" s="1839"/>
      <c r="AD4" s="1839"/>
      <c r="AE4" s="1837" t="s">
        <v>1853</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1854</v>
      </c>
      <c r="B5" s="1884" t="s">
        <v>1855</v>
      </c>
      <c r="C5" s="1885" t="s">
        <v>1856</v>
      </c>
      <c r="D5" s="1886" t="s">
        <v>1857</v>
      </c>
      <c r="E5" s="1178" t="s">
        <v>1858</v>
      </c>
      <c r="F5" s="1887" t="s">
        <v>1859</v>
      </c>
      <c r="G5" s="1178" t="s">
        <v>1860</v>
      </c>
      <c r="H5" s="1178" t="s">
        <v>1861</v>
      </c>
      <c r="I5" s="1178" t="s">
        <v>1862</v>
      </c>
      <c r="J5" s="1888" t="s">
        <v>1863</v>
      </c>
      <c r="K5" s="1889" t="s">
        <v>1864</v>
      </c>
      <c r="L5" s="1890" t="s">
        <v>1865</v>
      </c>
      <c r="M5" s="1891" t="s">
        <v>1866</v>
      </c>
      <c r="N5" s="1892" t="s">
        <v>1867</v>
      </c>
      <c r="O5" s="1890" t="s">
        <v>1868</v>
      </c>
      <c r="P5" s="1893" t="s">
        <v>1869</v>
      </c>
      <c r="Q5" s="65" t="s">
        <v>1870</v>
      </c>
      <c r="R5" s="1894" t="s">
        <v>1871</v>
      </c>
      <c r="S5" s="1895" t="s">
        <v>1872</v>
      </c>
      <c r="T5" s="1896" t="s">
        <v>1873</v>
      </c>
      <c r="U5" s="1177" t="s">
        <v>1874</v>
      </c>
      <c r="V5" s="1178" t="s">
        <v>1875</v>
      </c>
      <c r="W5" s="1178" t="s">
        <v>1876</v>
      </c>
      <c r="X5" s="67"/>
      <c r="Y5" s="66" t="s">
        <v>1877</v>
      </c>
      <c r="Z5" s="1897" t="s">
        <v>1874</v>
      </c>
      <c r="AA5" s="1178" t="s">
        <v>1875</v>
      </c>
      <c r="AB5" s="1178" t="s">
        <v>1876</v>
      </c>
      <c r="AC5" s="67"/>
      <c r="AD5" s="67" t="s">
        <v>1877</v>
      </c>
      <c r="AE5" s="1177" t="s">
        <v>1878</v>
      </c>
      <c r="AF5" s="1178" t="s">
        <v>1879</v>
      </c>
      <c r="AG5" s="66" t="s">
        <v>1880</v>
      </c>
      <c r="AH5" s="1177" t="s">
        <v>1881</v>
      </c>
      <c r="AI5" s="1897" t="s">
        <v>1882</v>
      </c>
      <c r="AJ5" s="1897" t="s">
        <v>1883</v>
      </c>
      <c r="AK5" s="1178" t="s">
        <v>1884</v>
      </c>
      <c r="AL5" s="1178" t="s">
        <v>1885</v>
      </c>
      <c r="AM5" s="66" t="s">
        <v>1886</v>
      </c>
      <c r="AN5" s="1898" t="s">
        <v>1887</v>
      </c>
      <c r="AO5" s="1749" t="s">
        <v>1888</v>
      </c>
      <c r="AP5" s="1159" t="s">
        <v>1889</v>
      </c>
      <c r="AQ5" s="1899" t="s">
        <v>1890</v>
      </c>
      <c r="AR5" s="1899" t="s">
        <v>1891</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别墅</v>
      </c>
      <c r="B6" s="1901" t="str">
        <f>IF(A6=0,"","经营性")</f>
        <v>经营性</v>
      </c>
      <c r="C6" s="1902" t="s">
        <v>1343</v>
      </c>
      <c r="D6" s="967">
        <f>SUMIF(项目基本情况!D$12:I$12,C6,项目基本情况!D$14:I$14)</f>
        <v>40</v>
      </c>
      <c r="E6" s="966">
        <f>IF(B6="","",SUMIF(项目基本情况!D$12:I$12,C6,项目基本情况!D$13:I$13))</f>
        <v>53871</v>
      </c>
      <c r="F6" s="68">
        <f>SUMIF(项目基本情况!D$12:I$12,C6,项目基本情况!D$15:I$15)</f>
        <v>26.48</v>
      </c>
      <c r="G6" s="69">
        <f>IF(ISERROR(ROUND(POWER(1+H6,D6-F6)*(POWER(1+H6,F6)-1)/(POWER(1+H6,D6)-1),3)),0,ROUND(POWER(1+H6,D6-F6)*(POWER(1+H6,F6)-1)/(POWER(1+H6,D6)-1),3))</f>
        <v>0.84499999999999997</v>
      </c>
      <c r="H6" s="741">
        <v>0.05</v>
      </c>
      <c r="I6" s="741">
        <v>5.5E-2</v>
      </c>
      <c r="J6" s="70">
        <v>8.5000000000000006E-2</v>
      </c>
      <c r="K6" s="1161">
        <f>SUMIF('数据-汇总表'!C$19:C$33,A6,'数据-汇总表'!E$19:E$33)</f>
        <v>5790.6600000000008</v>
      </c>
      <c r="L6" s="742">
        <v>13000</v>
      </c>
      <c r="M6" s="71">
        <f t="shared" ref="M6:M14" si="0">ROUND(K6*L6/10000,0)</f>
        <v>7528</v>
      </c>
      <c r="N6" s="740">
        <v>0.22</v>
      </c>
      <c r="O6" s="71">
        <f>IF($N$5="成新度","——",ROUND(M6*N6,0))</f>
        <v>1656</v>
      </c>
      <c r="P6" s="72">
        <f>IF($N$5="成新度","——",M6-O6)</f>
        <v>5872</v>
      </c>
      <c r="Q6" s="743">
        <v>0.3</v>
      </c>
      <c r="R6" s="73">
        <f ca="1">SUMIF('数据-汇总表'!C$19:C$33,A6,'数据-汇总表'!R$19:R$27)</f>
        <v>10684.470000000001</v>
      </c>
      <c r="S6" s="54">
        <f>IF('数据-汇总表'!$I$17="按面积比例",SUMIF('数据-汇总表'!C$19:C$33,A6,'数据-汇总表'!K$19:K$33),SUMIF('数据-汇总表'!C$19:C$33,A6,'数据-汇总表'!N$19:N$33))</f>
        <v>5741.18</v>
      </c>
      <c r="T6" s="1334">
        <f>ROUND($L$14*S6/10000,0)</f>
        <v>7464</v>
      </c>
      <c r="U6" s="74"/>
      <c r="V6" s="75"/>
      <c r="W6" s="75"/>
      <c r="X6" s="1171"/>
      <c r="Y6" s="76"/>
      <c r="Z6" s="77"/>
      <c r="AA6" s="70"/>
      <c r="AB6" s="70"/>
      <c r="AC6" s="1171"/>
      <c r="AD6" s="78"/>
      <c r="AE6" s="1172">
        <f ca="1">IF(AN6="",0,SUMIF(INDIRECT("'"&amp;AN6&amp;"'"&amp;"!E:E"),$AE$5,INDIRECT("'"&amp;AN6&amp;"'"&amp;"!F:F")))</f>
        <v>0</v>
      </c>
      <c r="AF6" s="1534"/>
      <c r="AG6" s="143">
        <f>IF(AF6="",0,AE6-AF6)</f>
        <v>0</v>
      </c>
      <c r="AH6" s="79"/>
      <c r="AI6" s="81"/>
      <c r="AJ6" s="82"/>
      <c r="AK6" s="83"/>
      <c r="AL6" s="84"/>
      <c r="AM6" s="85"/>
      <c r="AN6" s="1903"/>
      <c r="AO6" s="55" t="e">
        <f ca="1">SUMIF(INDIRECT("'"&amp;AN6&amp;"'"&amp;"!A:A"),"总价",INDIRECT("'"&amp;AN6&amp;"'"&amp;"!B:B"))</f>
        <v>#REF!</v>
      </c>
      <c r="AP6" s="1904">
        <f>IF(C6="住宅",K6*L6,0)</f>
        <v>0</v>
      </c>
      <c r="AQ6" s="55">
        <f>ROUND($L$14*$N$14*S6/10000,0)</f>
        <v>1642</v>
      </c>
      <c r="AR6" s="55">
        <f>ROUND($L$14*(1-$N$14)*S6/10000,0)</f>
        <v>5822</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f t="shared" ref="O7:O14" si="3">IF($N$5="成新度","——",ROUND(M7*N7,0))</f>
        <v>0</v>
      </c>
      <c r="P7" s="72">
        <f t="shared" ref="P7:P14" si="4">IF($N$5="成新度","——",M7-O7)</f>
        <v>0</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f t="shared" si="3"/>
        <v>0</v>
      </c>
      <c r="P8" s="72">
        <f t="shared" si="4"/>
        <v>0</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1892</v>
      </c>
      <c r="B14" s="1901" t="s">
        <v>1893</v>
      </c>
      <c r="C14" s="1906" t="s">
        <v>1892</v>
      </c>
      <c r="D14" s="967"/>
      <c r="E14" s="966"/>
      <c r="F14" s="68"/>
      <c r="G14" s="69"/>
      <c r="H14" s="1160"/>
      <c r="I14" s="1160"/>
      <c r="J14" s="1160"/>
      <c r="K14" s="1161">
        <f>SUMIF('数据-汇总表'!C$19:C$33,A14,'数据-汇总表'!E$19:E$33)</f>
        <v>5741.18</v>
      </c>
      <c r="L14" s="87">
        <f>L6</f>
        <v>13000</v>
      </c>
      <c r="M14" s="71">
        <f t="shared" si="0"/>
        <v>7464</v>
      </c>
      <c r="N14" s="88">
        <f>N6</f>
        <v>0.22</v>
      </c>
      <c r="O14" s="71">
        <f t="shared" si="3"/>
        <v>1642</v>
      </c>
      <c r="P14" s="72">
        <f t="shared" si="4"/>
        <v>5822</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1894</v>
      </c>
      <c r="B15" s="1901" t="s">
        <v>1893</v>
      </c>
      <c r="C15" s="1906" t="s">
        <v>1895</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1896</v>
      </c>
      <c r="B16" s="93"/>
      <c r="C16" s="942"/>
      <c r="D16" s="1908"/>
      <c r="E16" s="93"/>
      <c r="F16" s="93"/>
      <c r="G16" s="94">
        <f>ROUND(SUMPRODUCT(G6:G13,K6:K13)/SUMPRODUCT((G6:G13&gt;0)*(K6:K13)),3)</f>
        <v>0.84499999999999997</v>
      </c>
      <c r="H16" s="95">
        <f>ROUND(SUMPRODUCT(H6:H13,K6:K13)/SUMPRODUCT((H6:H13&gt;0)*(K6:K13)),3)</f>
        <v>0.05</v>
      </c>
      <c r="I16" s="96"/>
      <c r="J16" s="96"/>
      <c r="K16" s="97">
        <f>SUM(K6:K15)</f>
        <v>11531.84</v>
      </c>
      <c r="L16" s="98">
        <f>ROUND(M16*10000/SUM(K6:K14),0)</f>
        <v>13001</v>
      </c>
      <c r="M16" s="98">
        <f>SUM(M6:M14)</f>
        <v>14992</v>
      </c>
      <c r="N16" s="99">
        <f>ROUND(SUMPRODUCT(M6:M14,N6:N14)/M16,3)</f>
        <v>0.22</v>
      </c>
      <c r="O16" s="98">
        <f>SUM(O6:O14)</f>
        <v>3298</v>
      </c>
      <c r="P16" s="98">
        <f>SUM(P6:P14)</f>
        <v>11694</v>
      </c>
      <c r="Q16" s="100">
        <f>ROUND(SUMPRODUCT(Q6:Q13,K6:K13)/SUMPRODUCT((Q6:Q13&gt;0)*(K6:K13)),2)</f>
        <v>0.3</v>
      </c>
      <c r="R16" s="1165">
        <f ca="1">SUM(R6:R13)</f>
        <v>10684.470000000001</v>
      </c>
      <c r="S16" s="101">
        <f>SUM(S6:S13)</f>
        <v>5741.18</v>
      </c>
      <c r="T16" s="102">
        <f>IF(SUMIF(T6:T13,"&lt;9E307")=M14,SUMIF(T6:T13,"&lt;9E307"),"有误，请检查")</f>
        <v>7464</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1897</v>
      </c>
      <c r="B18" s="2916"/>
      <c r="C18" s="2904"/>
      <c r="D18" s="2907"/>
      <c r="E18" s="2904"/>
      <c r="F18" s="2904"/>
      <c r="G18" s="2904"/>
      <c r="H18" s="2904"/>
      <c r="I18" s="2904"/>
      <c r="J18" s="2904"/>
      <c r="K18" s="2903"/>
      <c r="L18" s="2903"/>
      <c r="M18" s="2902"/>
      <c r="N18" s="2902"/>
      <c r="O18" s="2902"/>
      <c r="P18" s="2902"/>
      <c r="Q18" s="2902"/>
      <c r="R18" s="2902"/>
      <c r="S18" s="2902">
        <f>L14*K16/Q28</f>
        <v>9016.044543183385</v>
      </c>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1898</v>
      </c>
      <c r="B19" s="108">
        <v>0</v>
      </c>
      <c r="C19" s="3032" t="s">
        <v>3051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1899</v>
      </c>
      <c r="B20" s="109">
        <v>3</v>
      </c>
      <c r="C20" s="3033" t="s">
        <v>3049</v>
      </c>
      <c r="D20" s="2907"/>
      <c r="E20" s="2904"/>
      <c r="F20" s="2904"/>
      <c r="G20" s="2904"/>
      <c r="H20" s="2904"/>
      <c r="I20" s="2904"/>
      <c r="J20" s="2904"/>
      <c r="K20" s="2903"/>
      <c r="L20" s="2903"/>
      <c r="M20" s="2902" t="s">
        <v>3253</v>
      </c>
      <c r="N20" s="2902">
        <f>抵押物清单!F3*3</f>
        <v>532.41</v>
      </c>
      <c r="O20" s="3106">
        <v>0.5</v>
      </c>
      <c r="P20" s="2902">
        <f>O20*N20</f>
        <v>266.20499999999998</v>
      </c>
      <c r="Q20" s="2902">
        <f>(抵押物清单!F26+抵押物清单!H26)*3</f>
        <v>1418.0099999999998</v>
      </c>
      <c r="R20" s="2902">
        <f>O20*Q20*S20</f>
        <v>6392389.0799999991</v>
      </c>
      <c r="S20" s="2902">
        <v>9016</v>
      </c>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1900</v>
      </c>
      <c r="B21" s="109">
        <f>B20*N16</f>
        <v>0.66</v>
      </c>
      <c r="C21" s="2904"/>
      <c r="D21" s="2907"/>
      <c r="E21" s="2904"/>
      <c r="F21" s="2904"/>
      <c r="G21" s="2904"/>
      <c r="H21" s="2904"/>
      <c r="I21" s="2904"/>
      <c r="J21" s="2904"/>
      <c r="K21" s="2903"/>
      <c r="L21" s="2903"/>
      <c r="M21" s="2902" t="s">
        <v>3254</v>
      </c>
      <c r="N21" s="2902">
        <f>抵押物清单!F3*2</f>
        <v>354.94</v>
      </c>
      <c r="O21" s="3106">
        <v>0.5</v>
      </c>
      <c r="P21" s="2902">
        <f t="shared" ref="P21:P27" si="12">O21*N21</f>
        <v>177.47</v>
      </c>
      <c r="Q21" s="2902">
        <f>(抵押物清单!F26+抵押物清单!H26)*2</f>
        <v>945.33999999999992</v>
      </c>
      <c r="R21" s="2902">
        <f t="shared" ref="R21:R27" si="13">O21*Q21*S21</f>
        <v>4261592.72</v>
      </c>
      <c r="S21" s="2902">
        <v>9016</v>
      </c>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1901</v>
      </c>
      <c r="B22" s="110">
        <f>B19+B20</f>
        <v>3</v>
      </c>
      <c r="C22" s="2904"/>
      <c r="D22" s="2907"/>
      <c r="E22" s="2904"/>
      <c r="F22" s="2904"/>
      <c r="G22" s="2904"/>
      <c r="H22" s="2904"/>
      <c r="I22" s="2904"/>
      <c r="J22" s="2904"/>
      <c r="K22" s="2903"/>
      <c r="L22" s="2903"/>
      <c r="M22" s="2902" t="s">
        <v>3255</v>
      </c>
      <c r="N22" s="2902">
        <f>抵押物清单!F13*2</f>
        <v>808.14</v>
      </c>
      <c r="O22" s="3106">
        <v>0.3</v>
      </c>
      <c r="P22" s="2902">
        <f t="shared" si="12"/>
        <v>242.44199999999998</v>
      </c>
      <c r="Q22" s="2902">
        <f>(抵押物清单!F36+抵押物清单!H36)*2</f>
        <v>1822.26</v>
      </c>
      <c r="R22" s="2902">
        <f t="shared" si="13"/>
        <v>4928848.8480000002</v>
      </c>
      <c r="S22" s="2902">
        <v>9016</v>
      </c>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1902</v>
      </c>
      <c r="B23" s="110">
        <f>B19+B21</f>
        <v>0.66</v>
      </c>
      <c r="C23" s="2904"/>
      <c r="D23" s="2907"/>
      <c r="E23" s="2904"/>
      <c r="F23" s="2904"/>
      <c r="G23" s="2904"/>
      <c r="H23" s="2904"/>
      <c r="I23" s="2904"/>
      <c r="J23" s="2904"/>
      <c r="K23" s="2903"/>
      <c r="L23" s="2903"/>
      <c r="M23" s="2902" t="s">
        <v>3256</v>
      </c>
      <c r="N23" s="2902">
        <f>抵押物清单!F17*2</f>
        <v>1199.8399999999999</v>
      </c>
      <c r="O23" s="3106">
        <v>0.2</v>
      </c>
      <c r="P23" s="2902">
        <f t="shared" si="12"/>
        <v>239.96799999999999</v>
      </c>
      <c r="Q23" s="2902">
        <f>(抵押物清单!F40+抵押物清单!H40+抵押物清单!H41)*2</f>
        <v>4128.12</v>
      </c>
      <c r="R23" s="2902">
        <f t="shared" si="13"/>
        <v>7443825.9840000002</v>
      </c>
      <c r="S23" s="2902">
        <v>9016</v>
      </c>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1903</v>
      </c>
      <c r="B24" s="111">
        <f>B20-B21</f>
        <v>2.34</v>
      </c>
      <c r="C24" s="2904"/>
      <c r="D24" s="2907"/>
      <c r="E24" s="2904"/>
      <c r="F24" s="2904"/>
      <c r="G24" s="2904"/>
      <c r="H24" s="2904"/>
      <c r="I24" s="2904"/>
      <c r="J24" s="2904"/>
      <c r="K24" s="2903"/>
      <c r="L24" s="2903"/>
      <c r="M24" s="2902" t="s">
        <v>3257</v>
      </c>
      <c r="N24" s="2902">
        <f>N20</f>
        <v>532.41</v>
      </c>
      <c r="O24" s="3106">
        <v>0.05</v>
      </c>
      <c r="P24" s="2902">
        <f t="shared" si="12"/>
        <v>26.6205</v>
      </c>
      <c r="Q24" s="2902">
        <f>Q20</f>
        <v>1418.0099999999998</v>
      </c>
      <c r="R24" s="2902">
        <f t="shared" si="13"/>
        <v>639238.90799999994</v>
      </c>
      <c r="S24" s="2902">
        <v>9016</v>
      </c>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t="s">
        <v>3258</v>
      </c>
      <c r="N25" s="2902">
        <f>N21</f>
        <v>354.94</v>
      </c>
      <c r="O25" s="3106">
        <v>0.05</v>
      </c>
      <c r="P25" s="2902">
        <f t="shared" si="12"/>
        <v>17.747</v>
      </c>
      <c r="Q25" s="2902">
        <f>Q21</f>
        <v>945.33999999999992</v>
      </c>
      <c r="R25" s="2902">
        <f t="shared" si="13"/>
        <v>426159.27199999994</v>
      </c>
      <c r="S25" s="2902">
        <v>9016</v>
      </c>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1904</v>
      </c>
      <c r="B26" s="1914" t="s">
        <v>1905</v>
      </c>
      <c r="C26" s="2908" t="s">
        <v>1906</v>
      </c>
      <c r="D26" s="2907"/>
      <c r="E26" s="2904"/>
      <c r="F26" s="2904"/>
      <c r="G26" s="2904"/>
      <c r="H26" s="2904"/>
      <c r="I26" s="2904"/>
      <c r="J26" s="2904"/>
      <c r="K26" s="2903"/>
      <c r="L26" s="2903"/>
      <c r="M26" s="2902" t="s">
        <v>3259</v>
      </c>
      <c r="N26" s="2902">
        <f>N22</f>
        <v>808.14</v>
      </c>
      <c r="O26" s="3106">
        <v>0.1</v>
      </c>
      <c r="P26" s="2902">
        <f t="shared" si="12"/>
        <v>80.814000000000007</v>
      </c>
      <c r="Q26" s="2902">
        <f>Q22</f>
        <v>1822.26</v>
      </c>
      <c r="R26" s="2902">
        <f t="shared" si="13"/>
        <v>1642949.6159999999</v>
      </c>
      <c r="S26" s="2902">
        <v>9016</v>
      </c>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1907</v>
      </c>
      <c r="B27" s="112">
        <v>220</v>
      </c>
      <c r="C27" s="3034" t="s">
        <v>3053</v>
      </c>
      <c r="D27" s="2910"/>
      <c r="E27" s="2890"/>
      <c r="F27" s="2890"/>
      <c r="G27" s="2904"/>
      <c r="H27" s="2904"/>
      <c r="I27" s="2904"/>
      <c r="J27" s="2904"/>
      <c r="K27" s="2903"/>
      <c r="L27" s="2903"/>
      <c r="M27" s="2902" t="s">
        <v>3260</v>
      </c>
      <c r="N27" s="2902">
        <f>N23</f>
        <v>1199.8399999999999</v>
      </c>
      <c r="O27" s="3106">
        <v>0.2</v>
      </c>
      <c r="P27" s="2902">
        <f t="shared" si="12"/>
        <v>239.96799999999999</v>
      </c>
      <c r="Q27" s="2902">
        <f>Q23</f>
        <v>4128.12</v>
      </c>
      <c r="R27" s="2902">
        <f t="shared" si="13"/>
        <v>7443825.9840000002</v>
      </c>
      <c r="S27" s="2902">
        <v>9016</v>
      </c>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1908</v>
      </c>
      <c r="B28" s="115">
        <v>220</v>
      </c>
      <c r="C28" s="2911"/>
      <c r="D28" s="2910"/>
      <c r="E28" s="2890"/>
      <c r="F28" s="2890"/>
      <c r="G28" s="2904"/>
      <c r="H28" s="2904"/>
      <c r="I28" s="2904"/>
      <c r="J28" s="2904"/>
      <c r="K28" s="2903"/>
      <c r="L28" s="2903"/>
      <c r="M28" s="2902"/>
      <c r="N28" s="2902">
        <f>SUM(N20:N27)</f>
        <v>5790.66</v>
      </c>
      <c r="O28" s="2902">
        <f>P28/N28</f>
        <v>0.22298572183481677</v>
      </c>
      <c r="P28" s="2902">
        <f>SUM(P20:P27)</f>
        <v>1291.2345</v>
      </c>
      <c r="Q28" s="2902">
        <f>SUM(Q20:Q27)</f>
        <v>16627.46</v>
      </c>
      <c r="R28" s="2902">
        <f>SUM(R20:R27)</f>
        <v>33178830.412</v>
      </c>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1909</v>
      </c>
      <c r="B29" s="117">
        <f>成本法!C10</f>
        <v>366</v>
      </c>
      <c r="C29" s="3035" t="s">
        <v>3039</v>
      </c>
      <c r="D29" s="2910"/>
      <c r="E29" s="2890"/>
      <c r="F29" s="2890"/>
      <c r="G29" s="2904"/>
      <c r="H29" s="2904"/>
      <c r="I29" s="2904"/>
      <c r="J29" s="2904"/>
      <c r="K29" s="2903"/>
      <c r="L29" s="2903"/>
      <c r="M29" s="2902"/>
      <c r="N29" s="2902"/>
      <c r="O29" s="2902"/>
      <c r="P29" s="2902"/>
      <c r="Q29" s="2902"/>
      <c r="R29" s="2902">
        <f>Q28*S27</f>
        <v>149913179.35999998</v>
      </c>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1910</v>
      </c>
      <c r="B30" s="680">
        <v>200</v>
      </c>
      <c r="C30" s="2911"/>
      <c r="D30" s="2910"/>
      <c r="E30" s="2890"/>
      <c r="F30" s="2890"/>
      <c r="G30" s="2904"/>
      <c r="H30" s="2904"/>
      <c r="I30" s="2904"/>
      <c r="J30" s="2904"/>
      <c r="K30" s="2903"/>
      <c r="L30" s="2903"/>
      <c r="M30" s="2902"/>
      <c r="N30" s="2902"/>
      <c r="O30" s="2902"/>
      <c r="P30" s="2902"/>
      <c r="Q30" s="2902"/>
      <c r="R30" s="2902">
        <f>R28/R29</f>
        <v>0.22132030388285406</v>
      </c>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1911</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1912</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1913</v>
      </c>
      <c r="B33" s="682">
        <v>0.05</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1914</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1915</v>
      </c>
      <c r="B35" s="115">
        <v>200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1916</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1917</v>
      </c>
      <c r="B37" s="120">
        <v>0.03</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1918</v>
      </c>
      <c r="B38" s="118">
        <v>0.03</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1919</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1920</v>
      </c>
      <c r="B40" s="1210">
        <f ca="1">存贷款利率!G1</f>
        <v>4.7500000000000001E-2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1921</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1922</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1923</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1924</v>
      </c>
      <c r="B44" s="124">
        <v>7.0000000000000007E-2</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1925</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1926</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1927</v>
      </c>
      <c r="B47" s="125">
        <v>0</v>
      </c>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1928</v>
      </c>
      <c r="B48" s="126">
        <v>0.03</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1929</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1930</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1931</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1932</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1933</v>
      </c>
      <c r="B53" s="1926" t="s">
        <v>269</v>
      </c>
      <c r="C53" s="2890" t="s">
        <v>1934</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1935</v>
      </c>
      <c r="B54" s="80">
        <v>18</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1936</v>
      </c>
      <c r="B55" s="80">
        <v>15</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1937</v>
      </c>
      <c r="B56" s="80">
        <v>12</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1938</v>
      </c>
      <c r="B57" s="80">
        <v>9</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1939</v>
      </c>
      <c r="B58" s="80">
        <v>6</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1940</v>
      </c>
      <c r="B59" s="80">
        <v>2</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1941</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1942</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1943</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1944</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22" sqref="H22"/>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273" t="s">
        <v>3031</v>
      </c>
      <c r="B1" s="3274"/>
      <c r="C1" s="3274"/>
      <c r="D1" s="3274"/>
      <c r="E1" s="3274"/>
      <c r="F1" s="3274"/>
      <c r="G1" s="3274"/>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3" sqref="H33"/>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5790.6600000000008</v>
      </c>
      <c r="C1" s="2917"/>
      <c r="D1" s="2917"/>
      <c r="E1" s="2917"/>
      <c r="F1" s="2917"/>
      <c r="G1" s="2918"/>
      <c r="H1" s="2919"/>
      <c r="I1" s="2919"/>
      <c r="J1" s="2919"/>
      <c r="K1" s="2919"/>
    </row>
    <row r="2" spans="1:11" ht="16.5">
      <c r="A2" s="2740" t="s">
        <v>1319</v>
      </c>
      <c r="B2" s="2740">
        <f>SUM(C14:C23)</f>
        <v>5365.16</v>
      </c>
      <c r="C2" s="2917"/>
      <c r="D2" s="2917"/>
      <c r="E2" s="2917"/>
      <c r="F2" s="2917"/>
      <c r="G2" s="2918"/>
      <c r="H2" s="2919"/>
      <c r="I2" s="2919"/>
      <c r="J2" s="2919"/>
      <c r="K2" s="2919"/>
    </row>
    <row r="3" spans="1:11" ht="16.5">
      <c r="A3" s="2740" t="s">
        <v>1328</v>
      </c>
      <c r="B3" s="2742">
        <f>项目基本情况!D3</f>
        <v>44203</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49953</v>
      </c>
      <c r="C5" s="2740">
        <f ca="1">ROUND(B5*10000/$B$1,0)</f>
        <v>86265</v>
      </c>
      <c r="D5" s="2740">
        <f ca="1">ROUND(B5*10000/$B$2,0)</f>
        <v>93106</v>
      </c>
      <c r="E5" s="2917"/>
      <c r="F5" s="2918"/>
      <c r="G5" s="2918"/>
      <c r="H5" s="2919"/>
      <c r="I5" s="2919"/>
      <c r="J5" s="2919"/>
      <c r="K5" s="2919"/>
    </row>
    <row r="6" spans="1:11" ht="16.5">
      <c r="A6" s="2740" t="s">
        <v>1322</v>
      </c>
      <c r="B6" s="2740">
        <f ca="1">SUM(G14:G23)</f>
        <v>49953</v>
      </c>
      <c r="C6" s="2740">
        <f ca="1">ROUND(B6*10000/$B$1,0)</f>
        <v>86265</v>
      </c>
      <c r="D6" s="2740">
        <f ca="1">ROUND(B6*10000/$B$2,0)</f>
        <v>93106</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5790.6600000000008</v>
      </c>
      <c r="C14" s="2746">
        <f>结果表!C118</f>
        <v>5365.16</v>
      </c>
      <c r="D14" s="2746">
        <f ca="1">结果表!H118</f>
        <v>49953</v>
      </c>
      <c r="E14" s="2746">
        <f ca="1">ROUND(D14*10000/B14,0)</f>
        <v>86265</v>
      </c>
      <c r="F14" s="2746">
        <f ca="1">ROUND(D14*10000/C14,0)</f>
        <v>93106</v>
      </c>
      <c r="G14" s="2746">
        <f ca="1">结果表!D122</f>
        <v>49953</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17" t="str">
        <f>项目基本情况!B1</f>
        <v>出让国有建设用地使用权及在建建筑物房地产抵押价值预评估</v>
      </c>
      <c r="C37" s="3117"/>
      <c r="D37" s="3117"/>
      <c r="E37" s="3117"/>
      <c r="F37" s="3117"/>
      <c r="G37" s="3117"/>
      <c r="H37" s="3117"/>
      <c r="I37" s="3117"/>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1950</v>
      </c>
      <c r="B1" s="1935"/>
      <c r="C1" s="1936" t="s">
        <v>3164</v>
      </c>
      <c r="D1" s="1935"/>
      <c r="E1" s="1935"/>
      <c r="F1" s="1937" t="s">
        <v>1951</v>
      </c>
      <c r="G1" s="1748" t="s">
        <v>3067</v>
      </c>
      <c r="H1" s="1938" t="str">
        <f>IF(G1="现房","——","估价对象范围")</f>
        <v>估价对象范围</v>
      </c>
      <c r="I1" s="1939" t="s">
        <v>3168</v>
      </c>
    </row>
    <row r="2" spans="1:12" ht="21.75" customHeight="1" thickBot="1">
      <c r="A2" s="3309" t="str">
        <f>项目基本情况!S2</f>
        <v>出让国有建设用地使用权及在建建筑物房地产</v>
      </c>
      <c r="B2" s="3310"/>
      <c r="C2" s="3310"/>
      <c r="D2" s="3310"/>
      <c r="E2" s="3310"/>
      <c r="F2" s="3310"/>
      <c r="G2" s="3310"/>
      <c r="H2" s="3310"/>
      <c r="I2" s="3311"/>
    </row>
    <row r="3" spans="1:12" ht="12.75">
      <c r="A3" s="3313" t="s">
        <v>1952</v>
      </c>
      <c r="B3" s="3314"/>
      <c r="C3" s="3314"/>
      <c r="D3" s="3314"/>
      <c r="E3" s="3314"/>
      <c r="F3" s="3314"/>
      <c r="G3" s="3314"/>
      <c r="H3" s="3314"/>
      <c r="I3" s="3314"/>
    </row>
    <row r="4" spans="1:12" ht="14.25">
      <c r="A4" s="1942" t="s">
        <v>1953</v>
      </c>
      <c r="B4" s="1943" t="s">
        <v>1954</v>
      </c>
      <c r="C4" s="1944" t="s">
        <v>3166</v>
      </c>
      <c r="D4" s="1944" t="s">
        <v>3167</v>
      </c>
      <c r="E4" s="3315" t="s">
        <v>1955</v>
      </c>
      <c r="F4" s="3316"/>
      <c r="G4" s="3316"/>
      <c r="H4" s="3316"/>
      <c r="I4" s="33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289" t="s">
        <v>1956</v>
      </c>
      <c r="B5" s="3276">
        <v>25</v>
      </c>
      <c r="C5" s="3292"/>
      <c r="D5" s="3312"/>
      <c r="E5" s="136" t="s">
        <v>1957</v>
      </c>
      <c r="F5" s="1945"/>
      <c r="G5" s="1945"/>
      <c r="H5" s="1945"/>
      <c r="I5" s="1559"/>
    </row>
    <row r="6" spans="1:12" ht="12.75">
      <c r="A6" s="3289"/>
      <c r="B6" s="3276"/>
      <c r="C6" s="3293"/>
      <c r="D6" s="3312"/>
      <c r="E6" s="136" t="s">
        <v>1958</v>
      </c>
      <c r="F6" s="1945"/>
      <c r="G6" s="1945"/>
      <c r="H6" s="1945"/>
      <c r="I6" s="1559"/>
    </row>
    <row r="7" spans="1:12" ht="12.75">
      <c r="A7" s="3289"/>
      <c r="B7" s="3276"/>
      <c r="C7" s="3294"/>
      <c r="D7" s="3312"/>
      <c r="E7" s="136" t="s">
        <v>1959</v>
      </c>
      <c r="F7" s="1945"/>
      <c r="G7" s="1945"/>
      <c r="H7" s="1945"/>
      <c r="I7" s="1559"/>
    </row>
    <row r="8" spans="1:12" ht="12.75">
      <c r="A8" s="3289" t="s">
        <v>1960</v>
      </c>
      <c r="B8" s="3276">
        <v>15</v>
      </c>
      <c r="C8" s="3292"/>
      <c r="D8" s="3312"/>
      <c r="E8" s="136" t="s">
        <v>1961</v>
      </c>
      <c r="F8" s="1945"/>
      <c r="G8" s="1945"/>
      <c r="H8" s="1945"/>
      <c r="I8" s="1559"/>
    </row>
    <row r="9" spans="1:12" ht="12.75">
      <c r="A9" s="3289"/>
      <c r="B9" s="3276"/>
      <c r="C9" s="3294"/>
      <c r="D9" s="3312"/>
      <c r="E9" s="136" t="s">
        <v>1962</v>
      </c>
      <c r="F9" s="1945"/>
      <c r="G9" s="1945"/>
      <c r="H9" s="1945"/>
      <c r="I9" s="1559"/>
    </row>
    <row r="10" spans="1:12" ht="12.75">
      <c r="A10" s="3289" t="s">
        <v>1963</v>
      </c>
      <c r="B10" s="3276">
        <v>15</v>
      </c>
      <c r="C10" s="3292"/>
      <c r="D10" s="3312"/>
      <c r="E10" s="136" t="s">
        <v>1964</v>
      </c>
      <c r="F10" s="1945"/>
      <c r="G10" s="1945"/>
      <c r="H10" s="1945"/>
      <c r="I10" s="1559"/>
    </row>
    <row r="11" spans="1:12" ht="12.75">
      <c r="A11" s="3289"/>
      <c r="B11" s="3276"/>
      <c r="C11" s="3294"/>
      <c r="D11" s="3312"/>
      <c r="E11" s="136" t="s">
        <v>1965</v>
      </c>
      <c r="F11" s="1945"/>
      <c r="G11" s="1945"/>
      <c r="H11" s="1945"/>
      <c r="I11" s="1559"/>
    </row>
    <row r="12" spans="1:12" ht="12.75">
      <c r="A12" s="3289" t="s">
        <v>1966</v>
      </c>
      <c r="B12" s="3276">
        <v>15</v>
      </c>
      <c r="C12" s="3292"/>
      <c r="D12" s="3312"/>
      <c r="E12" s="136" t="s">
        <v>1967</v>
      </c>
      <c r="F12" s="1945"/>
      <c r="G12" s="1945"/>
      <c r="H12" s="1945"/>
      <c r="I12" s="1559"/>
    </row>
    <row r="13" spans="1:12" ht="12.75">
      <c r="A13" s="3289"/>
      <c r="B13" s="3276"/>
      <c r="C13" s="3294"/>
      <c r="D13" s="3312"/>
      <c r="E13" s="136" t="s">
        <v>1968</v>
      </c>
      <c r="F13" s="1945"/>
      <c r="G13" s="1945"/>
      <c r="H13" s="1945"/>
      <c r="I13" s="1559"/>
    </row>
    <row r="14" spans="1:12" ht="12.75">
      <c r="A14" s="3289" t="s">
        <v>1969</v>
      </c>
      <c r="B14" s="3276">
        <v>30</v>
      </c>
      <c r="C14" s="3292">
        <v>3</v>
      </c>
      <c r="D14" s="3312">
        <v>7</v>
      </c>
      <c r="E14" s="136" t="s">
        <v>1970</v>
      </c>
      <c r="F14" s="1945"/>
      <c r="G14" s="1945"/>
      <c r="H14" s="1945"/>
      <c r="I14" s="1559"/>
    </row>
    <row r="15" spans="1:12" ht="12.75">
      <c r="A15" s="3289"/>
      <c r="B15" s="3276"/>
      <c r="C15" s="3293"/>
      <c r="D15" s="3312"/>
      <c r="E15" s="136" t="s">
        <v>1971</v>
      </c>
      <c r="F15" s="1945"/>
      <c r="G15" s="1945"/>
      <c r="H15" s="1945"/>
      <c r="I15" s="1559"/>
    </row>
    <row r="16" spans="1:12" ht="12.75">
      <c r="A16" s="3289"/>
      <c r="B16" s="3276"/>
      <c r="C16" s="3294"/>
      <c r="D16" s="3312"/>
      <c r="E16" s="136" t="s">
        <v>1972</v>
      </c>
      <c r="F16" s="1945"/>
      <c r="G16" s="1945"/>
      <c r="H16" s="1945"/>
      <c r="I16" s="1559"/>
    </row>
    <row r="17" spans="1:36" ht="15">
      <c r="A17" s="1946" t="s">
        <v>1973</v>
      </c>
      <c r="B17" s="60"/>
      <c r="C17" s="137">
        <f>SUM(C5:C16)</f>
        <v>3</v>
      </c>
      <c r="D17" s="137">
        <f>SUM(D5:D16)</f>
        <v>7</v>
      </c>
      <c r="E17" s="134"/>
      <c r="F17" s="134"/>
      <c r="G17" s="134"/>
      <c r="H17" s="134"/>
      <c r="I17" s="134"/>
      <c r="K17" s="308"/>
      <c r="L17" s="308" t="s">
        <v>1974</v>
      </c>
      <c r="M17" s="308" t="s">
        <v>1975</v>
      </c>
    </row>
    <row r="18" spans="1:36" ht="31.9" customHeight="1" thickBot="1">
      <c r="A18" s="1947" t="s">
        <v>1976</v>
      </c>
      <c r="B18" s="1948"/>
      <c r="C18" s="138">
        <f>ROUND(C17/SUM(C17:D17),2)</f>
        <v>0.3</v>
      </c>
      <c r="D18" s="138">
        <f>1-C18</f>
        <v>0.7</v>
      </c>
      <c r="E18" s="3299" t="s">
        <v>2872</v>
      </c>
      <c r="F18" s="3300"/>
      <c r="G18" s="3300"/>
      <c r="H18" s="3300"/>
      <c r="I18" s="3300"/>
      <c r="K18" s="308" t="s">
        <v>1977</v>
      </c>
      <c r="L18" s="308">
        <f>IF(C1="",'数据-汇总表'!E3,SUMIF(项目类型,C1,'数据-汇总表'!E17:E26)+SUMIF(项目类型,C1,'数据-汇总表'!I17:I26))</f>
        <v>11531.84</v>
      </c>
      <c r="M18" s="308">
        <f>IF(C1="",'数据-汇总表'!E3,SUMIF(项目类型,C1,'数据-汇总表'!E17:E26))</f>
        <v>5790.6600000000008</v>
      </c>
    </row>
    <row r="19" spans="1:36" ht="15">
      <c r="A19" s="1949" t="s">
        <v>1978</v>
      </c>
      <c r="B19" s="1950" t="s">
        <v>1979</v>
      </c>
      <c r="C19" s="139">
        <f ca="1">SUMIF(INDIRECT("'"&amp;C4&amp;"'"&amp;"!A:A"),结果表!B19,INDIRECT("'"&amp;C4&amp;"'"&amp;"!B:B"))</f>
        <v>18202</v>
      </c>
      <c r="D19" s="140">
        <f ca="1">SUMIF(INDIRECT("'"&amp;D4&amp;"'"&amp;"!A:A"),结果表!B19,INDIRECT("'"&amp;D4&amp;"'"&amp;"!B:B"))</f>
        <v>63560</v>
      </c>
      <c r="E19" s="1949" t="s">
        <v>1980</v>
      </c>
      <c r="F19" s="1950" t="s">
        <v>1979</v>
      </c>
      <c r="G19" s="141">
        <f ca="1">ROUND(C19*$C$18+D19*$D$18,0)</f>
        <v>49953</v>
      </c>
      <c r="H19" s="1951" t="s">
        <v>1981</v>
      </c>
      <c r="I19" s="134"/>
      <c r="K19" s="308" t="s">
        <v>1982</v>
      </c>
      <c r="L19" s="308">
        <f>IF(C1="",'数据-汇总表'!D3,SUMIF(项目类型,C1,'数据-汇总表'!D17:D26)+SUMIF(项目类型,C1,'数据-汇总表'!H17:H27))</f>
        <v>10684.470000000001</v>
      </c>
      <c r="M19" s="308">
        <f>IF(C1="",'数据-汇总表'!D3,SUMIF(项目类型,C1,'数据-汇总表'!D17:D26))</f>
        <v>5365.16</v>
      </c>
    </row>
    <row r="20" spans="1:36" ht="15">
      <c r="A20" s="1952"/>
      <c r="B20" s="1157" t="s">
        <v>1983</v>
      </c>
      <c r="C20" s="142">
        <f ca="1">SUMIF(INDIRECT("'"&amp;C4&amp;"'"&amp;"!A:A"),结果表!B20,INDIRECT("'"&amp;C4&amp;"'"&amp;"!B:B"))</f>
        <v>15784</v>
      </c>
      <c r="D20" s="143">
        <f ca="1">SUMIF(INDIRECT("'"&amp;D4&amp;"'"&amp;"!A:A"),结果表!B20,INDIRECT("'"&amp;D4&amp;"'"&amp;"!B:B"))</f>
        <v>55117</v>
      </c>
      <c r="E20" s="1952"/>
      <c r="F20" s="1157" t="s">
        <v>1983</v>
      </c>
      <c r="G20" s="144">
        <f ca="1">ROUND(C20*$C$18+D20*$D$18,0)</f>
        <v>43317</v>
      </c>
      <c r="H20" s="917" t="s">
        <v>1984</v>
      </c>
      <c r="I20" s="134"/>
    </row>
    <row r="21" spans="1:36" ht="15" customHeight="1" thickBot="1">
      <c r="A21" s="937"/>
      <c r="B21" s="1953" t="s">
        <v>1985</v>
      </c>
      <c r="C21" s="728">
        <f ca="1">ROUND(C19*10000/L19,0)</f>
        <v>17036</v>
      </c>
      <c r="D21" s="729">
        <f ca="1">ROUND(D19*10000/L19,0)</f>
        <v>59488</v>
      </c>
      <c r="E21" s="937"/>
      <c r="F21" s="1953" t="s">
        <v>1985</v>
      </c>
      <c r="G21" s="145">
        <f ca="1">ROUND(G19*10000/L19,0)</f>
        <v>46753</v>
      </c>
      <c r="H21" s="1954" t="s">
        <v>1984</v>
      </c>
      <c r="I21" s="134"/>
    </row>
    <row r="22" spans="1:36" ht="15" thickBot="1">
      <c r="A22" s="1876" t="s">
        <v>1986</v>
      </c>
      <c r="B22" s="1955"/>
      <c r="C22" s="1956"/>
      <c r="D22" s="730">
        <f ca="1">IF(C19&lt;D19,D19/C19-1,C19/D19-1)</f>
        <v>2.4919239643995166</v>
      </c>
      <c r="E22" s="134"/>
      <c r="F22" s="134"/>
      <c r="G22" s="134"/>
      <c r="H22" s="134"/>
      <c r="I22" s="134"/>
    </row>
    <row r="23" spans="1:36" ht="13.5" thickBot="1">
      <c r="A23" s="1935"/>
      <c r="B23" s="1935"/>
      <c r="C23" s="1935"/>
      <c r="D23" s="1935"/>
      <c r="E23" s="134"/>
      <c r="F23" s="134"/>
      <c r="G23" s="134"/>
      <c r="H23" s="134"/>
      <c r="I23" s="134"/>
    </row>
    <row r="24" spans="1:36" ht="14.25">
      <c r="A24" s="3283" t="s">
        <v>1987</v>
      </c>
      <c r="B24" s="1950" t="s">
        <v>1979</v>
      </c>
      <c r="C24" s="141">
        <f>IF(B30=0,0,D30)</f>
        <v>0</v>
      </c>
      <c r="D24" s="1957"/>
      <c r="E24" s="134"/>
      <c r="F24" s="134"/>
      <c r="G24" s="134"/>
      <c r="H24" s="134"/>
      <c r="I24" s="134"/>
    </row>
    <row r="25" spans="1:36" ht="14.25">
      <c r="A25" s="3284"/>
      <c r="B25" s="1157" t="s">
        <v>1983</v>
      </c>
      <c r="C25" s="146">
        <f>IF(B30=0,0,C30)</f>
        <v>0</v>
      </c>
      <c r="D25" s="1958"/>
      <c r="E25" s="134"/>
      <c r="F25" s="134"/>
      <c r="G25" s="134"/>
      <c r="H25" s="134"/>
      <c r="I25" s="134"/>
    </row>
    <row r="26" spans="1:36" ht="13.5" customHeight="1">
      <c r="A26" s="1959" t="s">
        <v>1988</v>
      </c>
      <c r="B26" s="147" t="s">
        <v>1989</v>
      </c>
      <c r="C26" s="147" t="s">
        <v>1990</v>
      </c>
      <c r="D26" s="148" t="s">
        <v>1991</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1992</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1993</v>
      </c>
      <c r="B32" s="1962"/>
      <c r="C32" s="149">
        <f ca="1">IF(D32="总价",G19-C24,G20-C25)</f>
        <v>49953</v>
      </c>
      <c r="D32" s="1963" t="s">
        <v>3261</v>
      </c>
      <c r="E32" s="134"/>
      <c r="F32" s="134"/>
      <c r="G32" s="134"/>
      <c r="H32" s="134"/>
      <c r="I32" s="134"/>
    </row>
    <row r="33" spans="1:15" ht="15">
      <c r="A33" s="894" t="s">
        <v>1994</v>
      </c>
      <c r="B33" s="1964"/>
      <c r="C33" s="1965" t="s">
        <v>3269</v>
      </c>
      <c r="D33" s="1966" t="s">
        <v>3166</v>
      </c>
      <c r="E33" s="1967" t="s">
        <v>1995</v>
      </c>
      <c r="F33" s="1968" t="str">
        <f>IF(D32="楼面单价","取值（单价）","取值（总价）")</f>
        <v>取值（总价）</v>
      </c>
      <c r="G33" s="134"/>
      <c r="H33" s="134"/>
      <c r="I33" s="134"/>
    </row>
    <row r="34" spans="1:15" ht="15">
      <c r="A34" s="1969"/>
      <c r="B34" s="1970" t="s">
        <v>1996</v>
      </c>
      <c r="C34" s="153">
        <f ca="1">IF(C33="自定义",F34,C32-C35)</f>
        <v>35267</v>
      </c>
      <c r="D34" s="970">
        <f ca="1">IF(C33="自定义",ROUND(C34/C32,3),IF(C33="收益比率",SUMIF(INDIRECT("'"&amp;D33&amp;"'"&amp;"!b:b"),"土地收益比率",INDIRECT("'"&amp;D33&amp;"'"&amp;"!c:c")),SUMIF(INDIRECT("'"&amp;D33&amp;"'"&amp;"!b:b"),"土地成本比率",INDIRECT("'"&amp;D33&amp;"'"&amp;"!c:c"))))</f>
        <v>0.70599999999999996</v>
      </c>
      <c r="E34" s="1971" t="s">
        <v>1997</v>
      </c>
      <c r="F34" s="1500"/>
      <c r="G34" s="134"/>
      <c r="H34" s="134"/>
      <c r="I34" s="134"/>
    </row>
    <row r="35" spans="1:15" ht="15.75" thickBot="1">
      <c r="A35" s="1972"/>
      <c r="B35" s="1973" t="s">
        <v>1998</v>
      </c>
      <c r="C35" s="1332">
        <f ca="1">IF(C33="自定义",F35,ROUND(C32*D35,0))</f>
        <v>14686</v>
      </c>
      <c r="D35" s="1333">
        <f ca="1">IF(C33="自定义",ROUND(C35/C32,3),IF(C33="收益比率",SUMIF(INDIRECT("'"&amp;D33&amp;"'"&amp;"!b:b"),"建筑物收益比率",INDIRECT("'"&amp;D33&amp;"'"&amp;"!c:c")),SUMIF(INDIRECT("'"&amp;D33&amp;"'"&amp;"!b:b"),"建筑物成本比率",INDIRECT("'"&amp;D33&amp;"'"&amp;"!c:c"))))</f>
        <v>0.29399999999999998</v>
      </c>
      <c r="E35" s="1974" t="s">
        <v>1999</v>
      </c>
      <c r="F35" s="159"/>
      <c r="G35" s="134"/>
      <c r="H35" s="134"/>
      <c r="I35" s="134"/>
    </row>
    <row r="36" spans="1:15" ht="15.75" thickBot="1">
      <c r="A36" s="3303" t="s">
        <v>2000</v>
      </c>
      <c r="B36" s="1975" t="s">
        <v>2001</v>
      </c>
      <c r="C36" s="150"/>
      <c r="D36" s="1976"/>
      <c r="E36" s="1977"/>
      <c r="F36" s="1978"/>
      <c r="G36" s="134"/>
      <c r="H36" s="134"/>
      <c r="I36" s="134"/>
    </row>
    <row r="37" spans="1:15" ht="15.75" thickBot="1">
      <c r="A37" s="3304"/>
      <c r="B37" s="1862" t="s">
        <v>2002</v>
      </c>
      <c r="C37" s="152"/>
      <c r="D37" s="1301"/>
      <c r="E37" s="1301"/>
      <c r="F37" s="1978"/>
      <c r="G37" s="134"/>
      <c r="H37" s="134"/>
      <c r="I37" s="134"/>
    </row>
    <row r="38" spans="1:15" ht="15.75" thickBot="1">
      <c r="A38" s="3305"/>
      <c r="B38" s="1979" t="s">
        <v>2003</v>
      </c>
      <c r="C38" s="683"/>
      <c r="D38" s="1980" t="s">
        <v>2004</v>
      </c>
      <c r="E38" s="1301"/>
      <c r="F38" s="1978"/>
      <c r="G38" s="134"/>
      <c r="H38" s="134"/>
      <c r="I38" s="134"/>
    </row>
    <row r="39" spans="1:15" ht="15">
      <c r="A39" s="1952" t="s">
        <v>2005</v>
      </c>
      <c r="B39" s="1981" t="s">
        <v>2006</v>
      </c>
      <c r="C39" s="1982" t="s">
        <v>2007</v>
      </c>
      <c r="D39" s="1982" t="s">
        <v>2008</v>
      </c>
      <c r="E39" s="1983" t="s">
        <v>2009</v>
      </c>
      <c r="F39" s="1978"/>
      <c r="G39" s="134"/>
      <c r="H39" s="134"/>
      <c r="I39" s="134"/>
    </row>
    <row r="40" spans="1:15" ht="14.25">
      <c r="A40" s="1984" t="s">
        <v>2010</v>
      </c>
      <c r="B40" s="154"/>
      <c r="C40" s="155"/>
      <c r="D40" s="155"/>
      <c r="E40" s="156"/>
      <c r="F40" s="1978"/>
      <c r="G40" s="134"/>
      <c r="H40" s="134"/>
      <c r="I40" s="134"/>
    </row>
    <row r="41" spans="1:15" ht="14.25">
      <c r="A41" s="1984" t="s">
        <v>2011</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280" t="s">
        <v>2014</v>
      </c>
      <c r="B45" s="3281"/>
      <c r="C45" s="3282"/>
      <c r="D45" s="160">
        <f ca="1">ROUND(H101*F45,0)</f>
        <v>49953</v>
      </c>
      <c r="E45" s="161" t="s">
        <v>2015</v>
      </c>
      <c r="F45" s="162">
        <v>1</v>
      </c>
      <c r="G45" s="163" t="s">
        <v>2016</v>
      </c>
      <c r="H45" s="134"/>
      <c r="I45" s="134"/>
      <c r="J45" s="3361" t="s">
        <v>2017</v>
      </c>
      <c r="K45" s="3361"/>
      <c r="L45" s="3361"/>
      <c r="M45" s="3361"/>
      <c r="N45" s="3361"/>
      <c r="O45" s="3361"/>
    </row>
    <row r="46" spans="1:15" ht="14.25" customHeight="1">
      <c r="A46" s="3277" t="s">
        <v>2018</v>
      </c>
      <c r="B46" s="3278"/>
      <c r="C46" s="3278"/>
      <c r="D46" s="3278"/>
      <c r="E46" s="3278"/>
      <c r="F46" s="3278"/>
      <c r="G46" s="3279"/>
      <c r="H46" s="1994"/>
      <c r="I46" s="164"/>
      <c r="J46" s="2751">
        <v>1</v>
      </c>
      <c r="K46" s="3342" t="s">
        <v>2019</v>
      </c>
      <c r="L46" s="3342"/>
      <c r="M46" s="3362"/>
      <c r="N46" s="3362"/>
      <c r="O46" s="3362"/>
    </row>
    <row r="47" spans="1:15" ht="12" customHeight="1">
      <c r="A47" s="165" t="s">
        <v>2020</v>
      </c>
      <c r="B47" s="166"/>
      <c r="C47" s="167"/>
      <c r="D47" s="1247" t="s">
        <v>2021</v>
      </c>
      <c r="E47" s="308" t="s">
        <v>2022</v>
      </c>
      <c r="F47" s="168" t="s">
        <v>2023</v>
      </c>
      <c r="G47" s="2774" t="s">
        <v>2024</v>
      </c>
      <c r="H47" s="2775"/>
      <c r="I47" s="164"/>
      <c r="J47" s="2751">
        <v>2</v>
      </c>
      <c r="K47" s="3342" t="s">
        <v>2025</v>
      </c>
      <c r="L47" s="3342"/>
      <c r="M47" s="3363">
        <f>'数据-取费表'!B2</f>
        <v>44203</v>
      </c>
      <c r="N47" s="3363"/>
      <c r="O47" s="3363"/>
    </row>
    <row r="48" spans="1:15" ht="25.5">
      <c r="A48" s="3308" t="s">
        <v>2026</v>
      </c>
      <c r="B48" s="3291"/>
      <c r="C48" s="3291"/>
      <c r="D48" s="2549" t="b">
        <f>IF(H48="情况1",0,IF(H48="情况2",D52,IF(H48="情况3",D53,IF(H48="情况4",D54))))</f>
        <v>0</v>
      </c>
      <c r="E48" s="2559" t="str">
        <f>IF(H48="情况4","(销售额-原购置价)×税（费）率","销售额×税（费）率")</f>
        <v>销售额×税（费）率</v>
      </c>
      <c r="F48" s="2776">
        <f>IF(H48="情况1","免征",'数据-取费表'!B41)</f>
        <v>5.6000000000000001E-2</v>
      </c>
      <c r="G48" s="2777" t="s">
        <v>2027</v>
      </c>
      <c r="H48" s="2778"/>
      <c r="I48" s="1994"/>
      <c r="J48" s="2751">
        <v>3</v>
      </c>
      <c r="K48" s="3342" t="s">
        <v>2028</v>
      </c>
      <c r="L48" s="3342"/>
      <c r="M48" s="3364">
        <f ca="1">H101</f>
        <v>49953</v>
      </c>
      <c r="N48" s="3364"/>
      <c r="O48" s="3364"/>
    </row>
    <row r="49" spans="1:35" ht="25.5" customHeight="1">
      <c r="A49" s="2558" t="s">
        <v>2029</v>
      </c>
      <c r="B49" s="3275" t="s">
        <v>2030</v>
      </c>
      <c r="C49" s="3275"/>
      <c r="D49" s="1777">
        <v>0</v>
      </c>
      <c r="E49" s="330" t="s">
        <v>2031</v>
      </c>
      <c r="F49" s="2652" t="s">
        <v>34</v>
      </c>
      <c r="G49" s="3348"/>
      <c r="H49" s="2530" t="s">
        <v>2875</v>
      </c>
      <c r="I49" s="2531"/>
      <c r="J49" s="2751">
        <v>4</v>
      </c>
      <c r="K49" s="3342" t="str">
        <f>IF(项目基本情况!E8="房地产抵押价值","房地产抵押价值","抵押担保权已注销时的房地产抵押价值")</f>
        <v>房地产抵押价值</v>
      </c>
      <c r="L49" s="3342"/>
      <c r="M49" s="3364">
        <f ca="1">IF(项目基本情况!E8="房地产抵押价值",H107,H109)</f>
        <v>49953</v>
      </c>
      <c r="N49" s="3364"/>
      <c r="O49" s="3364"/>
    </row>
    <row r="50" spans="1:35" ht="25.5" customHeight="1">
      <c r="A50" s="2779"/>
      <c r="B50" s="3275" t="s">
        <v>2032</v>
      </c>
      <c r="C50" s="3275"/>
      <c r="D50" s="2780"/>
      <c r="E50" s="338"/>
      <c r="F50" s="2652"/>
      <c r="G50" s="3349"/>
      <c r="H50" s="2532" t="s">
        <v>2876</v>
      </c>
      <c r="I50" s="2531"/>
      <c r="J50" s="3361" t="s">
        <v>2033</v>
      </c>
      <c r="K50" s="3361"/>
      <c r="L50" s="3361"/>
      <c r="M50" s="3361"/>
      <c r="N50" s="3361"/>
      <c r="O50" s="3361"/>
    </row>
    <row r="51" spans="1:35" ht="20.45" customHeight="1">
      <c r="A51" s="2781"/>
      <c r="B51" s="3275" t="s">
        <v>2034</v>
      </c>
      <c r="C51" s="3275"/>
      <c r="D51" s="1247"/>
      <c r="E51" s="333"/>
      <c r="F51" s="2652"/>
      <c r="G51" s="3350"/>
      <c r="H51" s="2532" t="s">
        <v>2877</v>
      </c>
      <c r="I51" s="2531"/>
      <c r="J51" s="2752" t="s">
        <v>2035</v>
      </c>
      <c r="K51" s="3342" t="s">
        <v>2036</v>
      </c>
      <c r="L51" s="3342"/>
      <c r="M51" s="2752" t="s">
        <v>2037</v>
      </c>
      <c r="N51" s="2752" t="s">
        <v>2038</v>
      </c>
      <c r="O51" s="2752" t="s">
        <v>2039</v>
      </c>
    </row>
    <row r="52" spans="1:35" ht="24" customHeight="1">
      <c r="A52" s="2560" t="s">
        <v>2040</v>
      </c>
      <c r="B52" s="3275" t="s">
        <v>2041</v>
      </c>
      <c r="C52" s="3275"/>
      <c r="D52" s="1247">
        <f ca="1">ROUND(D45*'数据-取费表'!B41/(1+'数据-取费表'!C42),0)</f>
        <v>2664</v>
      </c>
      <c r="E52" s="2559" t="s">
        <v>2042</v>
      </c>
      <c r="F52" s="2782">
        <f>'数据-取费表'!B41</f>
        <v>5.6000000000000001E-2</v>
      </c>
      <c r="G52" s="2783"/>
      <c r="H52" s="2772"/>
      <c r="I52" s="1995"/>
      <c r="J52" s="2751">
        <v>1</v>
      </c>
      <c r="K52" s="3343" t="s">
        <v>2043</v>
      </c>
      <c r="L52" s="3343"/>
      <c r="M52" s="2753" t="b">
        <f>D48</f>
        <v>0</v>
      </c>
      <c r="N52" s="2751" t="str">
        <f>E48</f>
        <v>销售额×税（费）率</v>
      </c>
      <c r="O52" s="2754">
        <f>F48</f>
        <v>5.6000000000000001E-2</v>
      </c>
    </row>
    <row r="53" spans="1:35" ht="12" customHeight="1">
      <c r="A53" s="2560" t="s">
        <v>2044</v>
      </c>
      <c r="B53" s="3301" t="s">
        <v>3036</v>
      </c>
      <c r="C53" s="3302"/>
      <c r="D53" s="1247">
        <f ca="1">ROUND(D45*'数据-取费表'!B41/(1+'数据-取费表'!C42),0)</f>
        <v>2664</v>
      </c>
      <c r="E53" s="2559" t="s">
        <v>2042</v>
      </c>
      <c r="F53" s="2782">
        <f>'数据-取费表'!B41</f>
        <v>5.6000000000000001E-2</v>
      </c>
      <c r="G53" s="2783"/>
      <c r="H53" s="2772"/>
      <c r="I53" s="1995"/>
      <c r="J53" s="2751">
        <v>2</v>
      </c>
      <c r="K53" s="3343" t="s">
        <v>2045</v>
      </c>
      <c r="L53" s="3343"/>
      <c r="M53" s="2753">
        <f t="shared" ref="M53:O54" ca="1" si="0">D55</f>
        <v>25</v>
      </c>
      <c r="N53" s="2751" t="str">
        <f t="shared" si="0"/>
        <v>销售额×税（费）率</v>
      </c>
      <c r="O53" s="2754" t="str">
        <f t="shared" si="0"/>
        <v>免征</v>
      </c>
    </row>
    <row r="54" spans="1:35" ht="12" customHeight="1">
      <c r="A54" s="2560" t="s">
        <v>2046</v>
      </c>
      <c r="B54" s="3301" t="s">
        <v>3037</v>
      </c>
      <c r="C54" s="3302"/>
      <c r="D54" s="1247">
        <f ca="1">C68</f>
        <v>2664</v>
      </c>
      <c r="E54" s="333" t="s">
        <v>2047</v>
      </c>
      <c r="F54" s="2782">
        <f>'数据-取费表'!B41</f>
        <v>5.6000000000000001E-2</v>
      </c>
      <c r="G54" s="2783"/>
      <c r="H54" s="2784"/>
      <c r="I54" s="1995"/>
      <c r="J54" s="2751">
        <v>3</v>
      </c>
      <c r="K54" s="3343" t="s">
        <v>2048</v>
      </c>
      <c r="L54" s="3343"/>
      <c r="M54" s="2753">
        <f t="shared" ca="1" si="0"/>
        <v>28274</v>
      </c>
      <c r="N54" s="2751" t="str">
        <f t="shared" si="0"/>
        <v>增值额×税（费）率</v>
      </c>
      <c r="O54" s="2755" t="str">
        <f t="shared" si="0"/>
        <v>免征</v>
      </c>
    </row>
    <row r="55" spans="1:35" ht="24" customHeight="1">
      <c r="A55" s="3290" t="s">
        <v>2049</v>
      </c>
      <c r="B55" s="3291"/>
      <c r="C55" s="3291"/>
      <c r="D55" s="2549">
        <f ca="1">IF(H55="个人住宅",0,ROUND(D45*I55,0))</f>
        <v>25</v>
      </c>
      <c r="E55" s="2559" t="s">
        <v>2050</v>
      </c>
      <c r="F55" s="2782" t="str">
        <f>IF(H55="正常",I55,"免征")</f>
        <v>免征</v>
      </c>
      <c r="G55" s="2783"/>
      <c r="H55" s="2778"/>
      <c r="I55" s="170">
        <f>'数据-取费表'!B49</f>
        <v>5.0000000000000001E-4</v>
      </c>
      <c r="J55" s="2751">
        <f>IF(H59="非个人房产","",4)</f>
        <v>4</v>
      </c>
      <c r="K55" s="3343" t="str">
        <f>IF(H59="非个人房产","——","个人所得税")</f>
        <v>个人所得税</v>
      </c>
      <c r="L55" s="3343"/>
      <c r="M55" s="2756">
        <f ca="1">D59</f>
        <v>476</v>
      </c>
      <c r="N55" s="2230" t="str">
        <f>E59</f>
        <v>差额计税</v>
      </c>
      <c r="O55" s="2757">
        <f>F59</f>
        <v>0.01</v>
      </c>
    </row>
    <row r="56" spans="1:35" ht="24.75">
      <c r="A56" s="3290" t="s">
        <v>2051</v>
      </c>
      <c r="B56" s="3291"/>
      <c r="C56" s="3291"/>
      <c r="D56" s="2549">
        <f ca="1">IF(H56="个人住宅",D57,D58)</f>
        <v>28274</v>
      </c>
      <c r="E56" s="2559" t="s">
        <v>2052</v>
      </c>
      <c r="F56" s="2782" t="str">
        <f>IF(H56="正常",F58,"免征")</f>
        <v>免征</v>
      </c>
      <c r="G56" s="2785" t="s">
        <v>2053</v>
      </c>
      <c r="H56" s="2786"/>
      <c r="I56" s="1996"/>
      <c r="J56" s="2751" t="str">
        <f>IF(项目基本情况!K6="上海银行",IF(J55="",4,J55+1),"")</f>
        <v/>
      </c>
      <c r="K56" s="3366" t="str">
        <f>IF(项目基本情况!K6="上海银行","其他处置费用","")</f>
        <v/>
      </c>
      <c r="L56" s="3367"/>
      <c r="M56" s="2753" t="str">
        <f>IF(项目基本情况!K6="上海银行",M69,"")</f>
        <v/>
      </c>
      <c r="N56" s="3366" t="str">
        <f>IF(项目基本情况!K6="上海银行","包含处置中涉及的律师、诉讼、拍卖、评估等费用","")</f>
        <v/>
      </c>
      <c r="O56" s="3369"/>
    </row>
    <row r="57" spans="1:35" ht="12.75">
      <c r="A57" s="2560" t="s">
        <v>2029</v>
      </c>
      <c r="B57" s="3301" t="s">
        <v>2054</v>
      </c>
      <c r="C57" s="3302"/>
      <c r="D57" s="1777">
        <v>0</v>
      </c>
      <c r="E57" s="330" t="s">
        <v>2031</v>
      </c>
      <c r="F57" s="308"/>
      <c r="G57" s="2783"/>
      <c r="H57" s="2787"/>
      <c r="I57" s="1996"/>
      <c r="J57" s="3343">
        <f>IF(AND(J55="",J56=""),4,IF(项目基本情况!K6="上海银行",结果表!J56+1,结果表!J55+1))</f>
        <v>5</v>
      </c>
      <c r="K57" s="3343" t="s">
        <v>2055</v>
      </c>
      <c r="L57" s="2758" t="s">
        <v>2056</v>
      </c>
      <c r="M57" s="2759"/>
      <c r="N57" s="2760">
        <f ca="1">SUMIF(M52:M56,"&lt;9e307")</f>
        <v>28775</v>
      </c>
      <c r="O57" s="2761"/>
      <c r="P57" s="2921">
        <f ca="1">N57/M49</f>
        <v>0.57604147899025082</v>
      </c>
    </row>
    <row r="58" spans="1:35" ht="24.75">
      <c r="A58" s="2560" t="s">
        <v>2040</v>
      </c>
      <c r="B58" s="3301" t="s">
        <v>2057</v>
      </c>
      <c r="C58" s="3275"/>
      <c r="D58" s="2549">
        <f ca="1">IF(H58="转让取得",C81,C97)</f>
        <v>28274</v>
      </c>
      <c r="E58" s="2559" t="s">
        <v>2052</v>
      </c>
      <c r="F58" s="308" t="s">
        <v>34</v>
      </c>
      <c r="G58" s="2783"/>
      <c r="H58" s="2786"/>
      <c r="I58" s="1996"/>
      <c r="J58" s="3343"/>
      <c r="K58" s="3343"/>
      <c r="L58" s="2758" t="s">
        <v>2058</v>
      </c>
      <c r="M58" s="2762"/>
      <c r="N58" s="2763" t="str">
        <f ca="1">NUMBERSTRING(INT(N57*10000),2)&amp;"元整"</f>
        <v>贰亿捌仟柒佰柒拾伍万元整</v>
      </c>
      <c r="O58" s="2764"/>
    </row>
    <row r="59" spans="1:35" ht="24.75" thickBot="1">
      <c r="A59" s="3346" t="s">
        <v>2059</v>
      </c>
      <c r="B59" s="3347"/>
      <c r="C59" s="3347"/>
      <c r="D59" s="2788">
        <f ca="1">IF(H59="非个人房产","——",IF(H59="个人住宅（满五唯一有凭证）",0,IF(H59="个人其他（无凭证）",ROUND(D45*F59,0),ROUND(C67*F59,0))))</f>
        <v>476</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2053</v>
      </c>
      <c r="H59" s="2534"/>
      <c r="I59" s="2533" t="s">
        <v>2878</v>
      </c>
      <c r="J59" s="3344">
        <f>J57+1</f>
        <v>6</v>
      </c>
      <c r="K59" s="3343" t="s">
        <v>2060</v>
      </c>
      <c r="L59" s="2751" t="s">
        <v>2056</v>
      </c>
      <c r="M59" s="2765"/>
      <c r="N59" s="2766">
        <f ca="1">M49-N57</f>
        <v>21178</v>
      </c>
      <c r="O59" s="2767"/>
    </row>
    <row r="60" spans="1:35" ht="12" customHeight="1">
      <c r="A60" s="1997"/>
      <c r="B60" s="1935"/>
      <c r="C60" s="1935"/>
      <c r="D60" s="1935"/>
      <c r="E60" s="1765"/>
      <c r="F60" s="1996"/>
      <c r="G60" s="1996"/>
      <c r="H60" s="1998"/>
      <c r="I60" s="134"/>
      <c r="J60" s="3345"/>
      <c r="K60" s="3343"/>
      <c r="L60" s="2758" t="s">
        <v>2058</v>
      </c>
      <c r="M60" s="2762"/>
      <c r="N60" s="2763" t="str">
        <f ca="1">NUMBERSTRING(INT(N59*10000),2)&amp;"元整"</f>
        <v>贰亿壹仟壹佰柒拾捌万元整</v>
      </c>
      <c r="O60" s="2764"/>
    </row>
    <row r="61" spans="1:35" ht="13.5" thickBot="1">
      <c r="A61" s="3288" t="s">
        <v>2061</v>
      </c>
      <c r="B61" s="3288"/>
      <c r="C61" s="3288"/>
      <c r="D61" s="3288"/>
      <c r="E61" s="3288"/>
      <c r="F61" s="1996"/>
      <c r="G61" s="1996"/>
      <c r="H61" s="1998"/>
      <c r="I61" s="134"/>
      <c r="J61" s="2751">
        <f>J59+1</f>
        <v>7</v>
      </c>
      <c r="K61" s="3343" t="s">
        <v>2062</v>
      </c>
      <c r="L61" s="3343"/>
      <c r="M61" s="2768"/>
      <c r="N61" s="2769">
        <f ca="1">ROUND(N59*10000/'数据-汇总表'!E3,0)</f>
        <v>18365</v>
      </c>
      <c r="O61" s="2770"/>
    </row>
    <row r="62" spans="1:35" ht="12.75">
      <c r="A62" s="3306" t="s">
        <v>2063</v>
      </c>
      <c r="B62" s="3307"/>
      <c r="C62" s="2211"/>
      <c r="D62" s="2211" t="s">
        <v>2064</v>
      </c>
      <c r="E62" s="171" t="s">
        <v>2065</v>
      </c>
      <c r="F62" s="1996"/>
      <c r="G62" s="1996"/>
      <c r="H62" s="1998"/>
      <c r="I62" s="134"/>
    </row>
    <row r="63" spans="1:35" ht="12.75">
      <c r="A63" s="178" t="s">
        <v>775</v>
      </c>
      <c r="B63" s="172" t="s">
        <v>2066</v>
      </c>
      <c r="C63" s="2792">
        <f ca="1">ROUND((C64+C65)/(1+'数据-取费表'!C42),0)</f>
        <v>47574</v>
      </c>
      <c r="D63" s="172"/>
      <c r="E63" s="173"/>
      <c r="F63" s="1996"/>
      <c r="G63" s="1996"/>
      <c r="H63" s="1998"/>
      <c r="I63" s="134"/>
      <c r="J63" s="3368" t="s">
        <v>2067</v>
      </c>
      <c r="K63" s="1503" t="s">
        <v>2068</v>
      </c>
      <c r="L63" s="1503">
        <f ca="1">IF(M49&gt;10000,M49*0.5%,IF(AND(M49&gt;1000,M49&lt;=10000),M49*1%,IF(AND(M49&gt;100,M49&lt;=1000),M49*3%,IF(AND(M49&gt;10,M49&lt;=100),M49*5%,M49*8%))))</f>
        <v>249.76500000000001</v>
      </c>
      <c r="M63" s="308">
        <f ca="1">ROUND(L63,1)</f>
        <v>249.8</v>
      </c>
      <c r="N63" s="2771"/>
      <c r="Z63" s="1940"/>
      <c r="AI63" s="1941"/>
    </row>
    <row r="64" spans="1:35" ht="14.25" customHeight="1">
      <c r="A64" s="174" t="s">
        <v>770</v>
      </c>
      <c r="B64" s="175" t="s">
        <v>2069</v>
      </c>
      <c r="C64" s="2793">
        <f ca="1">D45</f>
        <v>49953</v>
      </c>
      <c r="D64" s="175" t="s">
        <v>32</v>
      </c>
      <c r="E64" s="177"/>
      <c r="F64" s="1996"/>
      <c r="G64" s="1996"/>
      <c r="H64" s="1998"/>
      <c r="I64" s="134"/>
      <c r="J64" s="3368"/>
      <c r="K64" s="1503" t="s">
        <v>2070</v>
      </c>
      <c r="L64" s="1503">
        <f ca="1">IF(M49&gt;2000,M49*0.5%,IF(AND(M49&gt;1000,M49&lt;=2000),M49*0.6%,IF(AND(M49&gt;500,M49&lt;=1000),M49*0.7%,IF(AND(M49&gt;200,M49&lt;=500),M49*0.8%,IF(AND(M49&gt;100,M49&lt;=200),M49*0.9%,IF(AND(M49&gt;50,M49&lt;=100),M49*1%,IF(AND(M49&gt;20,M49&lt;=50),M49*1.5%,IF(AND(M49&gt;10,M49&lt;=20),M49*2%,IF(AND(M49&gt;1,M49&lt;=10),M49*2.5%)))))))))</f>
        <v>249.76500000000001</v>
      </c>
      <c r="M64" s="308">
        <f t="shared" ref="M64:M65" ca="1" si="1">ROUND(L64,1)</f>
        <v>249.8</v>
      </c>
      <c r="N64" s="2772" t="s">
        <v>2071</v>
      </c>
      <c r="Z64" s="1940"/>
      <c r="AI64" s="1941"/>
    </row>
    <row r="65" spans="1:35" ht="14.25" customHeight="1">
      <c r="A65" s="174" t="s">
        <v>771</v>
      </c>
      <c r="B65" s="175" t="s">
        <v>2072</v>
      </c>
      <c r="C65" s="2794"/>
      <c r="D65" s="175"/>
      <c r="E65" s="177"/>
      <c r="F65" s="1996"/>
      <c r="G65" s="1996"/>
      <c r="H65" s="1998"/>
      <c r="I65" s="134"/>
      <c r="J65" s="3368"/>
      <c r="K65" s="1503" t="s">
        <v>2073</v>
      </c>
      <c r="L65" s="1503">
        <f ca="1">IF(M49&gt;1000,M49*0.1%,IF(AND(M49&gt;500,M49&lt;=1000),M49*0.5%,IF(AND(M49&gt;50,M49&lt;=500),M49*1%,IF(AND(M49&gt;1,M49&lt;=50),M49*1.5%))))</f>
        <v>49.953000000000003</v>
      </c>
      <c r="M65" s="308">
        <f t="shared" ca="1" si="1"/>
        <v>50</v>
      </c>
      <c r="N65" s="2772" t="s">
        <v>2071</v>
      </c>
      <c r="Z65" s="1940"/>
      <c r="AI65" s="1941"/>
    </row>
    <row r="66" spans="1:35" ht="14.25" customHeight="1">
      <c r="A66" s="178" t="s">
        <v>772</v>
      </c>
      <c r="B66" s="179" t="s">
        <v>2074</v>
      </c>
      <c r="C66" s="2795"/>
      <c r="D66" s="179" t="s">
        <v>32</v>
      </c>
      <c r="E66" s="1511" t="s">
        <v>1337</v>
      </c>
      <c r="F66" s="1996"/>
      <c r="G66" s="1996"/>
      <c r="H66" s="1998"/>
      <c r="I66" s="134"/>
      <c r="J66" s="3368"/>
      <c r="K66" s="1503" t="s">
        <v>2075</v>
      </c>
      <c r="L66" s="1503">
        <f ca="1">M49*0.5%</f>
        <v>249.76500000000001</v>
      </c>
      <c r="M66" s="308">
        <f ca="1">IF(L66&gt;0.5,0.5,ROUND(L66,0))</f>
        <v>0.5</v>
      </c>
      <c r="N66" s="2772" t="s">
        <v>2076</v>
      </c>
      <c r="Z66" s="1940"/>
      <c r="AI66" s="1941"/>
    </row>
    <row r="67" spans="1:35" ht="14.25" customHeight="1">
      <c r="A67" s="178" t="s">
        <v>773</v>
      </c>
      <c r="B67" s="179" t="s">
        <v>2077</v>
      </c>
      <c r="C67" s="2796">
        <f ca="1">C63-C66</f>
        <v>47574</v>
      </c>
      <c r="D67" s="175" t="s">
        <v>32</v>
      </c>
      <c r="E67" s="177"/>
      <c r="F67" s="1996"/>
      <c r="G67" s="1996"/>
      <c r="H67" s="1998"/>
      <c r="I67" s="134"/>
      <c r="J67" s="3368"/>
      <c r="K67" s="1503" t="s">
        <v>2078</v>
      </c>
      <c r="L67" s="1503">
        <f ca="1">IF(M49&gt;=10000,(8.25+(M49-10000)*0.01%),IF(AND(M49&gt;=8000,M49&lt;10000),(7.85+(M49-8000)*0.02%),IF(AND(M49&gt;=5000,M49&lt;8000),(6.65+(M49-5000)*0.04%),IF(AND(M49&gt;=2000,M49&lt;5000),(4.25+(PM49-2000)*0.08%),IF(AND(M49&gt;=1000,M49&lt;2000),(2.75+(M49-1000)*0.15%),IF(AND(M49&gt;=100,M49&lt;1000),(0.5+(M49-100)*0.25%),IF(AND(M49&gt;0,M49&lt;100),M49*0.5%)))))))</f>
        <v>12.2453</v>
      </c>
      <c r="M67" s="308">
        <f ca="1">ROUND(L67*0.9,1)</f>
        <v>11</v>
      </c>
      <c r="N67" s="2771"/>
      <c r="Z67" s="1940"/>
      <c r="AI67" s="1941"/>
    </row>
    <row r="68" spans="1:35" ht="14.25" customHeight="1" thickBot="1">
      <c r="A68" s="181" t="s">
        <v>774</v>
      </c>
      <c r="B68" s="182" t="s">
        <v>2079</v>
      </c>
      <c r="C68" s="2797">
        <f ca="1">IF(C67&lt;=0,0,ROUND(C67*D68,0))</f>
        <v>2664</v>
      </c>
      <c r="D68" s="2798">
        <f>'数据-取费表'!B41</f>
        <v>5.6000000000000001E-2</v>
      </c>
      <c r="E68" s="184"/>
      <c r="F68" s="1996"/>
      <c r="G68" s="1996"/>
      <c r="H68" s="1998"/>
      <c r="I68" s="134"/>
      <c r="J68" s="3368"/>
      <c r="K68" s="1503" t="s">
        <v>2080</v>
      </c>
      <c r="L68" s="1503">
        <f ca="1">IF(M49&gt;10000,M49*0.5%,IF(AND(M49&gt;5000,M49&lt;=10000),M49*1%,IF(AND(M49&gt;1000,M49&lt;=5000),M49*2%,IF(AND(M49&gt;200,M49&lt;=1000),M49*3%,M49*5%))))</f>
        <v>249.76500000000001</v>
      </c>
      <c r="M68" s="308">
        <f ca="1">ROUND(L68,1)</f>
        <v>249.8</v>
      </c>
      <c r="N68" s="2771"/>
      <c r="Z68" s="1940"/>
      <c r="AI68" s="1941"/>
    </row>
    <row r="69" spans="1:35" s="1960" customFormat="1" ht="16.5" customHeight="1">
      <c r="A69" s="1999"/>
      <c r="B69" s="2000"/>
      <c r="C69" s="2001"/>
      <c r="D69" s="2002"/>
      <c r="E69" s="2003"/>
      <c r="F69" s="1765"/>
      <c r="G69" s="1765"/>
      <c r="H69" s="1764"/>
      <c r="I69" s="1935"/>
      <c r="J69" s="3368"/>
      <c r="K69" s="1503" t="s">
        <v>2081</v>
      </c>
      <c r="L69" s="1503"/>
      <c r="M69" s="308">
        <f ca="1">ROUND(SUM(M63:M68),0)</f>
        <v>811</v>
      </c>
      <c r="N69" s="2773">
        <f ca="1">M69/M49</f>
        <v>1.623526114547675E-2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327" t="s">
        <v>2082</v>
      </c>
      <c r="B70" s="3328"/>
      <c r="C70" s="3328"/>
      <c r="D70" s="3328"/>
      <c r="E70" s="3328"/>
      <c r="F70" s="3328"/>
      <c r="G70" s="3328"/>
      <c r="H70" s="3328"/>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306" t="s">
        <v>2063</v>
      </c>
      <c r="B71" s="3307"/>
      <c r="C71" s="2211"/>
      <c r="D71" s="2211" t="s">
        <v>2064</v>
      </c>
      <c r="E71" s="185" t="s">
        <v>2065</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2083</v>
      </c>
      <c r="C72" s="2796">
        <f ca="1">ROUND(D45/(1+'数据-取费表'!C42),0)</f>
        <v>47574</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2084</v>
      </c>
      <c r="C73" s="2796">
        <f ca="1">C74+C78</f>
        <v>285</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2085</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2086</v>
      </c>
      <c r="C75" s="2799"/>
      <c r="D75" s="175" t="s">
        <v>32</v>
      </c>
      <c r="E75" s="190" t="s">
        <v>2087</v>
      </c>
      <c r="F75" s="2800"/>
      <c r="G75" s="190" t="s">
        <v>2088</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2089</v>
      </c>
      <c r="C76" s="175">
        <f>IF(F75="购房发票",ROUND(C75*H75*D76,0),0)</f>
        <v>0</v>
      </c>
      <c r="D76" s="2802">
        <v>0.05</v>
      </c>
      <c r="E76" s="3301" t="s">
        <v>2090</v>
      </c>
      <c r="F76" s="3275"/>
      <c r="G76" s="3275"/>
      <c r="H76" s="3326"/>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2091</v>
      </c>
      <c r="C77" s="175">
        <f>ROUND(IF(G77="个人住宅",0,IF(G77="2016年5月1日前购买",C75*D77,C75*D77/(1+'数据-取费表'!C42))),0)</f>
        <v>0</v>
      </c>
      <c r="D77" s="2803">
        <f>'数据-取费表'!B48+'数据-取费表'!B49</f>
        <v>3.0499999999999999E-2</v>
      </c>
      <c r="E77" s="2549" t="s">
        <v>2092</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2093</v>
      </c>
      <c r="C78" s="2804">
        <f ca="1">ROUND(D45*D78/(1+'数据-取费表'!C42),0)</f>
        <v>285</v>
      </c>
      <c r="D78" s="2805">
        <f>'数据-取费表'!B43</f>
        <v>6.000000000000001E-3</v>
      </c>
      <c r="E78" s="3285" t="s">
        <v>2094</v>
      </c>
      <c r="F78" s="3286"/>
      <c r="G78" s="3286"/>
      <c r="H78" s="329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2095</v>
      </c>
      <c r="C79" s="2796">
        <f ca="1">C72-C73</f>
        <v>47289</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2096</v>
      </c>
      <c r="C80" s="2806">
        <f ca="1">IF(C79&lt;=0,0,C79/C73)</f>
        <v>165.92631578947368</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2097</v>
      </c>
      <c r="C81" s="2807">
        <f ca="1">ROUND(IF(C79&lt;=0,0,IF(C80&gt;=200%,C79*60%-C73*35%,IF(C80&gt;=100%,C79*50%-C73*15%,IF(C80&gt;=50%,C79*40%-C73*5%,IF(C80&lt;50%,C79*30%,0))))),0)</f>
        <v>28274</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327" t="s">
        <v>2098</v>
      </c>
      <c r="B83" s="3328"/>
      <c r="C83" s="3328"/>
      <c r="D83" s="3328"/>
      <c r="E83" s="3328"/>
      <c r="F83" s="3328"/>
      <c r="G83" s="3328"/>
      <c r="H83" s="3328"/>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306" t="s">
        <v>2063</v>
      </c>
      <c r="B84" s="3307"/>
      <c r="C84" s="2211"/>
      <c r="D84" s="2211" t="s">
        <v>2064</v>
      </c>
      <c r="E84" s="185" t="s">
        <v>2065</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2083</v>
      </c>
      <c r="C85" s="2796">
        <f ca="1">ROUND(D45/(1+'数据-取费表'!C42),0)</f>
        <v>47574</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2084</v>
      </c>
      <c r="C86" s="2796">
        <f ca="1">IF(H88="仅含出让金",C87+C90+C91+C92+C93+C94,C87+C91+C92+C93+C94)</f>
        <v>285</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2099</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2100</v>
      </c>
      <c r="C88" s="2810"/>
      <c r="D88" s="2805"/>
      <c r="E88" s="199" t="s">
        <v>2101</v>
      </c>
      <c r="F88" s="2552"/>
      <c r="G88" s="200" t="s">
        <v>2102</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2091</v>
      </c>
      <c r="C89" s="2804">
        <f>ROUND(C88*D89,0)</f>
        <v>0</v>
      </c>
      <c r="D89" s="2805">
        <f>'数据-取费表'!B48+'数据-取费表'!B49</f>
        <v>3.0499999999999999E-2</v>
      </c>
      <c r="E89" s="199" t="s">
        <v>2103</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2104</v>
      </c>
      <c r="C90" s="2810"/>
      <c r="D90" s="2805"/>
      <c r="E90" s="199" t="str">
        <f>IF(H88="-","土地取得成本中已包含该笔费用"," ")</f>
        <v xml:space="preserve"> </v>
      </c>
      <c r="F90" s="2552"/>
      <c r="G90" s="3370" t="s">
        <v>2870</v>
      </c>
      <c r="H90" s="3371"/>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2105</v>
      </c>
      <c r="B91" s="175" t="s">
        <v>2106</v>
      </c>
      <c r="C91" s="2804">
        <f>IF(H91="——",成本法!C33,I91)</f>
        <v>0</v>
      </c>
      <c r="D91" s="2805"/>
      <c r="E91" s="3285" t="s">
        <v>2107</v>
      </c>
      <c r="F91" s="3286"/>
      <c r="G91" s="3286"/>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2108</v>
      </c>
      <c r="B92" s="175" t="s">
        <v>2109</v>
      </c>
      <c r="C92" s="2804">
        <f>ROUND((C87+C90+C91)*D92,0)</f>
        <v>0</v>
      </c>
      <c r="D92" s="2811"/>
      <c r="E92" s="3285" t="s">
        <v>2110</v>
      </c>
      <c r="F92" s="3286"/>
      <c r="G92" s="3286"/>
      <c r="H92" s="3295"/>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2111</v>
      </c>
      <c r="B93" s="175" t="s">
        <v>2093</v>
      </c>
      <c r="C93" s="2804">
        <f ca="1">ROUND(D45*D93/(1+'数据-取费表'!C42),0)</f>
        <v>285</v>
      </c>
      <c r="D93" s="2805">
        <f>'数据-取费表'!B43</f>
        <v>6.000000000000001E-3</v>
      </c>
      <c r="E93" s="3285" t="s">
        <v>2094</v>
      </c>
      <c r="F93" s="3286"/>
      <c r="G93" s="3286"/>
      <c r="H93" s="329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2112</v>
      </c>
      <c r="B94" s="175" t="s">
        <v>2113</v>
      </c>
      <c r="C94" s="2810">
        <f>ROUND((C87+C90+C91)*D94,0)</f>
        <v>0</v>
      </c>
      <c r="D94" s="2805">
        <v>0.2</v>
      </c>
      <c r="E94" s="3296" t="s">
        <v>2114</v>
      </c>
      <c r="F94" s="3297"/>
      <c r="G94" s="3297"/>
      <c r="H94" s="3298"/>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2095</v>
      </c>
      <c r="C95" s="2796">
        <f ca="1">ROUND(C85-C86,0)</f>
        <v>47289</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2096</v>
      </c>
      <c r="C96" s="2806">
        <f ca="1">IF(C95&lt;=0,0,C95/C86)</f>
        <v>165.92631578947368</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2097</v>
      </c>
      <c r="C97" s="2807">
        <f ca="1">ROUND(IF(C95&lt;=0,0,IF(C96&gt;=200%,C95*60%-C86*35%,IF(C96&gt;=100%,C95*50%-C86*15%,IF(C96&gt;=50%,C95*40%-C86*5%,IF(C96&lt;50%,C95*30%,0))))),0)</f>
        <v>28274</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2115</v>
      </c>
      <c r="B99" s="1935"/>
      <c r="C99" s="1935"/>
      <c r="D99" s="1935"/>
      <c r="E99" s="1765"/>
      <c r="F99" s="1765"/>
      <c r="G99" s="1765"/>
      <c r="H99" s="1764"/>
      <c r="I99" s="134"/>
    </row>
    <row r="100" spans="1:35" ht="18.75" customHeight="1">
      <c r="A100" s="3269" t="s">
        <v>2116</v>
      </c>
      <c r="B100" s="3270"/>
      <c r="C100" s="3270"/>
      <c r="D100" s="3287"/>
      <c r="E100" s="3270" t="s">
        <v>2117</v>
      </c>
      <c r="F100" s="3270"/>
      <c r="G100" s="3270"/>
      <c r="H100" s="3287"/>
      <c r="I100" s="134"/>
    </row>
    <row r="101" spans="1:35" ht="18.75" customHeight="1">
      <c r="A101" s="3351" t="s">
        <v>2118</v>
      </c>
      <c r="B101" s="3352"/>
      <c r="C101" s="2813" t="str">
        <f>C4</f>
        <v>成本法</v>
      </c>
      <c r="D101" s="2814" t="str">
        <f>D4</f>
        <v>假设开发法</v>
      </c>
      <c r="E101" s="3365" t="s">
        <v>2119</v>
      </c>
      <c r="F101" s="3319"/>
      <c r="G101" s="2015" t="s">
        <v>2120</v>
      </c>
      <c r="H101" s="2823">
        <f ca="1">H118</f>
        <v>49953</v>
      </c>
      <c r="I101" s="134"/>
    </row>
    <row r="102" spans="1:35" ht="18.75" customHeight="1">
      <c r="A102" s="3321" t="s">
        <v>2121</v>
      </c>
      <c r="B102" s="2812" t="s">
        <v>2120</v>
      </c>
      <c r="C102" s="2813">
        <f ca="1">C19</f>
        <v>18202</v>
      </c>
      <c r="D102" s="2814">
        <f ca="1">D19</f>
        <v>63560</v>
      </c>
      <c r="E102" s="3365"/>
      <c r="F102" s="3319"/>
      <c r="G102" s="2015" t="s">
        <v>2122</v>
      </c>
      <c r="H102" s="2783">
        <f ca="1">I118</f>
        <v>86265</v>
      </c>
      <c r="I102" s="134"/>
    </row>
    <row r="103" spans="1:35" ht="42.75" customHeight="1">
      <c r="A103" s="3321"/>
      <c r="B103" s="2812" t="s">
        <v>2122</v>
      </c>
      <c r="C103" s="2815">
        <f ca="1">C20</f>
        <v>15784</v>
      </c>
      <c r="D103" s="2816">
        <f ca="1">D20</f>
        <v>55117</v>
      </c>
      <c r="E103" s="3359" t="s">
        <v>2123</v>
      </c>
      <c r="F103" s="3360"/>
      <c r="G103" s="2016" t="s">
        <v>2124</v>
      </c>
      <c r="H103" s="2823">
        <f>IF(D36="正常操作",H104+H105+H106,H105+H106)</f>
        <v>0</v>
      </c>
      <c r="I103" s="134"/>
    </row>
    <row r="104" spans="1:35" ht="18.75" customHeight="1">
      <c r="A104" s="3321" t="s">
        <v>2125</v>
      </c>
      <c r="B104" s="2817" t="s">
        <v>2120</v>
      </c>
      <c r="C104" s="2818">
        <f ca="1">H118</f>
        <v>49953</v>
      </c>
      <c r="D104" s="2819"/>
      <c r="E104" s="1862" t="s">
        <v>2126</v>
      </c>
      <c r="F104" s="1853"/>
      <c r="G104" s="2016" t="s">
        <v>2124</v>
      </c>
      <c r="H104" s="2824">
        <f>IF(D36="同一抵押权人同一抵押物续贷",C36&amp;"（续贷，未扣减，详见特别提示）",C36)</f>
        <v>0</v>
      </c>
      <c r="I104" s="134"/>
    </row>
    <row r="105" spans="1:35" ht="18.75" customHeight="1" thickBot="1">
      <c r="A105" s="3322"/>
      <c r="B105" s="2820" t="s">
        <v>2122</v>
      </c>
      <c r="C105" s="2821">
        <f ca="1">I118</f>
        <v>86265</v>
      </c>
      <c r="D105" s="2822"/>
      <c r="E105" s="1862" t="s">
        <v>2127</v>
      </c>
      <c r="F105" s="1853"/>
      <c r="G105" s="2016" t="s">
        <v>2124</v>
      </c>
      <c r="H105" s="2825">
        <f>C37</f>
        <v>0</v>
      </c>
      <c r="I105" s="134"/>
    </row>
    <row r="106" spans="1:35" ht="18.75" customHeight="1">
      <c r="A106" s="1935" t="s">
        <v>2128</v>
      </c>
      <c r="B106" s="1935"/>
      <c r="C106" s="1935"/>
      <c r="D106" s="1935"/>
      <c r="E106" s="2017" t="s">
        <v>2129</v>
      </c>
      <c r="F106" s="1853"/>
      <c r="G106" s="2016" t="s">
        <v>2124</v>
      </c>
      <c r="H106" s="2825">
        <f>C38</f>
        <v>0</v>
      </c>
      <c r="I106" s="134"/>
    </row>
    <row r="107" spans="1:35" ht="18.75" customHeight="1">
      <c r="A107" s="134"/>
      <c r="B107" s="134"/>
      <c r="C107" s="134"/>
      <c r="D107" s="134"/>
      <c r="E107" s="3318" t="str">
        <f>IF(项目基本情况!E8="已注销","——","3.房地产抵押价值")</f>
        <v>3.房地产抵押价值</v>
      </c>
      <c r="F107" s="3319"/>
      <c r="G107" s="2015" t="s">
        <v>2120</v>
      </c>
      <c r="H107" s="2823">
        <f ca="1">IF(E107="——","——",H101-H103)</f>
        <v>49953</v>
      </c>
      <c r="I107" s="134"/>
    </row>
    <row r="108" spans="1:35" ht="18.75" customHeight="1">
      <c r="A108" s="134"/>
      <c r="B108" s="134"/>
      <c r="C108" s="134"/>
      <c r="D108" s="134"/>
      <c r="E108" s="3318"/>
      <c r="F108" s="3319"/>
      <c r="G108" s="2015" t="s">
        <v>2122</v>
      </c>
      <c r="H108" s="2783">
        <f ca="1">ROUND(H107*10000/'数据-汇总表'!E3,0)</f>
        <v>43317</v>
      </c>
      <c r="I108" s="134"/>
    </row>
    <row r="109" spans="1:35" ht="18.75" customHeight="1">
      <c r="A109" s="134"/>
      <c r="B109" s="134"/>
      <c r="C109" s="134"/>
      <c r="D109" s="134"/>
      <c r="E109" s="3318" t="str">
        <f>IF(项目基本情况!E8="已注销及未注销","4.抵押担保权已注销时的房地产抵押价值",IF(项目基本情况!E8="已注销","3.抵押担保权已注销时的房地产抵押价值","——"))</f>
        <v>——</v>
      </c>
      <c r="F109" s="3319"/>
      <c r="G109" s="2015" t="s">
        <v>2120</v>
      </c>
      <c r="H109" s="2826" t="str">
        <f>IF(E109="——","——",H101-H105-H106)</f>
        <v>——</v>
      </c>
      <c r="I109" s="134"/>
    </row>
    <row r="110" spans="1:35" ht="18.75" customHeight="1">
      <c r="A110" s="134"/>
      <c r="B110" s="134"/>
      <c r="C110" s="134"/>
      <c r="D110" s="134"/>
      <c r="E110" s="3318"/>
      <c r="F110" s="3319"/>
      <c r="G110" s="2015" t="s">
        <v>2122</v>
      </c>
      <c r="H110" s="2783" t="str">
        <f>IF(H109="——","——",ROUND(H109*10000/'数据-汇总表'!E3,0))</f>
        <v>——</v>
      </c>
      <c r="I110" s="134"/>
    </row>
    <row r="111" spans="1:35" ht="18.75" customHeight="1">
      <c r="A111" s="134"/>
      <c r="B111" s="134"/>
      <c r="C111" s="134"/>
      <c r="D111" s="134"/>
      <c r="E111" s="3353" t="str">
        <f>IF(项目基本情况!E9="抵押净值",IF(OR(项目基本情况!E8="已注销",项目基本情况!E8="房地产抵押价值"),"4.抵押净值","5.抵押净值"),"——")</f>
        <v>——</v>
      </c>
      <c r="F111" s="3320"/>
      <c r="G111" s="2015" t="s">
        <v>2120</v>
      </c>
      <c r="H111" s="2823" t="str">
        <f>IF(E111="——","——",N59)</f>
        <v>——</v>
      </c>
      <c r="I111" s="134"/>
    </row>
    <row r="112" spans="1:35" ht="18.75" customHeight="1" thickBot="1">
      <c r="A112" s="134"/>
      <c r="B112" s="134"/>
      <c r="C112" s="134"/>
      <c r="D112" s="134"/>
      <c r="E112" s="3354"/>
      <c r="F112" s="3355"/>
      <c r="G112" s="2018" t="s">
        <v>2122</v>
      </c>
      <c r="H112" s="2827" t="str">
        <f>IF(E111="——","——",N61)</f>
        <v>——</v>
      </c>
      <c r="I112" s="134"/>
    </row>
    <row r="113" spans="1:27" ht="18.75" customHeight="1">
      <c r="A113" s="134"/>
      <c r="B113" s="134"/>
      <c r="C113" s="134"/>
      <c r="D113" s="134"/>
      <c r="E113" s="3323" t="s">
        <v>2128</v>
      </c>
      <c r="F113" s="3323"/>
      <c r="G113" s="3323"/>
      <c r="H113" s="3323"/>
      <c r="I113" s="134"/>
    </row>
    <row r="114" spans="1:27" ht="3.75" customHeight="1">
      <c r="A114" s="1935"/>
      <c r="B114" s="1935"/>
      <c r="C114" s="1935"/>
      <c r="D114" s="1935"/>
      <c r="E114" s="1997"/>
      <c r="F114" s="1997"/>
      <c r="G114" s="1997"/>
      <c r="H114" s="1997"/>
      <c r="I114" s="1935"/>
    </row>
    <row r="115" spans="1:27" ht="18.75" customHeight="1">
      <c r="A115" s="3336" t="s">
        <v>2130</v>
      </c>
      <c r="B115" s="3337"/>
      <c r="C115" s="3337"/>
      <c r="D115" s="3337"/>
      <c r="E115" s="3337"/>
      <c r="F115" s="3337"/>
      <c r="G115" s="3337"/>
      <c r="H115" s="3337"/>
      <c r="I115" s="3338"/>
    </row>
    <row r="116" spans="1:27" ht="27" customHeight="1">
      <c r="A116" s="3289" t="s">
        <v>2131</v>
      </c>
      <c r="B116" s="3324" t="s">
        <v>2132</v>
      </c>
      <c r="C116" s="3324" t="s">
        <v>2133</v>
      </c>
      <c r="D116" s="3340" t="s">
        <v>2134</v>
      </c>
      <c r="E116" s="3341"/>
      <c r="F116" s="3332" t="s">
        <v>2135</v>
      </c>
      <c r="G116" s="3332"/>
      <c r="H116" s="3289" t="s">
        <v>2136</v>
      </c>
      <c r="I116" s="3289"/>
    </row>
    <row r="117" spans="1:27" ht="18.75" customHeight="1">
      <c r="A117" s="3289"/>
      <c r="B117" s="3325"/>
      <c r="C117" s="3325"/>
      <c r="D117" s="2554" t="s">
        <v>2137</v>
      </c>
      <c r="E117" s="2554" t="s">
        <v>2138</v>
      </c>
      <c r="F117" s="2554" t="s">
        <v>2137</v>
      </c>
      <c r="G117" s="2554" t="s">
        <v>2139</v>
      </c>
      <c r="H117" s="2554" t="s">
        <v>2137</v>
      </c>
      <c r="I117" s="2554" t="s">
        <v>2139</v>
      </c>
    </row>
    <row r="118" spans="1:27" ht="24.75" customHeight="1">
      <c r="A118" s="2828" t="str">
        <f>项目基本情况!S2</f>
        <v>出让国有建设用地使用权及在建建筑物房地产</v>
      </c>
      <c r="B118" s="2554">
        <f>M18</f>
        <v>5790.6600000000008</v>
      </c>
      <c r="C118" s="2554">
        <f>M19</f>
        <v>5365.16</v>
      </c>
      <c r="D118" s="2554">
        <f ca="1">ROUND(IF(D32="总价",C34,E118*B118/10000),0)</f>
        <v>35267</v>
      </c>
      <c r="E118" s="2554">
        <f ca="1">ROUND(IF(C33="自定义",IF(D32="楼面单价",C34,D118*10000/B118),I118-G118),0)</f>
        <v>60903</v>
      </c>
      <c r="F118" s="2554">
        <f ca="1">ROUND(IF(D32="总价",C35,G118*B118/10000),0)</f>
        <v>14686</v>
      </c>
      <c r="G118" s="2554">
        <f ca="1">ROUND(IF(D32="楼面单价",C35,F118*10000/B118),0)</f>
        <v>25362</v>
      </c>
      <c r="H118" s="2554">
        <f ca="1">ROUND(IF(D32="总价",C32,I118*B118/10000),0)</f>
        <v>49953</v>
      </c>
      <c r="I118" s="2554">
        <f ca="1">ROUND(IF(D32="楼面单价",C32,H118*10000/B118),0)</f>
        <v>86265</v>
      </c>
    </row>
    <row r="119" spans="1:27" ht="18.75" customHeight="1">
      <c r="A119" s="3289" t="s">
        <v>2140</v>
      </c>
      <c r="B119" s="3289"/>
      <c r="C119" s="3289"/>
      <c r="D119" s="3329" t="str">
        <f ca="1">NUMBERSTRING(INT(D118*10000),2)&amp;"元整"</f>
        <v>叁亿伍仟贰佰陆拾柒万元整</v>
      </c>
      <c r="E119" s="3331"/>
      <c r="F119" s="3329" t="str">
        <f ca="1">NUMBERSTRING(INT(F118*10000),2)&amp;"元整"</f>
        <v>壹亿肆仟陆佰捌拾陆万元整</v>
      </c>
      <c r="G119" s="3331"/>
      <c r="H119" s="3329" t="str">
        <f ca="1">NUMBERSTRING(INT(H118*10000),2)&amp;"元整"</f>
        <v>肆亿玖仟玖佰伍拾叁万元整</v>
      </c>
      <c r="I119" s="3331"/>
    </row>
    <row r="120" spans="1:27" ht="18.75" customHeight="1">
      <c r="A120" s="3356" t="str">
        <f>IF(项目基本情况!B9="房地产市场价值","",MID(E103,3,LEN(E103)-2))</f>
        <v>估价师知悉的法定优先受偿款</v>
      </c>
      <c r="B120" s="3357"/>
      <c r="C120" s="3358"/>
      <c r="D120" s="3356">
        <f>H103</f>
        <v>0</v>
      </c>
      <c r="E120" s="3357"/>
      <c r="F120" s="3357"/>
      <c r="G120" s="3357"/>
      <c r="H120" s="3357"/>
      <c r="I120" s="3358"/>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333" t="s">
        <v>2140</v>
      </c>
      <c r="B121" s="3334"/>
      <c r="C121" s="3335"/>
      <c r="D121" s="3329" t="str">
        <f>IF(D120=0,"零元整",NUMBERSTRING(INT(D120*10000),2)&amp;"元整")</f>
        <v>零元整</v>
      </c>
      <c r="E121" s="3330"/>
      <c r="F121" s="3330"/>
      <c r="G121" s="3330"/>
      <c r="H121" s="3330"/>
      <c r="I121" s="3331"/>
      <c r="AA121" s="734"/>
    </row>
    <row r="122" spans="1:27" ht="18.75" customHeight="1">
      <c r="A122" s="3320" t="str">
        <f>IF(项目基本情况!B9="房地产市场价值","",MID(E107,3,LEN(E107)-2))</f>
        <v>房地产抵押价值</v>
      </c>
      <c r="B122" s="3320"/>
      <c r="C122" s="3320"/>
      <c r="D122" s="3356">
        <f ca="1">H107</f>
        <v>49953</v>
      </c>
      <c r="E122" s="3357"/>
      <c r="F122" s="3357"/>
      <c r="G122" s="3357"/>
      <c r="H122" s="3357"/>
      <c r="I122" s="3358"/>
      <c r="AA122" s="734"/>
    </row>
    <row r="123" spans="1:27" ht="18.75" customHeight="1">
      <c r="A123" s="3289" t="s">
        <v>2140</v>
      </c>
      <c r="B123" s="3289"/>
      <c r="C123" s="3289"/>
      <c r="D123" s="3329" t="str">
        <f ca="1">NUMBERSTRING(INT(D122*10000),2)&amp;"元整"</f>
        <v>肆亿玖仟玖佰伍拾叁万元整</v>
      </c>
      <c r="E123" s="3330"/>
      <c r="F123" s="3330"/>
      <c r="G123" s="3330"/>
      <c r="H123" s="3330"/>
      <c r="I123" s="3331"/>
      <c r="AA123" s="734"/>
    </row>
    <row r="124" spans="1:27" ht="18.75" customHeight="1">
      <c r="A124" s="3320" t="str">
        <f>IF(项目基本情况!B9="房地产市场价值","",MID(E109,3,LEN(E109)-2))</f>
        <v/>
      </c>
      <c r="B124" s="3320"/>
      <c r="C124" s="3320"/>
      <c r="D124" s="3356" t="str">
        <f>H109</f>
        <v>——</v>
      </c>
      <c r="E124" s="3357"/>
      <c r="F124" s="3357"/>
      <c r="G124" s="3357"/>
      <c r="H124" s="3357"/>
      <c r="I124" s="3358"/>
      <c r="AA124" s="734"/>
    </row>
    <row r="125" spans="1:27" ht="18.75" customHeight="1">
      <c r="A125" s="3289" t="s">
        <v>2140</v>
      </c>
      <c r="B125" s="3289"/>
      <c r="C125" s="3289"/>
      <c r="D125" s="3329" t="e">
        <f>NUMBERSTRING(INT(D124*10000),2)&amp;"元整"</f>
        <v>#VALUE!</v>
      </c>
      <c r="E125" s="3330"/>
      <c r="F125" s="3330"/>
      <c r="G125" s="3330"/>
      <c r="H125" s="3330"/>
      <c r="I125" s="3331"/>
      <c r="AA125" s="734"/>
    </row>
    <row r="126" spans="1:27" ht="18.75" customHeight="1">
      <c r="A126" s="3320" t="str">
        <f>IF(项目基本情况!B9="房地产市场价值","",MID(E111,3,LEN(E111)-2))</f>
        <v/>
      </c>
      <c r="B126" s="3320"/>
      <c r="C126" s="3320"/>
      <c r="D126" s="3356" t="str">
        <f>H111</f>
        <v>——</v>
      </c>
      <c r="E126" s="3357"/>
      <c r="F126" s="3357"/>
      <c r="G126" s="3357"/>
      <c r="H126" s="3357"/>
      <c r="I126" s="3358"/>
      <c r="AA126" s="734"/>
    </row>
    <row r="127" spans="1:27" ht="18.75" customHeight="1">
      <c r="A127" s="3289" t="s">
        <v>2140</v>
      </c>
      <c r="B127" s="3289"/>
      <c r="C127" s="3289"/>
      <c r="D127" s="3329" t="e">
        <f>NUMBERSTRING(INT(D126*10000),2)&amp;"元整"</f>
        <v>#VALUE!</v>
      </c>
      <c r="E127" s="3330"/>
      <c r="F127" s="3330"/>
      <c r="G127" s="3330"/>
      <c r="H127" s="3330"/>
      <c r="I127" s="3331"/>
      <c r="AA127" s="734"/>
    </row>
    <row r="128" spans="1:27" ht="21.75" customHeight="1">
      <c r="A128" s="3339" t="s">
        <v>2141</v>
      </c>
      <c r="B128" s="3339"/>
      <c r="C128" s="3339"/>
      <c r="D128" s="3339"/>
      <c r="E128" s="3339"/>
      <c r="F128" s="3339"/>
      <c r="G128" s="3339"/>
      <c r="H128" s="3339"/>
      <c r="I128" s="3339"/>
      <c r="AA128" s="734"/>
    </row>
    <row r="129" spans="1:35" ht="21.75" customHeight="1">
      <c r="A129" s="2019" t="s">
        <v>2142</v>
      </c>
      <c r="B129" s="2020"/>
      <c r="C129" s="2021" t="s">
        <v>2143</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2144</v>
      </c>
      <c r="G135" s="2036"/>
      <c r="H135" s="2036"/>
      <c r="I135" s="2037" t="s">
        <v>2145</v>
      </c>
    </row>
    <row r="136" spans="1:35" ht="21.75" customHeight="1">
      <c r="A136" s="734"/>
      <c r="B136" s="2038" t="s">
        <v>2146</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2147</v>
      </c>
    </row>
    <row r="139" spans="1:35" ht="21.75" customHeight="1">
      <c r="A139" s="734"/>
      <c r="B139" s="2038" t="s">
        <v>2148</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2147</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2149</v>
      </c>
      <c r="B1" s="1656"/>
      <c r="C1" s="204"/>
      <c r="D1" s="204"/>
      <c r="E1" s="204"/>
      <c r="F1" s="204"/>
      <c r="G1" s="1288">
        <f>MATCH(B1,'数据-取费表'!A6:A16,0)+5</f>
        <v>7</v>
      </c>
    </row>
    <row r="2" spans="1:9" s="206" customFormat="1" ht="18" customHeight="1">
      <c r="A2" s="207" t="s">
        <v>2150</v>
      </c>
      <c r="B2" s="208">
        <f ca="1">IF(D2="——",C52,C52-E2)</f>
        <v>18202</v>
      </c>
      <c r="C2" s="205" t="s">
        <v>2151</v>
      </c>
      <c r="D2" s="2041" t="s">
        <v>70</v>
      </c>
      <c r="E2" s="1331" t="e">
        <f ca="1">SUMIF(INDIRECT("'"&amp;G2&amp;"'"&amp;"!A:A"),"承租人权益价值",INDIRECT("'"&amp;G2&amp;"'"&amp;"!c:c"))</f>
        <v>#REF!</v>
      </c>
      <c r="F2" s="2042" t="s">
        <v>2151</v>
      </c>
      <c r="G2" s="2043"/>
    </row>
    <row r="3" spans="1:9" s="206" customFormat="1" ht="18" customHeight="1" thickBot="1">
      <c r="A3" s="209" t="s">
        <v>2152</v>
      </c>
      <c r="B3" s="210">
        <f ca="1">ROUND(B2*10000/(IF(B1="",'数据-汇总表'!E3,INDIRECT("'数据-取费表'!k"&amp;$G$1))),0)</f>
        <v>15784</v>
      </c>
      <c r="C3" s="205" t="s">
        <v>2153</v>
      </c>
      <c r="D3" s="205"/>
      <c r="E3" s="205"/>
      <c r="F3" s="205"/>
      <c r="G3" s="205"/>
    </row>
    <row r="4" spans="1:9" s="214" customFormat="1" ht="15.75">
      <c r="A4" s="211" t="s">
        <v>2154</v>
      </c>
      <c r="B4" s="212"/>
      <c r="C4" s="212"/>
      <c r="D4" s="212"/>
      <c r="E4" s="212"/>
      <c r="F4" s="212"/>
      <c r="G4" s="213"/>
    </row>
    <row r="5" spans="1:9" s="220" customFormat="1" ht="13.5" customHeight="1">
      <c r="A5" s="261" t="s">
        <v>2155</v>
      </c>
      <c r="B5" s="216" t="s">
        <v>2156</v>
      </c>
      <c r="C5" s="217">
        <f>C6+C7+C8</f>
        <v>10398</v>
      </c>
      <c r="D5" s="217" t="s">
        <v>2157</v>
      </c>
      <c r="E5" s="218" t="s">
        <v>2158</v>
      </c>
      <c r="F5" s="218" t="s">
        <v>2159</v>
      </c>
      <c r="G5" s="219"/>
    </row>
    <row r="6" spans="1:9" s="220" customFormat="1" ht="13.5" customHeight="1">
      <c r="A6" s="886" t="s">
        <v>2160</v>
      </c>
      <c r="B6" s="221" t="s">
        <v>2161</v>
      </c>
      <c r="C6" s="222">
        <f>'土地比较法-住宅、综合'!B2</f>
        <v>9735</v>
      </c>
      <c r="D6" s="223"/>
      <c r="E6" s="224"/>
      <c r="F6" s="224"/>
      <c r="G6" s="225"/>
    </row>
    <row r="7" spans="1:9" s="220" customFormat="1" ht="13.5" customHeight="1">
      <c r="A7" s="886" t="s">
        <v>2162</v>
      </c>
      <c r="B7" s="221" t="s">
        <v>2163</v>
      </c>
      <c r="C7" s="226">
        <f>ROUND(C6*F7,0)</f>
        <v>297</v>
      </c>
      <c r="D7" s="226"/>
      <c r="E7" s="224"/>
      <c r="F7" s="227">
        <f>IF(项目基本情况!B8="出让",0,'数据-取费表'!B48+'数据-取费表'!B49)</f>
        <v>3.0499999999999999E-2</v>
      </c>
      <c r="G7" s="225"/>
    </row>
    <row r="8" spans="1:9" s="229" customFormat="1">
      <c r="A8" s="886" t="s">
        <v>2164</v>
      </c>
      <c r="B8" s="221" t="s">
        <v>2165</v>
      </c>
      <c r="C8" s="226">
        <f>IF(G8="已包含在土地购买价格中","0",IF(B1="",'数据-取费表'!B29,IF(G9="全部缴纳",C9+C10,H9)))</f>
        <v>366</v>
      </c>
      <c r="D8" s="228"/>
      <c r="E8" s="226"/>
      <c r="F8" s="227"/>
      <c r="G8" s="2044" t="s">
        <v>3251</v>
      </c>
    </row>
    <row r="9" spans="1:9" s="220" customFormat="1" ht="13.5" customHeight="1">
      <c r="A9" s="887" t="s">
        <v>800</v>
      </c>
      <c r="B9" s="230" t="s">
        <v>2166</v>
      </c>
      <c r="C9" s="231">
        <f ca="1">ROUND(D9*E9/10000,0)</f>
        <v>0</v>
      </c>
      <c r="D9" s="954">
        <f ca="1">IF(B1="",'数据-汇总表'!E5,IF(INDIRECT("'数据-取费表'!c"&amp;$G$1)="住宅",INDIRECT("'数据-取费表'!k"&amp;$G$1),0))</f>
        <v>0</v>
      </c>
      <c r="E9" s="231">
        <f>'数据-取费表'!B27</f>
        <v>220</v>
      </c>
      <c r="F9" s="227"/>
      <c r="G9" s="2045" t="s">
        <v>3250</v>
      </c>
      <c r="H9" s="1299"/>
      <c r="I9" s="2046" t="s">
        <v>2167</v>
      </c>
    </row>
    <row r="10" spans="1:9" s="220" customFormat="1" ht="13.5" customHeight="1">
      <c r="A10" s="887" t="s">
        <v>801</v>
      </c>
      <c r="B10" s="230" t="s">
        <v>2168</v>
      </c>
      <c r="C10" s="231">
        <f>ROUND(D10*E10/10000,0)</f>
        <v>366</v>
      </c>
      <c r="D10" s="3111">
        <f>抵押物清单!F48+抵押物清单!H48</f>
        <v>16627.460000000003</v>
      </c>
      <c r="E10" s="231">
        <f>'数据-取费表'!B28</f>
        <v>220</v>
      </c>
      <c r="F10" s="227"/>
      <c r="G10" s="232"/>
    </row>
    <row r="11" spans="1:9" s="220" customFormat="1" ht="13.5" hidden="1" customHeight="1">
      <c r="A11" s="233" t="s">
        <v>7</v>
      </c>
      <c r="B11" s="221" t="s">
        <v>2169</v>
      </c>
      <c r="C11" s="217"/>
      <c r="D11" s="3112"/>
      <c r="E11" s="224"/>
      <c r="F11" s="224"/>
      <c r="G11" s="225"/>
    </row>
    <row r="12" spans="1:9" s="220" customFormat="1" ht="13.5" hidden="1" customHeight="1">
      <c r="A12" s="233" t="s">
        <v>8</v>
      </c>
      <c r="B12" s="221" t="s">
        <v>2170</v>
      </c>
      <c r="C12" s="217">
        <v>0</v>
      </c>
      <c r="D12" s="3112"/>
      <c r="E12" s="234"/>
      <c r="F12" s="227">
        <v>3.0499999999999999E-2</v>
      </c>
      <c r="G12" s="225"/>
    </row>
    <row r="13" spans="1:9" s="220" customFormat="1" ht="13.5" hidden="1" customHeight="1">
      <c r="A13" s="233" t="s">
        <v>9</v>
      </c>
      <c r="B13" s="221" t="s">
        <v>2171</v>
      </c>
      <c r="C13" s="217"/>
      <c r="D13" s="3112"/>
      <c r="E13" s="224"/>
      <c r="F13" s="224"/>
      <c r="G13" s="225"/>
    </row>
    <row r="14" spans="1:9" s="220" customFormat="1" ht="13.5" hidden="1" customHeight="1">
      <c r="A14" s="233" t="s">
        <v>10</v>
      </c>
      <c r="B14" s="221" t="s">
        <v>2172</v>
      </c>
      <c r="C14" s="217"/>
      <c r="D14" s="3112"/>
      <c r="E14" s="224"/>
      <c r="F14" s="224"/>
      <c r="G14" s="225" t="s">
        <v>2173</v>
      </c>
    </row>
    <row r="15" spans="1:9" s="220" customFormat="1" ht="13.5" hidden="1" customHeight="1">
      <c r="A15" s="233" t="s">
        <v>11</v>
      </c>
      <c r="B15" s="221" t="s">
        <v>2174</v>
      </c>
      <c r="C15" s="226"/>
      <c r="D15" s="3112"/>
      <c r="E15" s="224"/>
      <c r="F15" s="224"/>
      <c r="G15" s="225" t="s">
        <v>2175</v>
      </c>
    </row>
    <row r="16" spans="1:9" s="220" customFormat="1" ht="13.5" hidden="1" customHeight="1">
      <c r="A16" s="233" t="s">
        <v>12</v>
      </c>
      <c r="B16" s="221" t="s">
        <v>2172</v>
      </c>
      <c r="C16" s="226"/>
      <c r="D16" s="3112"/>
      <c r="E16" s="224"/>
      <c r="F16" s="224"/>
      <c r="G16" s="225"/>
    </row>
    <row r="17" spans="1:7" s="220" customFormat="1" ht="13.5" hidden="1" customHeight="1">
      <c r="A17" s="233" t="s">
        <v>13</v>
      </c>
      <c r="B17" s="221" t="s">
        <v>2176</v>
      </c>
      <c r="C17" s="235"/>
      <c r="D17" s="3113"/>
      <c r="E17" s="235"/>
      <c r="F17" s="235"/>
      <c r="G17" s="225" t="s">
        <v>2175</v>
      </c>
    </row>
    <row r="18" spans="1:7" s="220" customFormat="1" ht="13.5" hidden="1" customHeight="1">
      <c r="A18" s="233" t="s">
        <v>14</v>
      </c>
      <c r="B18" s="221" t="s">
        <v>2177</v>
      </c>
      <c r="C18" s="226">
        <v>0</v>
      </c>
      <c r="D18" s="3112"/>
      <c r="E18" s="224"/>
      <c r="F18" s="227">
        <v>3.0499999999999999E-2</v>
      </c>
      <c r="G18" s="225" t="s">
        <v>2178</v>
      </c>
    </row>
    <row r="19" spans="1:7" s="229" customFormat="1" ht="13.5" customHeight="1">
      <c r="A19" s="261" t="s">
        <v>2179</v>
      </c>
      <c r="B19" s="216" t="s">
        <v>2180</v>
      </c>
      <c r="C19" s="217" t="str">
        <f>IF(G19="已包含在土地取得成本中","0",ROUND(D19*E19/10000,0))</f>
        <v>0</v>
      </c>
      <c r="D19" s="3114">
        <f ca="1">D9+D10</f>
        <v>16627.460000000003</v>
      </c>
      <c r="E19" s="217">
        <f>'数据-取费表'!B31</f>
        <v>200</v>
      </c>
      <c r="F19" s="237"/>
      <c r="G19" s="2044" t="s">
        <v>3252</v>
      </c>
    </row>
    <row r="20" spans="1:7" s="220" customFormat="1" ht="13.5" customHeight="1">
      <c r="A20" s="261" t="s">
        <v>2181</v>
      </c>
      <c r="B20" s="216" t="s">
        <v>2182</v>
      </c>
      <c r="C20" s="238">
        <f>ROUND((C5+C19)*F20,0)</f>
        <v>312</v>
      </c>
      <c r="D20" s="238"/>
      <c r="E20" s="238"/>
      <c r="F20" s="239">
        <f>'数据-取费表'!B37</f>
        <v>0.03</v>
      </c>
      <c r="G20" s="240" t="s">
        <v>2183</v>
      </c>
    </row>
    <row r="21" spans="1:7" s="220" customFormat="1" ht="13.5" customHeight="1">
      <c r="A21" s="261" t="s">
        <v>2184</v>
      </c>
      <c r="B21" s="216" t="s">
        <v>2185</v>
      </c>
      <c r="C21" s="241">
        <f>F21</f>
        <v>0.03</v>
      </c>
      <c r="D21" s="242" t="s">
        <v>2186</v>
      </c>
      <c r="E21" s="238"/>
      <c r="F21" s="239">
        <f>'数据-取费表'!B38</f>
        <v>0.03</v>
      </c>
      <c r="G21" s="240" t="s">
        <v>2187</v>
      </c>
    </row>
    <row r="22" spans="1:7" s="220" customFormat="1" ht="13.5" customHeight="1">
      <c r="A22" s="261" t="s">
        <v>2188</v>
      </c>
      <c r="B22" s="216" t="s">
        <v>2189</v>
      </c>
      <c r="C22" s="1264">
        <f ca="1">ROUND(SUM(C23:C25),0)</f>
        <v>328</v>
      </c>
      <c r="D22" s="241">
        <f ca="1">C26</f>
        <v>5.0000000000000001E-4</v>
      </c>
      <c r="E22" s="242" t="s">
        <v>2186</v>
      </c>
      <c r="F22" s="243">
        <f ca="1">'数据-取费表'!B40</f>
        <v>4.7500000000000001E-2</v>
      </c>
      <c r="G22" s="240" t="str">
        <f>IF('数据-取费表'!B22&lt;=1,"单利计息","复利计息")</f>
        <v>复利计息</v>
      </c>
    </row>
    <row r="23" spans="1:7" s="220" customFormat="1" ht="13.5" customHeight="1">
      <c r="A23" s="888" t="s">
        <v>2190</v>
      </c>
      <c r="B23" s="221" t="s">
        <v>2191</v>
      </c>
      <c r="C23" s="1265">
        <f ca="1">ROUND(IF('数据-取费表'!B22&lt;=1,C5*F22*'数据-取费表'!B23,C5*(POWER((1+F22),'数据-取费表'!B23)-1)),0)</f>
        <v>323</v>
      </c>
      <c r="D23" s="244"/>
      <c r="E23" s="244"/>
      <c r="F23" s="245"/>
      <c r="G23" s="246" t="s">
        <v>2192</v>
      </c>
    </row>
    <row r="24" spans="1:7" s="220" customFormat="1" ht="13.5" customHeight="1">
      <c r="A24" s="888" t="s">
        <v>2193</v>
      </c>
      <c r="B24" s="221" t="s">
        <v>2194</v>
      </c>
      <c r="C24" s="1265">
        <f ca="1">ROUND(IF('数据-取费表'!B22&lt;=1,C19*F22*('数据-取费表'!B19/2+'数据-取费表'!B21),C19*(POWER((1+F22),('数据-取费表'!B19/2+'数据-取费表'!B21))-1)),0)</f>
        <v>0</v>
      </c>
      <c r="D24" s="244"/>
      <c r="E24" s="244"/>
      <c r="F24" s="245"/>
      <c r="G24" s="246" t="s">
        <v>2195</v>
      </c>
    </row>
    <row r="25" spans="1:7" s="220" customFormat="1" ht="24">
      <c r="A25" s="888" t="s">
        <v>2196</v>
      </c>
      <c r="B25" s="221" t="s">
        <v>2197</v>
      </c>
      <c r="C25" s="1265">
        <f ca="1">ROUND(IF('数据-取费表'!B22&lt;=1,C20*F22*'数据-取费表'!B23/2,C20*(POWER((1+F22),'数据-取费表'!B23/2)-1)),0)</f>
        <v>5</v>
      </c>
      <c r="D25" s="244"/>
      <c r="E25" s="247"/>
      <c r="F25" s="245"/>
      <c r="G25" s="248" t="s">
        <v>2198</v>
      </c>
    </row>
    <row r="26" spans="1:7" s="220" customFormat="1">
      <c r="A26" s="888" t="s">
        <v>795</v>
      </c>
      <c r="B26" s="221" t="s">
        <v>2199</v>
      </c>
      <c r="C26" s="244">
        <f ca="1">ROUND(IF('数据-取费表'!B22&lt;=1,F21*F22*'数据-取费表'!B23/2,F21*(POWER((1+F22),'数据-取费表'!B23/2)-1)),4)</f>
        <v>5.0000000000000001E-4</v>
      </c>
      <c r="D26" s="244"/>
      <c r="E26" s="247"/>
      <c r="F26" s="245"/>
      <c r="G26" s="249"/>
    </row>
    <row r="27" spans="1:7" s="220" customFormat="1" ht="24.75">
      <c r="A27" s="261" t="s">
        <v>2200</v>
      </c>
      <c r="B27" s="250" t="s">
        <v>2201</v>
      </c>
      <c r="C27" s="251">
        <f ca="1">C28</f>
        <v>707</v>
      </c>
      <c r="D27" s="241">
        <f ca="1">C29</f>
        <v>2E-3</v>
      </c>
      <c r="E27" s="242" t="s">
        <v>2202</v>
      </c>
      <c r="F27" s="252">
        <f ca="1">IF(B1="",'数据-取费表'!Q16,INDIRECT("'数据-取费表'!q"&amp;$G$1))</f>
        <v>0.3</v>
      </c>
      <c r="G27" s="253" t="s">
        <v>2203</v>
      </c>
    </row>
    <row r="28" spans="1:7" s="220" customFormat="1" ht="13.5" customHeight="1">
      <c r="A28" s="888" t="s">
        <v>791</v>
      </c>
      <c r="B28" s="254" t="s">
        <v>2204</v>
      </c>
      <c r="C28" s="255">
        <f ca="1">ROUND((C5+C19+C20)*F27*'数据-取费表'!B21/'数据-取费表'!B20,0)</f>
        <v>707</v>
      </c>
      <c r="D28" s="241"/>
      <c r="E28" s="242"/>
      <c r="F28" s="252"/>
      <c r="G28" s="253"/>
    </row>
    <row r="29" spans="1:7" s="220" customFormat="1" ht="13.5" customHeight="1">
      <c r="A29" s="888" t="s">
        <v>792</v>
      </c>
      <c r="B29" s="254" t="s">
        <v>2205</v>
      </c>
      <c r="C29" s="244">
        <f ca="1">ROUND(C21*F27*'数据-取费表'!B21/'数据-取费表'!B20,4)</f>
        <v>2E-3</v>
      </c>
      <c r="D29" s="241"/>
      <c r="E29" s="242"/>
      <c r="F29" s="252"/>
      <c r="G29" s="253"/>
    </row>
    <row r="30" spans="1:7" s="220" customFormat="1" ht="13.5" customHeight="1">
      <c r="A30" s="261" t="s">
        <v>2206</v>
      </c>
      <c r="B30" s="216" t="s">
        <v>2207</v>
      </c>
      <c r="C30" s="241">
        <f>ROUND(F30/(1+'数据-取费表'!C42),4)</f>
        <v>5.33E-2</v>
      </c>
      <c r="D30" s="242" t="s">
        <v>2202</v>
      </c>
      <c r="E30" s="247"/>
      <c r="F30" s="243">
        <f>'数据-取费表'!B41</f>
        <v>5.6000000000000001E-2</v>
      </c>
      <c r="G30" s="240" t="s">
        <v>2208</v>
      </c>
    </row>
    <row r="31" spans="1:7" ht="16.5" customHeight="1">
      <c r="A31" s="215">
        <v>1</v>
      </c>
      <c r="B31" s="216" t="s">
        <v>2209</v>
      </c>
      <c r="C31" s="217">
        <f ca="1">ROUND((C5+C19+C20+C22+C27)/(1-C21-D22-D27-C30),0)</f>
        <v>12847</v>
      </c>
      <c r="D31" s="236"/>
      <c r="E31" s="217"/>
      <c r="F31" s="256"/>
      <c r="G31" s="240" t="s">
        <v>2210</v>
      </c>
    </row>
    <row r="32" spans="1:7" s="214" customFormat="1" ht="15.75">
      <c r="A32" s="258" t="s">
        <v>2211</v>
      </c>
      <c r="B32" s="259"/>
      <c r="C32" s="259"/>
      <c r="D32" s="259"/>
      <c r="E32" s="259"/>
      <c r="F32" s="259"/>
      <c r="G32" s="260"/>
    </row>
    <row r="33" spans="1:7" s="220" customFormat="1" ht="13.5" customHeight="1">
      <c r="A33" s="261" t="s">
        <v>782</v>
      </c>
      <c r="B33" s="216" t="s">
        <v>2212</v>
      </c>
      <c r="C33" s="262">
        <f ca="1">SUM(C34:C38)</f>
        <v>3585</v>
      </c>
      <c r="D33" s="238"/>
      <c r="E33" s="218"/>
      <c r="F33" s="247"/>
      <c r="G33" s="240"/>
    </row>
    <row r="34" spans="1:7" s="264" customFormat="1" ht="13.5" customHeight="1">
      <c r="A34" s="888" t="s">
        <v>791</v>
      </c>
      <c r="B34" s="221" t="s">
        <v>2213</v>
      </c>
      <c r="C34" s="226">
        <f ca="1">IF(B1="",IF(F34=100%,'数据-取费表'!M16,'数据-取费表'!O16),IF(F34=100%,INDIRECT("'数据-取费表'!m"&amp;$G$1)+INDIRECT("'数据-取费表'!t"&amp;$G$1),INDIRECT("'数据-取费表'!o"&amp;$G$1)+INDIRECT("'数据-取费表'!aq"&amp;$G$1)))</f>
        <v>3298</v>
      </c>
      <c r="D34" s="223"/>
      <c r="E34" s="226"/>
      <c r="F34" s="263">
        <f ca="1">IF('数据-取费表'!B24=0,1,IF(B1="",'数据-取费表'!N16,INDIRECT("'数据-取费表'!n"&amp;$G$1)))</f>
        <v>0.22</v>
      </c>
      <c r="G34" s="225" t="s">
        <v>2214</v>
      </c>
    </row>
    <row r="35" spans="1:7" ht="13.5" customHeight="1">
      <c r="A35" s="888" t="s">
        <v>796</v>
      </c>
      <c r="B35" s="221" t="s">
        <v>2215</v>
      </c>
      <c r="C35" s="226">
        <f ca="1">ROUND(C34*F35,0)</f>
        <v>165</v>
      </c>
      <c r="D35" s="226"/>
      <c r="E35" s="226"/>
      <c r="F35" s="265">
        <f>'数据-取费表'!B33</f>
        <v>0.05</v>
      </c>
      <c r="G35" s="225" t="s">
        <v>2216</v>
      </c>
    </row>
    <row r="36" spans="1:7" ht="24">
      <c r="A36" s="888" t="s">
        <v>797</v>
      </c>
      <c r="B36" s="221" t="s">
        <v>2217</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2218</v>
      </c>
    </row>
    <row r="37" spans="1:7" s="264" customFormat="1" ht="13.5" customHeight="1">
      <c r="A37" s="888" t="s">
        <v>798</v>
      </c>
      <c r="B37" s="221" t="s">
        <v>2219</v>
      </c>
      <c r="C37" s="255">
        <f ca="1">ROUND(E37*D37*F34/10000,0)</f>
        <v>73</v>
      </c>
      <c r="D37" s="3115">
        <f ca="1">D19</f>
        <v>16627.460000000003</v>
      </c>
      <c r="E37" s="255">
        <f>'数据-取费表'!B35</f>
        <v>200</v>
      </c>
      <c r="F37" s="265"/>
      <c r="G37" s="267" t="s">
        <v>2220</v>
      </c>
    </row>
    <row r="38" spans="1:7" ht="13.5" customHeight="1">
      <c r="A38" s="888" t="s">
        <v>799</v>
      </c>
      <c r="B38" s="221" t="s">
        <v>2221</v>
      </c>
      <c r="C38" s="226">
        <f ca="1">ROUND(C34*F38,0)</f>
        <v>49</v>
      </c>
      <c r="D38" s="226"/>
      <c r="E38" s="226"/>
      <c r="F38" s="265">
        <f>'数据-取费表'!B36</f>
        <v>1.4999999999999999E-2</v>
      </c>
      <c r="G38" s="225" t="s">
        <v>2216</v>
      </c>
    </row>
    <row r="39" spans="1:7" s="220" customFormat="1" ht="13.5" customHeight="1">
      <c r="A39" s="261" t="s">
        <v>2222</v>
      </c>
      <c r="B39" s="216" t="s">
        <v>2223</v>
      </c>
      <c r="C39" s="238">
        <f ca="1">ROUND(C33*F20,0)</f>
        <v>108</v>
      </c>
      <c r="D39" s="238"/>
      <c r="E39" s="238"/>
      <c r="F39" s="2537">
        <f>F20</f>
        <v>0.03</v>
      </c>
      <c r="G39" s="240" t="s">
        <v>2224</v>
      </c>
    </row>
    <row r="40" spans="1:7" s="220" customFormat="1" ht="13.5" customHeight="1">
      <c r="A40" s="261" t="s">
        <v>2225</v>
      </c>
      <c r="B40" s="216" t="s">
        <v>2226</v>
      </c>
      <c r="C40" s="1497">
        <f>F21</f>
        <v>0.03</v>
      </c>
      <c r="D40" s="242" t="s">
        <v>2227</v>
      </c>
      <c r="E40" s="238"/>
      <c r="F40" s="2537">
        <f>F21</f>
        <v>0.03</v>
      </c>
      <c r="G40" s="240" t="s">
        <v>2228</v>
      </c>
    </row>
    <row r="41" spans="1:7" s="220" customFormat="1" ht="13.5" customHeight="1">
      <c r="A41" s="261" t="s">
        <v>2229</v>
      </c>
      <c r="B41" s="216" t="s">
        <v>2230</v>
      </c>
      <c r="C41" s="238">
        <f ca="1">ROUND(SUM(C42:C43),0)</f>
        <v>57</v>
      </c>
      <c r="D41" s="241">
        <f ca="1">C44</f>
        <v>5.0000000000000001E-4</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ROUND(IF('数据-取费表'!B22&lt;=1,C33*F22*'数据-取费表'!B21/2,C33*(POWER((1+F22),'数据-取费表'!B21/2)-1)),0)</f>
        <v>55</v>
      </c>
      <c r="D42" s="244"/>
      <c r="E42" s="244"/>
      <c r="F42" s="245"/>
      <c r="G42" s="3372" t="s">
        <v>2232</v>
      </c>
    </row>
    <row r="43" spans="1:7" ht="13.5" customHeight="1">
      <c r="A43" s="888" t="s">
        <v>792</v>
      </c>
      <c r="B43" s="221" t="s">
        <v>2233</v>
      </c>
      <c r="C43" s="244">
        <f ca="1">ROUND(IF('数据-取费表'!B22&lt;=1,C39*F22*'数据-取费表'!B21/2,C39*(POWER((1+F22),'数据-取费表'!B21/2)-1)),0)</f>
        <v>2</v>
      </c>
      <c r="D43" s="244"/>
      <c r="E43" s="244"/>
      <c r="F43" s="245"/>
      <c r="G43" s="3373"/>
    </row>
    <row r="44" spans="1:7" ht="13.5" customHeight="1">
      <c r="A44" s="888" t="s">
        <v>793</v>
      </c>
      <c r="B44" s="221" t="s">
        <v>2234</v>
      </c>
      <c r="C44" s="244">
        <f ca="1">ROUND(IF('数据-取费表'!B22&lt;=1,C40*F22*'数据-取费表'!B21/2,C40*(POWER((1+F22),'数据-取费表'!B21/2)-1)),4)</f>
        <v>5.0000000000000001E-4</v>
      </c>
      <c r="D44" s="244"/>
      <c r="E44" s="244"/>
      <c r="F44" s="245"/>
      <c r="G44" s="3374"/>
    </row>
    <row r="45" spans="1:7" s="220" customFormat="1" ht="13.5" customHeight="1">
      <c r="A45" s="261" t="s">
        <v>2235</v>
      </c>
      <c r="B45" s="250" t="s">
        <v>2201</v>
      </c>
      <c r="C45" s="251">
        <f ca="1">C46</f>
        <v>1108</v>
      </c>
      <c r="D45" s="241">
        <f ca="1">C47</f>
        <v>8.9999999999999993E-3</v>
      </c>
      <c r="E45" s="242" t="s">
        <v>2227</v>
      </c>
      <c r="F45" s="2539">
        <f ca="1">F27</f>
        <v>0.3</v>
      </c>
      <c r="G45" s="253" t="s">
        <v>2236</v>
      </c>
    </row>
    <row r="46" spans="1:7" s="220" customFormat="1" ht="13.5" customHeight="1">
      <c r="A46" s="888" t="s">
        <v>791</v>
      </c>
      <c r="B46" s="254" t="s">
        <v>2237</v>
      </c>
      <c r="C46" s="255">
        <f ca="1">ROUND((C33+C39)*F27,0)</f>
        <v>1108</v>
      </c>
      <c r="D46" s="269"/>
      <c r="E46" s="242"/>
      <c r="F46" s="252"/>
      <c r="G46" s="253"/>
    </row>
    <row r="47" spans="1:7" s="220" customFormat="1" ht="13.5" customHeight="1">
      <c r="A47" s="888" t="s">
        <v>792</v>
      </c>
      <c r="B47" s="254" t="s">
        <v>2238</v>
      </c>
      <c r="C47" s="244">
        <f ca="1">ROUND(C40*F27,4)</f>
        <v>8.9999999999999993E-3</v>
      </c>
      <c r="D47" s="269"/>
      <c r="E47" s="242"/>
      <c r="F47" s="252"/>
      <c r="G47" s="253"/>
    </row>
    <row r="48" spans="1:7" s="220" customFormat="1" ht="13.5" customHeight="1">
      <c r="A48" s="261" t="s">
        <v>2200</v>
      </c>
      <c r="B48" s="216" t="s">
        <v>2239</v>
      </c>
      <c r="C48" s="1497">
        <f>ROUND(F30/(1+'数据-取费表'!C42),4)</f>
        <v>5.33E-2</v>
      </c>
      <c r="D48" s="242" t="s">
        <v>2227</v>
      </c>
      <c r="E48" s="238"/>
      <c r="F48" s="2538">
        <f>F30</f>
        <v>5.6000000000000001E-2</v>
      </c>
      <c r="G48" s="240" t="s">
        <v>2240</v>
      </c>
    </row>
    <row r="49" spans="1:7" ht="16.5" customHeight="1">
      <c r="A49" s="261" t="s">
        <v>2206</v>
      </c>
      <c r="B49" s="216" t="s">
        <v>2241</v>
      </c>
      <c r="C49" s="238">
        <f ca="1">ROUND((C33+C39+C41+C45)/(1-C40-D41-D45-C48),0)</f>
        <v>5355</v>
      </c>
      <c r="D49" s="238"/>
      <c r="E49" s="238"/>
      <c r="F49" s="270"/>
      <c r="G49" s="240" t="s">
        <v>2242</v>
      </c>
    </row>
    <row r="50" spans="1:7" s="264" customFormat="1" ht="24">
      <c r="A50" s="261" t="s">
        <v>2243</v>
      </c>
      <c r="B50" s="216" t="s">
        <v>2244</v>
      </c>
      <c r="C50" s="238"/>
      <c r="D50" s="238"/>
      <c r="E50" s="238"/>
      <c r="F50" s="270">
        <f>IF('数据-取费表'!B24=0,'数据-取费表'!N16,1)</f>
        <v>1</v>
      </c>
      <c r="G50" s="253" t="s">
        <v>2245</v>
      </c>
    </row>
    <row r="51" spans="1:7" ht="16.5" customHeight="1">
      <c r="A51" s="261" t="s">
        <v>2246</v>
      </c>
      <c r="B51" s="216" t="s">
        <v>2247</v>
      </c>
      <c r="C51" s="238">
        <f ca="1">ROUND(C49*F50,0)</f>
        <v>5355</v>
      </c>
      <c r="D51" s="238"/>
      <c r="E51" s="238"/>
      <c r="F51" s="270"/>
      <c r="G51" s="240" t="s">
        <v>2248</v>
      </c>
    </row>
    <row r="52" spans="1:7" s="214" customFormat="1" ht="16.5" thickBot="1">
      <c r="A52" s="271" t="s">
        <v>2249</v>
      </c>
      <c r="B52" s="272"/>
      <c r="C52" s="273">
        <f ca="1">C31+C51</f>
        <v>18202</v>
      </c>
      <c r="D52" s="272"/>
      <c r="E52" s="272"/>
      <c r="F52" s="272"/>
      <c r="G52" s="274"/>
    </row>
    <row r="55" spans="1:7" ht="15">
      <c r="B55" s="276" t="s">
        <v>2250</v>
      </c>
      <c r="C55" s="277"/>
    </row>
    <row r="56" spans="1:7">
      <c r="B56" s="279" t="s">
        <v>1478</v>
      </c>
      <c r="C56" s="281">
        <f ca="1">1-C57</f>
        <v>0.70599999999999996</v>
      </c>
    </row>
    <row r="57" spans="1:7">
      <c r="B57" s="279" t="s">
        <v>1479</v>
      </c>
      <c r="C57" s="280">
        <f ca="1">ROUND(C51/C52,3)</f>
        <v>0.29399999999999998</v>
      </c>
    </row>
  </sheetData>
  <sheetProtection formatCells="0"/>
  <mergeCells count="1">
    <mergeCell ref="G42:G44"/>
  </mergeCells>
  <phoneticPr fontId="140"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2149</v>
      </c>
      <c r="B1" s="1656"/>
      <c r="C1" s="2047" t="s">
        <v>2251</v>
      </c>
      <c r="D1" s="204"/>
      <c r="E1" s="204"/>
      <c r="F1" s="204"/>
      <c r="G1" s="1288">
        <f>MATCH(B1,'数据-取费表'!A6:A16,0)+5</f>
        <v>7</v>
      </c>
      <c r="H1" s="1192" t="str">
        <f>IF(ISERROR(FIND("住宅",B1)),"非住宅","住宅")</f>
        <v>非住宅</v>
      </c>
    </row>
    <row r="2" spans="1:8" s="206" customFormat="1" ht="18" customHeight="1">
      <c r="A2" s="207" t="s">
        <v>2150</v>
      </c>
      <c r="B2" s="208">
        <f ca="1">ROUND(IF(D2="——",C52/10000,C52/10000-E2),0)</f>
        <v>26076</v>
      </c>
      <c r="C2" s="205" t="s">
        <v>2151</v>
      </c>
      <c r="D2" s="2041" t="s">
        <v>70</v>
      </c>
      <c r="E2" s="1331" t="e">
        <f ca="1">SUMIF(INDIRECT("'"&amp;G2&amp;"'"&amp;"!A:A"),"承租人权益价值",INDIRECT("'"&amp;G2&amp;"'"&amp;"!c:c"))</f>
        <v>#REF!</v>
      </c>
      <c r="F2" s="2042" t="s">
        <v>2151</v>
      </c>
      <c r="G2" s="2043"/>
    </row>
    <row r="3" spans="1:8" s="206" customFormat="1" ht="18" customHeight="1" thickBot="1">
      <c r="A3" s="209" t="s">
        <v>2152</v>
      </c>
      <c r="B3" s="210">
        <f ca="1">ROUND(B2*10000/(IF(B1="",'数据-汇总表'!E3,INDIRECT("'数据-取费表'!k"&amp;$G$1))),0)</f>
        <v>22612</v>
      </c>
      <c r="C3" s="205" t="s">
        <v>2153</v>
      </c>
      <c r="D3" s="205"/>
      <c r="E3" s="205"/>
      <c r="F3" s="205"/>
      <c r="G3" s="205"/>
    </row>
    <row r="4" spans="1:8" s="214" customFormat="1" ht="15.75">
      <c r="A4" s="211" t="s">
        <v>2154</v>
      </c>
      <c r="B4" s="212"/>
      <c r="C4" s="212"/>
      <c r="D4" s="212"/>
      <c r="E4" s="212"/>
      <c r="F4" s="212"/>
      <c r="G4" s="213"/>
    </row>
    <row r="5" spans="1:8" s="220" customFormat="1" ht="13.5" customHeight="1">
      <c r="A5" s="261" t="s">
        <v>2155</v>
      </c>
      <c r="B5" s="216" t="s">
        <v>2156</v>
      </c>
      <c r="C5" s="217">
        <f ca="1">C6+C7+C8</f>
        <v>2537005</v>
      </c>
      <c r="D5" s="217" t="s">
        <v>2157</v>
      </c>
      <c r="E5" s="218" t="s">
        <v>2158</v>
      </c>
      <c r="F5" s="218" t="s">
        <v>2159</v>
      </c>
      <c r="G5" s="219"/>
    </row>
    <row r="6" spans="1:8" s="220" customFormat="1" ht="13.5" customHeight="1">
      <c r="A6" s="886" t="s">
        <v>2160</v>
      </c>
      <c r="B6" s="221" t="s">
        <v>2161</v>
      </c>
      <c r="C6" s="222"/>
      <c r="D6" s="223"/>
      <c r="E6" s="224"/>
      <c r="F6" s="224"/>
      <c r="G6" s="225"/>
    </row>
    <row r="7" spans="1:8" s="220" customFormat="1" ht="13.5" customHeight="1">
      <c r="A7" s="886" t="s">
        <v>2162</v>
      </c>
      <c r="B7" s="221" t="s">
        <v>2163</v>
      </c>
      <c r="C7" s="226">
        <f>ROUND(C6*F7,0)</f>
        <v>0</v>
      </c>
      <c r="D7" s="226"/>
      <c r="E7" s="224"/>
      <c r="F7" s="227">
        <f>IF(项目基本情况!B8="出让",0,'数据-取费表'!B48+'数据-取费表'!B49)</f>
        <v>3.0499999999999999E-2</v>
      </c>
      <c r="G7" s="225"/>
    </row>
    <row r="8" spans="1:8" s="229" customFormat="1">
      <c r="A8" s="886" t="s">
        <v>2164</v>
      </c>
      <c r="B8" s="221" t="s">
        <v>2165</v>
      </c>
      <c r="C8" s="226">
        <f ca="1">IF(G8="已包含在土地购买价格中",0,C9+C10)</f>
        <v>2537005</v>
      </c>
      <c r="D8" s="228"/>
      <c r="E8" s="226"/>
      <c r="F8" s="227"/>
      <c r="G8" s="2044"/>
    </row>
    <row r="9" spans="1:8" s="220" customFormat="1" ht="13.5" customHeight="1">
      <c r="A9" s="887" t="s">
        <v>800</v>
      </c>
      <c r="B9" s="230" t="s">
        <v>2166</v>
      </c>
      <c r="C9" s="231">
        <f ca="1">ROUND(D9*E9,0)</f>
        <v>0</v>
      </c>
      <c r="D9" s="954">
        <f ca="1">IF(B1="",'数据-汇总表'!E5,IF(INDIRECT("'数据-取费表'!c"&amp;$G$1)="住宅",INDIRECT("'数据-取费表'!k"&amp;$G$1),0))</f>
        <v>0</v>
      </c>
      <c r="E9" s="231">
        <f>'数据-取费表'!B27</f>
        <v>220</v>
      </c>
      <c r="F9" s="227"/>
      <c r="G9" s="232"/>
    </row>
    <row r="10" spans="1:8" s="220" customFormat="1" ht="13.5" customHeight="1">
      <c r="A10" s="887" t="s">
        <v>801</v>
      </c>
      <c r="B10" s="230" t="s">
        <v>2168</v>
      </c>
      <c r="C10" s="231">
        <f ca="1">ROUND(D10*E10,0)</f>
        <v>2537005</v>
      </c>
      <c r="D10" s="954">
        <f ca="1">IF(B1="",'数据-汇总表'!E6,IF(INDIRECT("'数据-取费表'!c"&amp;$G$1)="住宅",INDIRECT("'数据-取费表'!s"&amp;$G$1),INDIRECT("'数据-取费表'!k"&amp;$G$1)+INDIRECT("'数据-取费表'!s"&amp;$G$1)))</f>
        <v>11531.84</v>
      </c>
      <c r="E10" s="231">
        <f>'数据-取费表'!B28</f>
        <v>220</v>
      </c>
      <c r="F10" s="227"/>
      <c r="G10" s="232"/>
    </row>
    <row r="11" spans="1:8" s="220" customFormat="1" ht="13.5" hidden="1" customHeight="1">
      <c r="A11" s="233" t="s">
        <v>7</v>
      </c>
      <c r="B11" s="221" t="s">
        <v>2169</v>
      </c>
      <c r="C11" s="217"/>
      <c r="D11" s="956"/>
      <c r="E11" s="224"/>
      <c r="F11" s="224"/>
      <c r="G11" s="225"/>
    </row>
    <row r="12" spans="1:8" s="220" customFormat="1" ht="13.5" hidden="1" customHeight="1">
      <c r="A12" s="233" t="s">
        <v>8</v>
      </c>
      <c r="B12" s="221" t="s">
        <v>2252</v>
      </c>
      <c r="C12" s="217">
        <v>0</v>
      </c>
      <c r="D12" s="956"/>
      <c r="E12" s="234"/>
      <c r="F12" s="227">
        <v>3.0499999999999999E-2</v>
      </c>
      <c r="G12" s="225"/>
    </row>
    <row r="13" spans="1:8" s="220" customFormat="1" ht="13.5" hidden="1" customHeight="1">
      <c r="A13" s="233" t="s">
        <v>9</v>
      </c>
      <c r="B13" s="221" t="s">
        <v>2253</v>
      </c>
      <c r="C13" s="217"/>
      <c r="D13" s="956"/>
      <c r="E13" s="224"/>
      <c r="F13" s="224"/>
      <c r="G13" s="225"/>
    </row>
    <row r="14" spans="1:8" s="220" customFormat="1" ht="13.5" hidden="1" customHeight="1">
      <c r="A14" s="233" t="s">
        <v>10</v>
      </c>
      <c r="B14" s="221" t="s">
        <v>2165</v>
      </c>
      <c r="C14" s="217"/>
      <c r="D14" s="956"/>
      <c r="E14" s="224"/>
      <c r="F14" s="224"/>
      <c r="G14" s="225" t="s">
        <v>2254</v>
      </c>
    </row>
    <row r="15" spans="1:8" s="220" customFormat="1" ht="13.5" hidden="1" customHeight="1">
      <c r="A15" s="233" t="s">
        <v>11</v>
      </c>
      <c r="B15" s="221" t="s">
        <v>2255</v>
      </c>
      <c r="C15" s="226"/>
      <c r="D15" s="956"/>
      <c r="E15" s="224"/>
      <c r="F15" s="224"/>
      <c r="G15" s="225" t="s">
        <v>2256</v>
      </c>
    </row>
    <row r="16" spans="1:8" s="220" customFormat="1" ht="13.5" hidden="1" customHeight="1">
      <c r="A16" s="233" t="s">
        <v>12</v>
      </c>
      <c r="B16" s="221" t="s">
        <v>2165</v>
      </c>
      <c r="C16" s="226"/>
      <c r="D16" s="956"/>
      <c r="E16" s="224"/>
      <c r="F16" s="224"/>
      <c r="G16" s="225"/>
    </row>
    <row r="17" spans="1:7" s="220" customFormat="1" ht="13.5" hidden="1" customHeight="1">
      <c r="A17" s="233" t="s">
        <v>13</v>
      </c>
      <c r="B17" s="221" t="s">
        <v>2257</v>
      </c>
      <c r="C17" s="235"/>
      <c r="D17" s="957"/>
      <c r="E17" s="235"/>
      <c r="F17" s="235"/>
      <c r="G17" s="225" t="s">
        <v>2256</v>
      </c>
    </row>
    <row r="18" spans="1:7" s="220" customFormat="1" ht="13.5" hidden="1" customHeight="1">
      <c r="A18" s="233" t="s">
        <v>14</v>
      </c>
      <c r="B18" s="221" t="s">
        <v>2258</v>
      </c>
      <c r="C18" s="226">
        <v>0</v>
      </c>
      <c r="D18" s="956"/>
      <c r="E18" s="224"/>
      <c r="F18" s="227">
        <v>3.0499999999999999E-2</v>
      </c>
      <c r="G18" s="225" t="s">
        <v>2259</v>
      </c>
    </row>
    <row r="19" spans="1:7" s="229" customFormat="1" ht="13.5" customHeight="1">
      <c r="A19" s="261" t="s">
        <v>2260</v>
      </c>
      <c r="B19" s="216" t="s">
        <v>2261</v>
      </c>
      <c r="C19" s="217">
        <f ca="1">IF(G19="已包含在土地取得成本中","0",ROUND(D19*E19,0))</f>
        <v>2306368</v>
      </c>
      <c r="D19" s="958">
        <f ca="1">D9+D10</f>
        <v>11531.84</v>
      </c>
      <c r="E19" s="217">
        <f>'数据-取费表'!B31</f>
        <v>200</v>
      </c>
      <c r="F19" s="237"/>
      <c r="G19" s="2044"/>
    </row>
    <row r="20" spans="1:7" s="220" customFormat="1" ht="13.5" customHeight="1">
      <c r="A20" s="261" t="s">
        <v>2262</v>
      </c>
      <c r="B20" s="216" t="s">
        <v>2263</v>
      </c>
      <c r="C20" s="238">
        <f ca="1">ROUND((C5+C19)*F20,0)</f>
        <v>145301</v>
      </c>
      <c r="D20" s="238"/>
      <c r="E20" s="238"/>
      <c r="F20" s="239">
        <f>'数据-取费表'!B37</f>
        <v>0.03</v>
      </c>
      <c r="G20" s="240" t="s">
        <v>2264</v>
      </c>
    </row>
    <row r="21" spans="1:7" s="220" customFormat="1" ht="13.5" customHeight="1">
      <c r="A21" s="261" t="s">
        <v>2265</v>
      </c>
      <c r="B21" s="216" t="s">
        <v>2266</v>
      </c>
      <c r="C21" s="241">
        <f>F21</f>
        <v>0.03</v>
      </c>
      <c r="D21" s="242" t="s">
        <v>2267</v>
      </c>
      <c r="E21" s="238"/>
      <c r="F21" s="239">
        <f>'数据-取费表'!B38</f>
        <v>0.03</v>
      </c>
      <c r="G21" s="240" t="s">
        <v>2268</v>
      </c>
    </row>
    <row r="22" spans="1:7" s="220" customFormat="1" ht="13.5" customHeight="1">
      <c r="A22" s="261" t="s">
        <v>2269</v>
      </c>
      <c r="B22" s="216" t="s">
        <v>2270</v>
      </c>
      <c r="C22" s="1289">
        <f ca="1">ROUND(SUM(C23:C25),0)</f>
        <v>733958</v>
      </c>
      <c r="D22" s="241">
        <f ca="1">C26</f>
        <v>2.2000000000000001E-3</v>
      </c>
      <c r="E22" s="242" t="s">
        <v>2267</v>
      </c>
      <c r="F22" s="243">
        <f ca="1">'数据-取费表'!B40</f>
        <v>4.7500000000000001E-2</v>
      </c>
      <c r="G22" s="240" t="str">
        <f>IF('数据-取费表'!B22&lt;=1,"单利计息","复利计息")</f>
        <v>复利计息</v>
      </c>
    </row>
    <row r="23" spans="1:7" s="220" customFormat="1" ht="13.5" customHeight="1">
      <c r="A23" s="888" t="s">
        <v>2160</v>
      </c>
      <c r="B23" s="221" t="s">
        <v>2271</v>
      </c>
      <c r="C23" s="1290">
        <f ca="1">ROUND(IF('数据-取费表'!B22&lt;=1,C5*F22*'数据-取费表'!B22,C5*(POWER((1+F22),'数据-取费表'!B22)-1)),0)</f>
        <v>378967</v>
      </c>
      <c r="D23" s="244"/>
      <c r="E23" s="244"/>
      <c r="F23" s="245"/>
      <c r="G23" s="246" t="s">
        <v>2272</v>
      </c>
    </row>
    <row r="24" spans="1:7" s="220" customFormat="1" ht="13.5" customHeight="1">
      <c r="A24" s="888" t="s">
        <v>2162</v>
      </c>
      <c r="B24" s="221" t="s">
        <v>2273</v>
      </c>
      <c r="C24" s="1290">
        <f ca="1">ROUND(IF('数据-取费表'!B22&lt;=1,C19*F22*('数据-取费表'!B19/2+'数据-取费表'!B20),C19*(POWER((1+F22),('数据-取费表'!B19/2+'数据-取费表'!B20))-1)),0)</f>
        <v>344516</v>
      </c>
      <c r="D24" s="244"/>
      <c r="E24" s="244"/>
      <c r="F24" s="245"/>
      <c r="G24" s="246" t="s">
        <v>2274</v>
      </c>
    </row>
    <row r="25" spans="1:7" s="220" customFormat="1" ht="24">
      <c r="A25" s="888" t="s">
        <v>2164</v>
      </c>
      <c r="B25" s="221" t="s">
        <v>2275</v>
      </c>
      <c r="C25" s="1290">
        <f ca="1">ROUND(IF('数据-取费表'!B22&lt;=1,C20*F22*'数据-取费表'!B22/2,C20*(POWER((1+F22),'数据-取费表'!B22/2)-1)),0)</f>
        <v>10475</v>
      </c>
      <c r="D25" s="244"/>
      <c r="E25" s="247"/>
      <c r="F25" s="245"/>
      <c r="G25" s="248" t="s">
        <v>2276</v>
      </c>
    </row>
    <row r="26" spans="1:7" s="220" customFormat="1">
      <c r="A26" s="888" t="s">
        <v>795</v>
      </c>
      <c r="B26" s="221" t="s">
        <v>2199</v>
      </c>
      <c r="C26" s="244">
        <f ca="1">ROUND(IF('数据-取费表'!B22&lt;=1,F21*F22*'数据-取费表'!B22/2,F21*(POWER((1+F22),'数据-取费表'!B22/2)-1)),4)</f>
        <v>2.2000000000000001E-3</v>
      </c>
      <c r="D26" s="244"/>
      <c r="E26" s="247"/>
      <c r="F26" s="245"/>
      <c r="G26" s="249"/>
    </row>
    <row r="27" spans="1:7" s="220" customFormat="1" ht="24.75">
      <c r="A27" s="261" t="s">
        <v>2200</v>
      </c>
      <c r="B27" s="250" t="s">
        <v>2201</v>
      </c>
      <c r="C27" s="251">
        <f ca="1">C28</f>
        <v>1496602</v>
      </c>
      <c r="D27" s="241">
        <f ca="1">C29</f>
        <v>8.9999999999999993E-3</v>
      </c>
      <c r="E27" s="242" t="s">
        <v>2202</v>
      </c>
      <c r="F27" s="252">
        <f ca="1">IF(B1="",'数据-取费表'!Q16,INDIRECT("'数据-取费表'!q"&amp;$G$1))</f>
        <v>0.3</v>
      </c>
      <c r="G27" s="253" t="s">
        <v>2203</v>
      </c>
    </row>
    <row r="28" spans="1:7" s="220" customFormat="1" ht="13.5" customHeight="1">
      <c r="A28" s="888" t="s">
        <v>791</v>
      </c>
      <c r="B28" s="254" t="s">
        <v>2204</v>
      </c>
      <c r="C28" s="255">
        <f ca="1">ROUND((C5+C19+C20)*F27,0)</f>
        <v>1496602</v>
      </c>
      <c r="D28" s="241"/>
      <c r="E28" s="242"/>
      <c r="F28" s="252"/>
      <c r="G28" s="253"/>
    </row>
    <row r="29" spans="1:7" s="220" customFormat="1" ht="13.5" customHeight="1">
      <c r="A29" s="888" t="s">
        <v>792</v>
      </c>
      <c r="B29" s="254" t="s">
        <v>2205</v>
      </c>
      <c r="C29" s="244">
        <f ca="1">ROUND(C21*F27,4)</f>
        <v>8.9999999999999993E-3</v>
      </c>
      <c r="D29" s="241"/>
      <c r="E29" s="242"/>
      <c r="F29" s="252"/>
      <c r="G29" s="253"/>
    </row>
    <row r="30" spans="1:7" s="220" customFormat="1" ht="13.5" customHeight="1">
      <c r="A30" s="261" t="s">
        <v>2206</v>
      </c>
      <c r="B30" s="216" t="s">
        <v>2207</v>
      </c>
      <c r="C30" s="241">
        <f>ROUND(F30/(1+'数据-取费表'!C42),4)</f>
        <v>5.33E-2</v>
      </c>
      <c r="D30" s="242" t="s">
        <v>2202</v>
      </c>
      <c r="E30" s="247"/>
      <c r="F30" s="243">
        <f>'数据-取费表'!B41</f>
        <v>5.6000000000000001E-2</v>
      </c>
      <c r="G30" s="240" t="s">
        <v>2208</v>
      </c>
    </row>
    <row r="31" spans="1:7" ht="16.5" customHeight="1">
      <c r="A31" s="215">
        <v>1</v>
      </c>
      <c r="B31" s="216" t="s">
        <v>2209</v>
      </c>
      <c r="C31" s="217">
        <f ca="1">ROUND((C5+C19+C20+C22+C27)/(1-C21-D22-D27-C30),0)</f>
        <v>7972649</v>
      </c>
      <c r="D31" s="236"/>
      <c r="E31" s="217"/>
      <c r="F31" s="256"/>
      <c r="G31" s="240" t="s">
        <v>2210</v>
      </c>
    </row>
    <row r="32" spans="1:7" s="214" customFormat="1" ht="15.75">
      <c r="A32" s="258" t="s">
        <v>2277</v>
      </c>
      <c r="B32" s="259"/>
      <c r="C32" s="259"/>
      <c r="D32" s="259"/>
      <c r="E32" s="259"/>
      <c r="F32" s="259"/>
      <c r="G32" s="260"/>
    </row>
    <row r="33" spans="1:7" s="220" customFormat="1" ht="13.5" customHeight="1">
      <c r="A33" s="261" t="s">
        <v>782</v>
      </c>
      <c r="B33" s="216" t="s">
        <v>2278</v>
      </c>
      <c r="C33" s="262">
        <f ca="1">SUM(C34:C38)</f>
        <v>161964693</v>
      </c>
      <c r="D33" s="238"/>
      <c r="E33" s="218"/>
      <c r="F33" s="247"/>
      <c r="G33" s="240"/>
    </row>
    <row r="34" spans="1:7" s="264" customFormat="1" ht="13.5" customHeight="1">
      <c r="A34" s="888" t="s">
        <v>791</v>
      </c>
      <c r="B34" s="221" t="s">
        <v>2213</v>
      </c>
      <c r="C34" s="226">
        <f ca="1">ROUND(IF(B1="",SUMPRODUCT('数据-取费表'!K6:K14,'数据-取费表'!L6:L14),INDIRECT("'数据-取费表'!l"&amp;$G$1)*INDIRECT("'数据-取费表'!k"&amp;$G$1)+'数据-取费表'!L14*INDIRECT("'数据-取费表'!S"&amp;$G$1)),0)</f>
        <v>149913920</v>
      </c>
      <c r="D34" s="223"/>
      <c r="E34" s="226"/>
      <c r="F34" s="263"/>
      <c r="G34" s="225"/>
    </row>
    <row r="35" spans="1:7" ht="13.5" customHeight="1">
      <c r="A35" s="888" t="s">
        <v>796</v>
      </c>
      <c r="B35" s="221" t="s">
        <v>2215</v>
      </c>
      <c r="C35" s="226">
        <f ca="1">ROUND(C34*F35,0)</f>
        <v>7495696</v>
      </c>
      <c r="D35" s="226"/>
      <c r="E35" s="226"/>
      <c r="F35" s="265">
        <f>'数据-取费表'!B33</f>
        <v>0.05</v>
      </c>
      <c r="G35" s="225" t="s">
        <v>2216</v>
      </c>
    </row>
    <row r="36" spans="1:7" ht="24">
      <c r="A36" s="888" t="s">
        <v>797</v>
      </c>
      <c r="B36" s="221" t="s">
        <v>2217</v>
      </c>
      <c r="C36" s="226">
        <f ca="1">ROUND(IF(B1="",SUM('数据-取费表'!AP6:AP13)*F36,IF(INDIRECT("'数据-取费表'!c"&amp;$G$1)="住宅",INDIRECT("'数据-取费表'!k"&amp;$G$1)*INDIRECT("'数据-取费表'!l"&amp;$G$1)*F36,0)),0)</f>
        <v>0</v>
      </c>
      <c r="D36" s="226"/>
      <c r="E36" s="226"/>
      <c r="F36" s="265">
        <f>'数据-取费表'!B34</f>
        <v>0</v>
      </c>
      <c r="G36" s="266" t="s">
        <v>2218</v>
      </c>
    </row>
    <row r="37" spans="1:7" s="264" customFormat="1" ht="13.5" customHeight="1">
      <c r="A37" s="888" t="s">
        <v>798</v>
      </c>
      <c r="B37" s="221" t="s">
        <v>2219</v>
      </c>
      <c r="C37" s="255">
        <f ca="1">ROUND(E37*D37,0)</f>
        <v>2306368</v>
      </c>
      <c r="D37" s="223">
        <f ca="1">D19</f>
        <v>11531.84</v>
      </c>
      <c r="E37" s="255">
        <f>'数据-取费表'!B35</f>
        <v>200</v>
      </c>
      <c r="F37" s="265"/>
      <c r="G37" s="267"/>
    </row>
    <row r="38" spans="1:7" ht="13.5" customHeight="1">
      <c r="A38" s="888" t="s">
        <v>799</v>
      </c>
      <c r="B38" s="221" t="s">
        <v>2221</v>
      </c>
      <c r="C38" s="226">
        <f ca="1">ROUND(C34*F38,0)</f>
        <v>2248709</v>
      </c>
      <c r="D38" s="226"/>
      <c r="E38" s="226"/>
      <c r="F38" s="265">
        <f>'数据-取费表'!B36</f>
        <v>1.4999999999999999E-2</v>
      </c>
      <c r="G38" s="225" t="s">
        <v>2216</v>
      </c>
    </row>
    <row r="39" spans="1:7" s="220" customFormat="1" ht="13.5" customHeight="1">
      <c r="A39" s="261" t="s">
        <v>2222</v>
      </c>
      <c r="B39" s="216" t="s">
        <v>2223</v>
      </c>
      <c r="C39" s="238">
        <f ca="1">ROUND(C33*F20,0)</f>
        <v>4858941</v>
      </c>
      <c r="D39" s="238"/>
      <c r="E39" s="238"/>
      <c r="F39" s="2537">
        <f>F20</f>
        <v>0.03</v>
      </c>
      <c r="G39" s="240" t="s">
        <v>2224</v>
      </c>
    </row>
    <row r="40" spans="1:7" s="220" customFormat="1" ht="13.5" customHeight="1">
      <c r="A40" s="261" t="s">
        <v>2225</v>
      </c>
      <c r="B40" s="216" t="s">
        <v>2226</v>
      </c>
      <c r="C40" s="1497">
        <f>F21</f>
        <v>0.03</v>
      </c>
      <c r="D40" s="242" t="s">
        <v>2227</v>
      </c>
      <c r="E40" s="238"/>
      <c r="F40" s="2537">
        <f>F21</f>
        <v>0.03</v>
      </c>
      <c r="G40" s="240" t="s">
        <v>2228</v>
      </c>
    </row>
    <row r="41" spans="1:7" s="220" customFormat="1" ht="13.5" customHeight="1">
      <c r="A41" s="261" t="s">
        <v>2229</v>
      </c>
      <c r="B41" s="216" t="s">
        <v>2230</v>
      </c>
      <c r="C41" s="238">
        <f ca="1">ROUND(SUM(C42:C43),0)</f>
        <v>12026235</v>
      </c>
      <c r="D41" s="241">
        <f ca="1">C44</f>
        <v>2.2000000000000001E-3</v>
      </c>
      <c r="E41" s="242" t="s">
        <v>2227</v>
      </c>
      <c r="F41" s="2538">
        <f ca="1">F22</f>
        <v>4.7500000000000001E-2</v>
      </c>
      <c r="G41" s="240" t="str">
        <f>IF('数据-取费表'!B22&lt;=1,"单利计息","复利计息")</f>
        <v>复利计息</v>
      </c>
    </row>
    <row r="42" spans="1:7" ht="13.5" customHeight="1">
      <c r="A42" s="888" t="s">
        <v>791</v>
      </c>
      <c r="B42" s="221" t="s">
        <v>2231</v>
      </c>
      <c r="C42" s="244">
        <f ca="1">ROUND(IF('数据-取费表'!B22&lt;=1,C33*F22*'数据-取费表'!B20/2,C33*(POWER((1+F22),'数据-取费表'!B20/2)-1)),0)</f>
        <v>11675956</v>
      </c>
      <c r="D42" s="244"/>
      <c r="E42" s="244"/>
      <c r="F42" s="245"/>
      <c r="G42" s="3372" t="s">
        <v>2279</v>
      </c>
    </row>
    <row r="43" spans="1:7" ht="13.5" customHeight="1">
      <c r="A43" s="888" t="s">
        <v>792</v>
      </c>
      <c r="B43" s="221" t="s">
        <v>2233</v>
      </c>
      <c r="C43" s="244">
        <f ca="1">ROUND(IF('数据-取费表'!B22&lt;=1,C39*F22*'数据-取费表'!B20/2,C39*(POWER((1+F22),'数据-取费表'!B20/2)-1)),0)</f>
        <v>350279</v>
      </c>
      <c r="D43" s="244"/>
      <c r="E43" s="244"/>
      <c r="F43" s="245"/>
      <c r="G43" s="3373"/>
    </row>
    <row r="44" spans="1:7" ht="13.5" customHeight="1">
      <c r="A44" s="888" t="s">
        <v>793</v>
      </c>
      <c r="B44" s="221" t="s">
        <v>2234</v>
      </c>
      <c r="C44" s="244">
        <f ca="1">ROUND(IF('数据-取费表'!B22&lt;=1,C40*F22*'数据-取费表'!B20/2,C40*(POWER((1+F22),'数据-取费表'!B20/2)-1)),4)</f>
        <v>2.2000000000000001E-3</v>
      </c>
      <c r="D44" s="244"/>
      <c r="E44" s="244"/>
      <c r="F44" s="245"/>
      <c r="G44" s="3374"/>
    </row>
    <row r="45" spans="1:7" s="220" customFormat="1" ht="13.5" customHeight="1">
      <c r="A45" s="261" t="s">
        <v>2235</v>
      </c>
      <c r="B45" s="250" t="s">
        <v>2201</v>
      </c>
      <c r="C45" s="251">
        <f ca="1">C46</f>
        <v>50047090</v>
      </c>
      <c r="D45" s="241">
        <f ca="1">C47</f>
        <v>8.9999999999999993E-3</v>
      </c>
      <c r="E45" s="242" t="s">
        <v>2227</v>
      </c>
      <c r="F45" s="2539">
        <f ca="1">F27</f>
        <v>0.3</v>
      </c>
      <c r="G45" s="253" t="s">
        <v>2236</v>
      </c>
    </row>
    <row r="46" spans="1:7" s="220" customFormat="1" ht="13.5" customHeight="1">
      <c r="A46" s="888" t="s">
        <v>791</v>
      </c>
      <c r="B46" s="254" t="s">
        <v>2237</v>
      </c>
      <c r="C46" s="255">
        <f ca="1">ROUND((C33+C39)*F27,0)</f>
        <v>50047090</v>
      </c>
      <c r="D46" s="269"/>
      <c r="E46" s="242"/>
      <c r="F46" s="252"/>
      <c r="G46" s="253"/>
    </row>
    <row r="47" spans="1:7" s="220" customFormat="1" ht="13.5" customHeight="1">
      <c r="A47" s="888" t="s">
        <v>792</v>
      </c>
      <c r="B47" s="254" t="s">
        <v>2238</v>
      </c>
      <c r="C47" s="244">
        <f ca="1">ROUND(C40*F27,4)</f>
        <v>8.9999999999999993E-3</v>
      </c>
      <c r="D47" s="269"/>
      <c r="E47" s="242"/>
      <c r="F47" s="252"/>
      <c r="G47" s="253"/>
    </row>
    <row r="48" spans="1:7" s="220" customFormat="1" ht="13.5" customHeight="1">
      <c r="A48" s="261" t="s">
        <v>2200</v>
      </c>
      <c r="B48" s="216" t="s">
        <v>2239</v>
      </c>
      <c r="C48" s="268">
        <f>ROUND(F30/(1+'数据-取费表'!C42),4)</f>
        <v>5.33E-2</v>
      </c>
      <c r="D48" s="242" t="s">
        <v>2227</v>
      </c>
      <c r="E48" s="238"/>
      <c r="F48" s="2538">
        <f>F30</f>
        <v>5.6000000000000001E-2</v>
      </c>
      <c r="G48" s="240" t="s">
        <v>2240</v>
      </c>
    </row>
    <row r="49" spans="1:7" ht="16.5" customHeight="1">
      <c r="A49" s="261" t="s">
        <v>2206</v>
      </c>
      <c r="B49" s="216" t="s">
        <v>2280</v>
      </c>
      <c r="C49" s="238">
        <f ca="1">ROUND((C33+C39+C41+C45)/(1-C40-D41-D45-C48),0)</f>
        <v>252785156</v>
      </c>
      <c r="D49" s="238"/>
      <c r="E49" s="238"/>
      <c r="F49" s="270"/>
      <c r="G49" s="240" t="s">
        <v>2242</v>
      </c>
    </row>
    <row r="50" spans="1:7" s="264" customFormat="1">
      <c r="A50" s="261" t="s">
        <v>2243</v>
      </c>
      <c r="B50" s="216" t="s">
        <v>2244</v>
      </c>
      <c r="C50" s="238"/>
      <c r="D50" s="238"/>
      <c r="E50" s="238"/>
      <c r="F50" s="270">
        <f>IF('数据-取费表'!B24=0,'数据-取费表'!N16,1)</f>
        <v>1</v>
      </c>
      <c r="G50" s="253"/>
    </row>
    <row r="51" spans="1:7" ht="16.5" customHeight="1">
      <c r="A51" s="261" t="s">
        <v>2246</v>
      </c>
      <c r="B51" s="216" t="s">
        <v>2281</v>
      </c>
      <c r="C51" s="238">
        <f ca="1">ROUND(C49*F50,0)</f>
        <v>252785156</v>
      </c>
      <c r="D51" s="238"/>
      <c r="E51" s="238"/>
      <c r="F51" s="270"/>
      <c r="G51" s="240" t="s">
        <v>2248</v>
      </c>
    </row>
    <row r="52" spans="1:7" s="214" customFormat="1" ht="16.5" thickBot="1">
      <c r="A52" s="271" t="s">
        <v>2249</v>
      </c>
      <c r="B52" s="272"/>
      <c r="C52" s="273">
        <f ca="1">C31+C51</f>
        <v>260757805</v>
      </c>
      <c r="D52" s="272"/>
      <c r="E52" s="272"/>
      <c r="F52" s="272"/>
      <c r="G52" s="274"/>
    </row>
    <row r="55" spans="1:7" ht="15">
      <c r="B55" s="276" t="s">
        <v>2250</v>
      </c>
      <c r="C55" s="277"/>
    </row>
    <row r="56" spans="1:7">
      <c r="B56" s="279" t="s">
        <v>1478</v>
      </c>
      <c r="C56" s="281">
        <f ca="1">1-C57</f>
        <v>3.1000000000000028E-2</v>
      </c>
    </row>
    <row r="57" spans="1:7">
      <c r="B57" s="279" t="s">
        <v>1479</v>
      </c>
      <c r="C57" s="280">
        <f ca="1">ROUND(C51/C52,3)</f>
        <v>0.96899999999999997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M20" sqref="M2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2150</v>
      </c>
      <c r="B2" s="627">
        <f>F66</f>
        <v>9735</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2152</v>
      </c>
      <c r="B3" s="566">
        <f>ROUND(IF(D3="",B2*10000/'数据-汇总表'!E3,B2*10000/D3),0)</f>
        <v>8442</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2465</v>
      </c>
      <c r="B4" s="362"/>
      <c r="C4" s="3379" t="s">
        <v>2466</v>
      </c>
      <c r="D4" s="3392"/>
      <c r="E4" s="3393" t="s">
        <v>2467</v>
      </c>
      <c r="F4" s="3394"/>
      <c r="G4" s="3379" t="s">
        <v>2468</v>
      </c>
      <c r="H4" s="3392"/>
      <c r="I4" s="3379" t="s">
        <v>2469</v>
      </c>
      <c r="J4" s="3392"/>
      <c r="K4" s="567" t="s">
        <v>2470</v>
      </c>
      <c r="L4" s="2946"/>
      <c r="M4" s="2947"/>
      <c r="N4" s="2947"/>
      <c r="O4" s="2947"/>
      <c r="P4" s="3395" t="s">
        <v>2471</v>
      </c>
      <c r="Q4" s="3396"/>
      <c r="R4" s="3401" t="s">
        <v>2467</v>
      </c>
      <c r="S4" s="3402"/>
      <c r="T4" s="3401" t="s">
        <v>2468</v>
      </c>
      <c r="U4" s="3402"/>
      <c r="V4" s="3388" t="s">
        <v>2469</v>
      </c>
      <c r="W4" s="3388"/>
      <c r="X4" s="1541"/>
      <c r="Y4" s="3401" t="s">
        <v>2471</v>
      </c>
      <c r="Z4" s="3402"/>
      <c r="AA4" s="3389" t="s">
        <v>2467</v>
      </c>
      <c r="AB4" s="3390" t="s">
        <v>2468</v>
      </c>
      <c r="AC4" s="3389" t="s">
        <v>2469</v>
      </c>
    </row>
    <row r="5" spans="1:30" ht="15">
      <c r="A5" s="364"/>
      <c r="B5" s="365"/>
      <c r="C5" s="3409" t="s">
        <v>2362</v>
      </c>
      <c r="D5" s="3410"/>
      <c r="E5" s="3416" t="str">
        <f>土地案例!A2</f>
        <v>海棠湾林旺片区控规F-1-3地块</v>
      </c>
      <c r="F5" s="3417"/>
      <c r="G5" s="3409" t="str">
        <f>土地案例!A3</f>
        <v>海棠湾林旺片区G-01-02地块</v>
      </c>
      <c r="H5" s="3410"/>
      <c r="I5" s="3409" t="str">
        <f>土地案例!A6</f>
        <v>海棠湾B1片区控规B1-c1-25地块</v>
      </c>
      <c r="J5" s="3410"/>
      <c r="K5" s="567"/>
      <c r="L5" s="2946"/>
      <c r="M5" s="2947"/>
      <c r="N5" s="2947"/>
      <c r="O5" s="2947"/>
      <c r="P5" s="3397"/>
      <c r="Q5" s="3398"/>
      <c r="R5" s="3403"/>
      <c r="S5" s="3404"/>
      <c r="T5" s="3403"/>
      <c r="U5" s="3404"/>
      <c r="V5" s="3388"/>
      <c r="W5" s="3388"/>
      <c r="X5" s="1541"/>
      <c r="Y5" s="3403"/>
      <c r="Z5" s="3404"/>
      <c r="AA5" s="3390"/>
      <c r="AB5" s="3390"/>
      <c r="AC5" s="3390"/>
    </row>
    <row r="6" spans="1:30" ht="15.75" thickBot="1">
      <c r="A6" s="366"/>
      <c r="B6" s="367"/>
      <c r="C6" s="3407" t="s">
        <v>2366</v>
      </c>
      <c r="D6" s="3408"/>
      <c r="E6" s="3414" t="s">
        <v>2366</v>
      </c>
      <c r="F6" s="3415"/>
      <c r="G6" s="3407" t="s">
        <v>2366</v>
      </c>
      <c r="H6" s="3408"/>
      <c r="I6" s="3407" t="s">
        <v>2366</v>
      </c>
      <c r="J6" s="3408"/>
      <c r="K6" s="567" t="s">
        <v>2367</v>
      </c>
      <c r="L6" s="2946"/>
      <c r="M6" s="2947"/>
      <c r="N6" s="2947"/>
      <c r="O6" s="2947"/>
      <c r="P6" s="3399"/>
      <c r="Q6" s="3400"/>
      <c r="R6" s="3403"/>
      <c r="S6" s="3404"/>
      <c r="T6" s="3405"/>
      <c r="U6" s="3406"/>
      <c r="V6" s="3388"/>
      <c r="W6" s="3388"/>
      <c r="X6" s="1541"/>
      <c r="Y6" s="3405"/>
      <c r="Z6" s="3406"/>
      <c r="AA6" s="3391"/>
      <c r="AB6" s="3391"/>
      <c r="AC6" s="3391"/>
    </row>
    <row r="7" spans="1:30" s="113" customFormat="1" ht="15.75" thickBot="1">
      <c r="A7" s="368" t="s">
        <v>2368</v>
      </c>
      <c r="B7" s="369"/>
      <c r="C7" s="370">
        <f>'数据-取费表'!B2</f>
        <v>44203</v>
      </c>
      <c r="D7" s="371">
        <v>100</v>
      </c>
      <c r="E7" s="372" t="str">
        <f>土地案例!I2</f>
        <v>2020-11-20</v>
      </c>
      <c r="F7" s="373">
        <f>SUMIF(70:70,YEAR(E7)&amp;"-"&amp;INT((MONTH(E7)+2)/3),71:71)</f>
        <v>99.5</v>
      </c>
      <c r="G7" s="2162" t="str">
        <f>土地案例!J3</f>
        <v>2020-09-25</v>
      </c>
      <c r="H7" s="371">
        <f>SUMIF(70:70,YEAR(G7)&amp;"-"&amp;INT((MONTH(G7)+2)/3),71:71)</f>
        <v>99</v>
      </c>
      <c r="I7" s="2162" t="str">
        <f>土地案例!J6</f>
        <v>2020-04-28</v>
      </c>
      <c r="J7" s="371">
        <f>SUMIF(70:70,YEAR(I7)&amp;"-"&amp;INT((MONTH(I7)+2)/3),71:71)</f>
        <v>98.5</v>
      </c>
      <c r="K7" s="568"/>
      <c r="L7" s="2948"/>
      <c r="M7" s="2949"/>
      <c r="N7" s="2949"/>
      <c r="O7" s="2949"/>
      <c r="P7" s="3411" t="s">
        <v>2369</v>
      </c>
      <c r="Q7" s="3413"/>
      <c r="R7" s="710" t="s">
        <v>17</v>
      </c>
      <c r="S7" s="711">
        <f t="shared" ref="S7:S15" si="0">F7</f>
        <v>99.5</v>
      </c>
      <c r="T7" s="710" t="s">
        <v>17</v>
      </c>
      <c r="U7" s="711">
        <f t="shared" ref="U7:U15" si="1">H7</f>
        <v>99</v>
      </c>
      <c r="V7" s="710" t="s">
        <v>17</v>
      </c>
      <c r="W7" s="711">
        <f t="shared" ref="W7:W15" si="2">J7</f>
        <v>98.5</v>
      </c>
      <c r="X7" s="712"/>
      <c r="Y7" s="3411" t="s">
        <v>2369</v>
      </c>
      <c r="Z7" s="3412"/>
      <c r="AA7" s="713">
        <f>D7/F7</f>
        <v>1.0050251256281406</v>
      </c>
      <c r="AB7" s="713">
        <f>D7/H7</f>
        <v>1.0101010101010102</v>
      </c>
      <c r="AC7" s="713">
        <f>D7/J7</f>
        <v>1.015228426395939</v>
      </c>
    </row>
    <row r="8" spans="1:30" s="113" customFormat="1" ht="15.75" thickBot="1">
      <c r="A8" s="368" t="s">
        <v>2370</v>
      </c>
      <c r="B8" s="369"/>
      <c r="C8" s="374" t="s">
        <v>2371</v>
      </c>
      <c r="D8" s="371">
        <v>100</v>
      </c>
      <c r="E8" s="374" t="s">
        <v>2371</v>
      </c>
      <c r="F8" s="373">
        <f>SUMIF(73:73,E8,74:74)-SUMIF(73:73,C8,74:74)+100</f>
        <v>100</v>
      </c>
      <c r="G8" s="374" t="s">
        <v>2371</v>
      </c>
      <c r="H8" s="371">
        <f>SUMIF(73:73,G8,74:74)-SUMIF(73:73,C8,74:74)+100</f>
        <v>100</v>
      </c>
      <c r="I8" s="374" t="s">
        <v>2371</v>
      </c>
      <c r="J8" s="371">
        <f>SUMIF(73:73,I8,74:74)-SUMIF(73:73,C8,74:74)+100</f>
        <v>100</v>
      </c>
      <c r="K8" s="568"/>
      <c r="L8" s="2948"/>
      <c r="M8" s="2949"/>
      <c r="N8" s="2949"/>
      <c r="O8" s="2949"/>
      <c r="P8" s="3411" t="s">
        <v>2372</v>
      </c>
      <c r="Q8" s="3412"/>
      <c r="R8" s="710" t="s">
        <v>17</v>
      </c>
      <c r="S8" s="711">
        <f t="shared" si="0"/>
        <v>100</v>
      </c>
      <c r="T8" s="710" t="s">
        <v>17</v>
      </c>
      <c r="U8" s="711">
        <f t="shared" si="1"/>
        <v>100</v>
      </c>
      <c r="V8" s="710" t="s">
        <v>17</v>
      </c>
      <c r="W8" s="711">
        <f t="shared" si="2"/>
        <v>100</v>
      </c>
      <c r="X8" s="712"/>
      <c r="Y8" s="3411" t="s">
        <v>2372</v>
      </c>
      <c r="Z8" s="3412"/>
      <c r="AA8" s="713">
        <f t="shared" ref="AA8:AA45" si="3">D8/F8</f>
        <v>1</v>
      </c>
      <c r="AB8" s="713">
        <f t="shared" ref="AB8:AB45" si="4">D8/H8</f>
        <v>1</v>
      </c>
      <c r="AC8" s="713">
        <f t="shared" ref="AC8:AC45" si="5">D8/J8</f>
        <v>1</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82" t="s">
        <v>2375</v>
      </c>
      <c r="Q9" s="1529" t="str">
        <f t="shared" ref="Q9:Q15" si="6">B9</f>
        <v>用途</v>
      </c>
      <c r="R9" s="710" t="s">
        <v>17</v>
      </c>
      <c r="S9" s="711">
        <f t="shared" si="0"/>
        <v>100</v>
      </c>
      <c r="T9" s="710" t="s">
        <v>17</v>
      </c>
      <c r="U9" s="711">
        <f t="shared" si="1"/>
        <v>100</v>
      </c>
      <c r="V9" s="710" t="s">
        <v>17</v>
      </c>
      <c r="W9" s="711">
        <f t="shared" si="2"/>
        <v>100</v>
      </c>
      <c r="X9" s="712"/>
      <c r="Y9" s="3276"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118</v>
      </c>
      <c r="G10" s="422"/>
      <c r="H10" s="132">
        <f>ROUND(100/'数据-取费表'!G16,0)</f>
        <v>118</v>
      </c>
      <c r="I10" s="422"/>
      <c r="J10" s="132">
        <f>ROUND(100/'数据-取费表'!G16,0)</f>
        <v>118</v>
      </c>
      <c r="K10" s="628"/>
      <c r="L10" s="2950"/>
      <c r="M10" s="2951"/>
      <c r="N10" s="2951"/>
      <c r="O10" s="3004"/>
      <c r="P10" s="3382"/>
      <c r="Q10" s="1529" t="str">
        <f t="shared" si="6"/>
        <v>土地使用年限（年）</v>
      </c>
      <c r="R10" s="710" t="s">
        <v>17</v>
      </c>
      <c r="S10" s="711">
        <f t="shared" si="0"/>
        <v>118</v>
      </c>
      <c r="T10" s="710" t="s">
        <v>17</v>
      </c>
      <c r="U10" s="711">
        <f t="shared" si="1"/>
        <v>118</v>
      </c>
      <c r="V10" s="710" t="s">
        <v>17</v>
      </c>
      <c r="W10" s="711">
        <f t="shared" si="2"/>
        <v>118</v>
      </c>
      <c r="X10" s="712"/>
      <c r="Y10" s="3276"/>
      <c r="Z10" s="55" t="str">
        <f t="shared" si="7"/>
        <v>土地使用年限（年）</v>
      </c>
      <c r="AA10" s="713">
        <f t="shared" si="3"/>
        <v>0.84745762711864403</v>
      </c>
      <c r="AB10" s="713">
        <f t="shared" si="4"/>
        <v>0.84745762711864403</v>
      </c>
      <c r="AC10" s="713">
        <f t="shared" si="5"/>
        <v>0.84745762711864403</v>
      </c>
    </row>
    <row r="11" spans="1:30" ht="15">
      <c r="A11" s="387"/>
      <c r="B11" s="381" t="s">
        <v>2378</v>
      </c>
      <c r="C11" s="388">
        <f>'数据-汇总表'!I7</f>
        <v>0.4</v>
      </c>
      <c r="D11" s="132">
        <v>100</v>
      </c>
      <c r="E11" s="388">
        <v>0.8</v>
      </c>
      <c r="F11" s="132">
        <f>LOOKUP(E11,80:80,81:81)-LOOKUP(C11,80:80,81:81)+100</f>
        <v>102</v>
      </c>
      <c r="G11" s="389">
        <v>0.78</v>
      </c>
      <c r="H11" s="132">
        <f>LOOKUP(G11,80:80,81:81)-LOOKUP(C11,80:80,81:81)+100</f>
        <v>102</v>
      </c>
      <c r="I11" s="388">
        <v>1</v>
      </c>
      <c r="J11" s="132">
        <f>LOOKUP(I11,80:80,81:81)-LOOKUP(C11,80:80,81:81)+100</f>
        <v>104</v>
      </c>
      <c r="K11" s="629">
        <v>2</v>
      </c>
      <c r="L11" s="2952"/>
      <c r="M11" s="2947"/>
      <c r="N11" s="2947"/>
      <c r="O11" s="3005"/>
      <c r="P11" s="3382"/>
      <c r="Q11" s="1529" t="str">
        <f t="shared" si="6"/>
        <v>容积率</v>
      </c>
      <c r="R11" s="710" t="s">
        <v>17</v>
      </c>
      <c r="S11" s="711">
        <f t="shared" si="0"/>
        <v>102</v>
      </c>
      <c r="T11" s="710" t="s">
        <v>17</v>
      </c>
      <c r="U11" s="711">
        <f t="shared" si="1"/>
        <v>102</v>
      </c>
      <c r="V11" s="710" t="s">
        <v>17</v>
      </c>
      <c r="W11" s="711">
        <f t="shared" si="2"/>
        <v>104</v>
      </c>
      <c r="X11" s="712"/>
      <c r="Y11" s="3276"/>
      <c r="Z11" s="55" t="str">
        <f t="shared" si="7"/>
        <v>容积率</v>
      </c>
      <c r="AA11" s="713">
        <f t="shared" si="3"/>
        <v>0.98039215686274506</v>
      </c>
      <c r="AB11" s="713">
        <f t="shared" si="4"/>
        <v>0.98039215686274506</v>
      </c>
      <c r="AC11" s="713">
        <f t="shared" si="5"/>
        <v>0.96153846153846156</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82"/>
      <c r="Q12" s="1529" t="str">
        <f t="shared" si="6"/>
        <v>配建</v>
      </c>
      <c r="R12" s="710" t="s">
        <v>17</v>
      </c>
      <c r="S12" s="711">
        <f t="shared" si="0"/>
        <v>100</v>
      </c>
      <c r="T12" s="710" t="s">
        <v>17</v>
      </c>
      <c r="U12" s="711">
        <f t="shared" si="1"/>
        <v>100</v>
      </c>
      <c r="V12" s="710" t="s">
        <v>17</v>
      </c>
      <c r="W12" s="711">
        <f t="shared" si="2"/>
        <v>100</v>
      </c>
      <c r="X12" s="712"/>
      <c r="Y12" s="3276"/>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82"/>
      <c r="Q13" s="1529">
        <f t="shared" si="6"/>
        <v>111</v>
      </c>
      <c r="R13" s="710" t="s">
        <v>17</v>
      </c>
      <c r="S13" s="711">
        <f t="shared" si="0"/>
        <v>100</v>
      </c>
      <c r="T13" s="710" t="s">
        <v>17</v>
      </c>
      <c r="U13" s="711">
        <f t="shared" si="1"/>
        <v>100</v>
      </c>
      <c r="V13" s="710" t="s">
        <v>17</v>
      </c>
      <c r="W13" s="711">
        <f t="shared" si="2"/>
        <v>100</v>
      </c>
      <c r="X13" s="712"/>
      <c r="Y13" s="3276"/>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82"/>
      <c r="Q14" s="1529">
        <f t="shared" si="6"/>
        <v>111</v>
      </c>
      <c r="R14" s="710" t="s">
        <v>17</v>
      </c>
      <c r="S14" s="711">
        <f t="shared" si="0"/>
        <v>100</v>
      </c>
      <c r="T14" s="710" t="s">
        <v>17</v>
      </c>
      <c r="U14" s="711">
        <f t="shared" si="1"/>
        <v>100</v>
      </c>
      <c r="V14" s="710" t="s">
        <v>17</v>
      </c>
      <c r="W14" s="711">
        <f t="shared" si="2"/>
        <v>100</v>
      </c>
      <c r="X14" s="712"/>
      <c r="Y14" s="3276"/>
      <c r="Z14" s="55">
        <f t="shared" si="7"/>
        <v>111</v>
      </c>
      <c r="AA14" s="713">
        <f>D14/F14</f>
        <v>1</v>
      </c>
      <c r="AB14" s="713">
        <f>D14/H14</f>
        <v>1</v>
      </c>
      <c r="AC14" s="713">
        <f>D14/J14</f>
        <v>1</v>
      </c>
    </row>
    <row r="15" spans="1:30" ht="99.75">
      <c r="A15" s="399" t="s">
        <v>2379</v>
      </c>
      <c r="B15" s="65" t="s">
        <v>1945</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84" t="s">
        <v>2380</v>
      </c>
      <c r="Q15" s="1538" t="str">
        <f t="shared" si="6"/>
        <v>居住社区成熟度</v>
      </c>
      <c r="R15" s="714" t="s">
        <v>17</v>
      </c>
      <c r="S15" s="715">
        <f t="shared" si="0"/>
        <v>100</v>
      </c>
      <c r="T15" s="714" t="s">
        <v>17</v>
      </c>
      <c r="U15" s="715">
        <f t="shared" si="1"/>
        <v>100</v>
      </c>
      <c r="V15" s="714" t="s">
        <v>17</v>
      </c>
      <c r="W15" s="715">
        <f t="shared" si="2"/>
        <v>100</v>
      </c>
      <c r="X15" s="1541"/>
      <c r="Y15" s="3384"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85"/>
      <c r="Q16" s="1538"/>
      <c r="R16" s="714"/>
      <c r="S16" s="715"/>
      <c r="T16" s="714"/>
      <c r="U16" s="715"/>
      <c r="V16" s="714"/>
      <c r="W16" s="715"/>
      <c r="X16" s="1541"/>
      <c r="Y16" s="3385"/>
      <c r="Z16" s="1542"/>
      <c r="AA16" s="1539">
        <v>1</v>
      </c>
      <c r="AB16" s="1539">
        <v>1</v>
      </c>
      <c r="AC16" s="1539">
        <v>1</v>
      </c>
    </row>
    <row r="17" spans="1:29" ht="71.25">
      <c r="A17" s="387"/>
      <c r="B17" s="410" t="s">
        <v>2473</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85"/>
      <c r="Q17" s="1538" t="str">
        <f>B17</f>
        <v>商业繁华度</v>
      </c>
      <c r="R17" s="714" t="s">
        <v>17</v>
      </c>
      <c r="S17" s="715">
        <f>F17</f>
        <v>100</v>
      </c>
      <c r="T17" s="714" t="s">
        <v>17</v>
      </c>
      <c r="U17" s="715">
        <f>H17</f>
        <v>100</v>
      </c>
      <c r="V17" s="714" t="s">
        <v>17</v>
      </c>
      <c r="W17" s="715">
        <f>J17</f>
        <v>100</v>
      </c>
      <c r="X17" s="1541"/>
      <c r="Y17" s="3385"/>
      <c r="Z17" s="1542" t="str">
        <f>Q17</f>
        <v>商业繁华度</v>
      </c>
      <c r="AA17" s="1539">
        <f t="shared" si="3"/>
        <v>1</v>
      </c>
      <c r="AB17" s="1539">
        <f t="shared" si="4"/>
        <v>1</v>
      </c>
      <c r="AC17" s="1539">
        <f t="shared" si="5"/>
        <v>1</v>
      </c>
    </row>
    <row r="18" spans="1:29" ht="15">
      <c r="A18" s="387"/>
      <c r="B18" s="415"/>
      <c r="C18" s="2089" t="s">
        <v>3247</v>
      </c>
      <c r="D18" s="409"/>
      <c r="E18" s="2089" t="s">
        <v>3247</v>
      </c>
      <c r="F18" s="409"/>
      <c r="G18" s="2089" t="s">
        <v>3247</v>
      </c>
      <c r="H18" s="407"/>
      <c r="I18" s="2089" t="s">
        <v>3247</v>
      </c>
      <c r="J18" s="407"/>
      <c r="K18" s="628"/>
      <c r="L18" s="2953"/>
      <c r="M18" s="2947"/>
      <c r="N18" s="2947"/>
      <c r="O18" s="3005"/>
      <c r="P18" s="3385"/>
      <c r="Q18" s="1538"/>
      <c r="R18" s="714"/>
      <c r="S18" s="715"/>
      <c r="T18" s="714"/>
      <c r="U18" s="715"/>
      <c r="V18" s="714"/>
      <c r="W18" s="715"/>
      <c r="X18" s="1541"/>
      <c r="Y18" s="3385"/>
      <c r="Z18" s="1542"/>
      <c r="AA18" s="1539">
        <v>1</v>
      </c>
      <c r="AB18" s="1539">
        <v>1</v>
      </c>
      <c r="AC18" s="1539">
        <v>1</v>
      </c>
    </row>
    <row r="19" spans="1:29" ht="71.25">
      <c r="A19" s="387"/>
      <c r="B19" s="410" t="s">
        <v>2507</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85"/>
      <c r="Q19" s="1538" t="str">
        <f>B19</f>
        <v>办公集聚程度</v>
      </c>
      <c r="R19" s="714" t="s">
        <v>17</v>
      </c>
      <c r="S19" s="715">
        <f>F19</f>
        <v>100</v>
      </c>
      <c r="T19" s="714" t="s">
        <v>17</v>
      </c>
      <c r="U19" s="715">
        <f>H19</f>
        <v>100</v>
      </c>
      <c r="V19" s="714" t="s">
        <v>17</v>
      </c>
      <c r="W19" s="715">
        <f>J19</f>
        <v>100</v>
      </c>
      <c r="X19" s="1541"/>
      <c r="Y19" s="3385"/>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85"/>
      <c r="Q20" s="1538"/>
      <c r="R20" s="714"/>
      <c r="S20" s="715"/>
      <c r="T20" s="714"/>
      <c r="U20" s="715"/>
      <c r="V20" s="714"/>
      <c r="W20" s="715"/>
      <c r="X20" s="1541"/>
      <c r="Y20" s="3385"/>
      <c r="Z20" s="1542"/>
      <c r="AA20" s="1539">
        <v>1</v>
      </c>
      <c r="AB20" s="1539">
        <v>1</v>
      </c>
      <c r="AC20" s="1539">
        <v>1</v>
      </c>
    </row>
    <row r="21" spans="1:29" ht="85.5">
      <c r="A21" s="387"/>
      <c r="B21" s="410" t="s">
        <v>2529</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85"/>
      <c r="Q21" s="1538" t="str">
        <f>B21</f>
        <v>交通便捷度</v>
      </c>
      <c r="R21" s="714" t="s">
        <v>17</v>
      </c>
      <c r="S21" s="715">
        <f>F21</f>
        <v>100</v>
      </c>
      <c r="T21" s="714" t="s">
        <v>17</v>
      </c>
      <c r="U21" s="715">
        <f>H21</f>
        <v>100</v>
      </c>
      <c r="V21" s="714" t="s">
        <v>17</v>
      </c>
      <c r="W21" s="715">
        <f>J21</f>
        <v>100</v>
      </c>
      <c r="X21" s="1541"/>
      <c r="Y21" s="3385"/>
      <c r="Z21" s="1542" t="str">
        <f>Q21</f>
        <v>交通便捷度</v>
      </c>
      <c r="AA21" s="1539">
        <f t="shared" si="3"/>
        <v>1</v>
      </c>
      <c r="AB21" s="1539">
        <f t="shared" si="4"/>
        <v>1</v>
      </c>
      <c r="AC21" s="1539">
        <f t="shared" si="5"/>
        <v>1</v>
      </c>
    </row>
    <row r="22" spans="1:29" ht="15">
      <c r="A22" s="387"/>
      <c r="B22" s="1293"/>
      <c r="C22" s="406" t="s">
        <v>3247</v>
      </c>
      <c r="D22" s="409"/>
      <c r="E22" s="406" t="s">
        <v>3247</v>
      </c>
      <c r="F22" s="407"/>
      <c r="G22" s="406" t="s">
        <v>3247</v>
      </c>
      <c r="H22" s="407"/>
      <c r="I22" s="406" t="s">
        <v>3247</v>
      </c>
      <c r="J22" s="407"/>
      <c r="K22" s="628"/>
      <c r="L22" s="2953"/>
      <c r="M22" s="2947"/>
      <c r="N22" s="2947"/>
      <c r="O22" s="3005"/>
      <c r="P22" s="3385"/>
      <c r="Q22" s="1538"/>
      <c r="R22" s="714"/>
      <c r="S22" s="715"/>
      <c r="T22" s="714"/>
      <c r="U22" s="715"/>
      <c r="V22" s="714"/>
      <c r="W22" s="715"/>
      <c r="X22" s="1541"/>
      <c r="Y22" s="3385"/>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85"/>
      <c r="Q23" s="1538" t="str">
        <f t="shared" ref="Q23:Q37" si="8">B23</f>
        <v>区域土地利用方向</v>
      </c>
      <c r="R23" s="714" t="s">
        <v>17</v>
      </c>
      <c r="S23" s="715">
        <f>F23</f>
        <v>100</v>
      </c>
      <c r="T23" s="714" t="s">
        <v>17</v>
      </c>
      <c r="U23" s="715">
        <f>H23</f>
        <v>100</v>
      </c>
      <c r="V23" s="714" t="s">
        <v>17</v>
      </c>
      <c r="W23" s="715">
        <f>J23</f>
        <v>100</v>
      </c>
      <c r="X23" s="1541"/>
      <c r="Y23" s="3385"/>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85"/>
      <c r="Q24" s="1538"/>
      <c r="R24" s="714"/>
      <c r="S24" s="715"/>
      <c r="T24" s="714"/>
      <c r="U24" s="715"/>
      <c r="V24" s="714"/>
      <c r="W24" s="715"/>
      <c r="X24" s="1541"/>
      <c r="Y24" s="3385"/>
      <c r="Z24" s="1542"/>
      <c r="AA24" s="1539"/>
      <c r="AB24" s="1539"/>
      <c r="AC24" s="1539"/>
    </row>
    <row r="25" spans="1:29" ht="57">
      <c r="A25" s="364"/>
      <c r="B25" s="1293" t="s">
        <v>2569</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0</v>
      </c>
      <c r="L25" s="2953"/>
      <c r="M25" s="2947"/>
      <c r="N25" s="2947"/>
      <c r="O25" s="3005"/>
      <c r="P25" s="3385"/>
      <c r="Q25" s="1538" t="str">
        <f t="shared" si="8"/>
        <v>自然及人文环境状况</v>
      </c>
      <c r="R25" s="714" t="s">
        <v>17</v>
      </c>
      <c r="S25" s="715">
        <f>F25</f>
        <v>100</v>
      </c>
      <c r="T25" s="714" t="s">
        <v>17</v>
      </c>
      <c r="U25" s="715">
        <f>H25</f>
        <v>100</v>
      </c>
      <c r="V25" s="714" t="s">
        <v>17</v>
      </c>
      <c r="W25" s="715">
        <f>J25</f>
        <v>100</v>
      </c>
      <c r="X25" s="1541"/>
      <c r="Y25" s="3385"/>
      <c r="Z25" s="1542" t="str">
        <f>Q25</f>
        <v>自然及人文环境状况</v>
      </c>
      <c r="AA25" s="1539">
        <f t="shared" si="3"/>
        <v>1</v>
      </c>
      <c r="AB25" s="1539">
        <f t="shared" si="4"/>
        <v>1</v>
      </c>
      <c r="AC25" s="1539">
        <f t="shared" si="5"/>
        <v>1</v>
      </c>
    </row>
    <row r="26" spans="1:29" ht="15">
      <c r="A26" s="364"/>
      <c r="B26" s="415"/>
      <c r="C26" s="406" t="s">
        <v>3248</v>
      </c>
      <c r="D26" s="407"/>
      <c r="E26" s="2092" t="s">
        <v>3247</v>
      </c>
      <c r="F26" s="407"/>
      <c r="G26" s="2092" t="s">
        <v>3247</v>
      </c>
      <c r="H26" s="407"/>
      <c r="I26" s="2092" t="s">
        <v>3247</v>
      </c>
      <c r="J26" s="407"/>
      <c r="K26" s="628"/>
      <c r="L26" s="2953"/>
      <c r="M26" s="2947"/>
      <c r="N26" s="2947"/>
      <c r="O26" s="3005"/>
      <c r="P26" s="3385"/>
      <c r="Q26" s="1538"/>
      <c r="R26" s="714"/>
      <c r="S26" s="715"/>
      <c r="T26" s="714"/>
      <c r="U26" s="715"/>
      <c r="V26" s="714"/>
      <c r="W26" s="715"/>
      <c r="X26" s="1541"/>
      <c r="Y26" s="3385"/>
      <c r="Z26" s="1542"/>
      <c r="AA26" s="1539">
        <v>1</v>
      </c>
      <c r="AB26" s="1539">
        <v>1</v>
      </c>
      <c r="AC26" s="1539">
        <v>1</v>
      </c>
    </row>
    <row r="27" spans="1:29" s="113" customFormat="1" ht="42.75">
      <c r="A27" s="605"/>
      <c r="B27" s="1293" t="s">
        <v>2474</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85"/>
      <c r="Q27" s="1529" t="str">
        <f t="shared" si="8"/>
        <v>公共配套设施</v>
      </c>
      <c r="R27" s="710" t="s">
        <v>17</v>
      </c>
      <c r="S27" s="711">
        <f>F27</f>
        <v>100</v>
      </c>
      <c r="T27" s="710" t="s">
        <v>17</v>
      </c>
      <c r="U27" s="711">
        <f>H27</f>
        <v>100</v>
      </c>
      <c r="V27" s="710" t="s">
        <v>17</v>
      </c>
      <c r="W27" s="711">
        <f>J27</f>
        <v>100</v>
      </c>
      <c r="X27" s="712"/>
      <c r="Y27" s="3385"/>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85"/>
      <c r="Q28" s="1529"/>
      <c r="R28" s="710"/>
      <c r="S28" s="711"/>
      <c r="T28" s="710"/>
      <c r="U28" s="711"/>
      <c r="V28" s="710"/>
      <c r="W28" s="711"/>
      <c r="X28" s="712"/>
      <c r="Y28" s="3385"/>
      <c r="Z28" s="55"/>
      <c r="AA28" s="1539">
        <v>1</v>
      </c>
      <c r="AB28" s="1539">
        <v>1</v>
      </c>
      <c r="AC28" s="1539">
        <v>1</v>
      </c>
    </row>
    <row r="29" spans="1:29" s="113" customFormat="1" ht="28.5">
      <c r="A29" s="605"/>
      <c r="B29" s="1293" t="s">
        <v>2475</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85"/>
      <c r="Q29" s="1529" t="str">
        <f t="shared" ref="Q29" si="9">B29</f>
        <v>基础设施水平</v>
      </c>
      <c r="R29" s="710" t="s">
        <v>17</v>
      </c>
      <c r="S29" s="711">
        <f>F29</f>
        <v>100</v>
      </c>
      <c r="T29" s="710" t="s">
        <v>17</v>
      </c>
      <c r="U29" s="711">
        <f>H29</f>
        <v>100</v>
      </c>
      <c r="V29" s="710" t="s">
        <v>17</v>
      </c>
      <c r="W29" s="711">
        <f>J29</f>
        <v>100</v>
      </c>
      <c r="X29" s="712"/>
      <c r="Y29" s="3385"/>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85"/>
      <c r="Q30" s="1529"/>
      <c r="R30" s="710"/>
      <c r="S30" s="711"/>
      <c r="T30" s="710"/>
      <c r="U30" s="711"/>
      <c r="V30" s="710"/>
      <c r="W30" s="711"/>
      <c r="X30" s="712"/>
      <c r="Y30" s="3385"/>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85"/>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85"/>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85"/>
      <c r="Q32" s="1538" t="str">
        <f t="shared" si="8"/>
        <v>毗邻道路的类型与等级</v>
      </c>
      <c r="R32" s="714" t="s">
        <v>17</v>
      </c>
      <c r="S32" s="715">
        <f t="shared" si="10"/>
        <v>100</v>
      </c>
      <c r="T32" s="714" t="s">
        <v>17</v>
      </c>
      <c r="U32" s="715">
        <f t="shared" si="11"/>
        <v>100</v>
      </c>
      <c r="V32" s="714" t="s">
        <v>17</v>
      </c>
      <c r="W32" s="715">
        <f t="shared" si="12"/>
        <v>100</v>
      </c>
      <c r="X32" s="1541"/>
      <c r="Y32" s="3385"/>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85"/>
      <c r="Q33" s="1538"/>
      <c r="R33" s="714"/>
      <c r="S33" s="715"/>
      <c r="T33" s="714"/>
      <c r="U33" s="715"/>
      <c r="V33" s="714"/>
      <c r="W33" s="715"/>
      <c r="X33" s="1541"/>
      <c r="Y33" s="3385"/>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85"/>
      <c r="Q34" s="1538" t="str">
        <f t="shared" si="8"/>
        <v>土地级别</v>
      </c>
      <c r="R34" s="714" t="s">
        <v>17</v>
      </c>
      <c r="S34" s="715">
        <f t="shared" si="10"/>
        <v>100</v>
      </c>
      <c r="T34" s="714" t="s">
        <v>17</v>
      </c>
      <c r="U34" s="715">
        <f t="shared" si="11"/>
        <v>100</v>
      </c>
      <c r="V34" s="714" t="s">
        <v>17</v>
      </c>
      <c r="W34" s="715">
        <f t="shared" si="12"/>
        <v>100</v>
      </c>
      <c r="X34" s="1541"/>
      <c r="Y34" s="3385"/>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85"/>
      <c r="Q35" s="1538">
        <f t="shared" si="8"/>
        <v>111</v>
      </c>
      <c r="R35" s="714" t="s">
        <v>17</v>
      </c>
      <c r="S35" s="715">
        <f t="shared" si="10"/>
        <v>100</v>
      </c>
      <c r="T35" s="714" t="s">
        <v>17</v>
      </c>
      <c r="U35" s="715">
        <f t="shared" si="11"/>
        <v>100</v>
      </c>
      <c r="V35" s="714" t="s">
        <v>17</v>
      </c>
      <c r="W35" s="715">
        <f t="shared" si="12"/>
        <v>100</v>
      </c>
      <c r="X35" s="1541"/>
      <c r="Y35" s="3385"/>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86" t="s">
        <v>2385</v>
      </c>
      <c r="Q36" s="1538">
        <f t="shared" si="8"/>
        <v>111</v>
      </c>
      <c r="R36" s="714" t="s">
        <v>17</v>
      </c>
      <c r="S36" s="715">
        <f t="shared" si="10"/>
        <v>100</v>
      </c>
      <c r="T36" s="714" t="s">
        <v>17</v>
      </c>
      <c r="U36" s="715">
        <f t="shared" si="11"/>
        <v>100</v>
      </c>
      <c r="V36" s="714" t="s">
        <v>17</v>
      </c>
      <c r="W36" s="715">
        <f t="shared" si="12"/>
        <v>100</v>
      </c>
      <c r="X36" s="1541"/>
      <c r="Y36" s="3387"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87"/>
      <c r="Q37" s="1538">
        <f t="shared" si="8"/>
        <v>111</v>
      </c>
      <c r="R37" s="717" t="s">
        <v>17</v>
      </c>
      <c r="S37" s="718">
        <f t="shared" si="10"/>
        <v>100</v>
      </c>
      <c r="T37" s="717" t="s">
        <v>17</v>
      </c>
      <c r="U37" s="718">
        <f t="shared" si="11"/>
        <v>100</v>
      </c>
      <c r="V37" s="717" t="s">
        <v>17</v>
      </c>
      <c r="W37" s="718">
        <f t="shared" si="12"/>
        <v>100</v>
      </c>
      <c r="X37" s="719"/>
      <c r="Y37" s="3387"/>
      <c r="Z37" s="720">
        <f t="shared" si="13"/>
        <v>111</v>
      </c>
      <c r="AA37" s="1539">
        <f t="shared" si="3"/>
        <v>1</v>
      </c>
      <c r="AB37" s="1539">
        <f t="shared" si="4"/>
        <v>1</v>
      </c>
      <c r="AC37" s="1539">
        <f t="shared" si="5"/>
        <v>1</v>
      </c>
    </row>
    <row r="38" spans="1:29" ht="15">
      <c r="A38" s="431" t="s">
        <v>2383</v>
      </c>
      <c r="B38" s="415" t="s">
        <v>2571</v>
      </c>
      <c r="C38" s="635">
        <v>131452.39000000001</v>
      </c>
      <c r="D38" s="426">
        <v>100</v>
      </c>
      <c r="E38" s="635">
        <f>土地案例!D2</f>
        <v>32770.400000000001</v>
      </c>
      <c r="F38" s="426">
        <f>LOOKUP(E38,117:117,118:118)-LOOKUP(C38,117:117,118:118)+100</f>
        <v>96</v>
      </c>
      <c r="G38" s="635">
        <f>土地案例!D3</f>
        <v>164022.10999999999</v>
      </c>
      <c r="H38" s="426">
        <f>LOOKUP(G38,117:117,118:118)-LOOKUP(C38,117:117,118:118)+100</f>
        <v>98</v>
      </c>
      <c r="I38" s="487">
        <f>土地案例!D6</f>
        <v>5021.0200000000004</v>
      </c>
      <c r="J38" s="426">
        <f>LOOKUP(I38,117:117,118:118)-LOOKUP(C38,117:117,118:118)+100</f>
        <v>94</v>
      </c>
      <c r="K38" s="570"/>
      <c r="L38" s="2953"/>
      <c r="M38" s="2947"/>
      <c r="N38" s="2947"/>
      <c r="O38" s="3005"/>
      <c r="P38" s="3387"/>
      <c r="Q38" s="1538" t="str">
        <f>B38</f>
        <v>宗地面积</v>
      </c>
      <c r="R38" s="714" t="s">
        <v>17</v>
      </c>
      <c r="S38" s="715">
        <f t="shared" si="10"/>
        <v>96</v>
      </c>
      <c r="T38" s="714" t="s">
        <v>17</v>
      </c>
      <c r="U38" s="715">
        <f t="shared" si="11"/>
        <v>98</v>
      </c>
      <c r="V38" s="714" t="s">
        <v>17</v>
      </c>
      <c r="W38" s="715">
        <f t="shared" si="12"/>
        <v>94</v>
      </c>
      <c r="X38" s="1541"/>
      <c r="Y38" s="3387"/>
      <c r="Z38" s="1542" t="str">
        <f t="shared" si="13"/>
        <v>宗地面积</v>
      </c>
      <c r="AA38" s="1539">
        <f t="shared" si="3"/>
        <v>1.0416666666666667</v>
      </c>
      <c r="AB38" s="1539">
        <f t="shared" si="4"/>
        <v>1.0204081632653061</v>
      </c>
      <c r="AC38" s="1539">
        <f t="shared" si="5"/>
        <v>1.0638297872340425</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87"/>
      <c r="Q39" s="1538" t="str">
        <f t="shared" ref="Q39:Q45" si="14">B39</f>
        <v>宗地形状</v>
      </c>
      <c r="R39" s="714" t="s">
        <v>17</v>
      </c>
      <c r="S39" s="715">
        <f t="shared" si="10"/>
        <v>100</v>
      </c>
      <c r="T39" s="714" t="s">
        <v>17</v>
      </c>
      <c r="U39" s="715">
        <f t="shared" si="11"/>
        <v>100</v>
      </c>
      <c r="V39" s="714" t="s">
        <v>17</v>
      </c>
      <c r="W39" s="715">
        <f t="shared" si="12"/>
        <v>100</v>
      </c>
      <c r="X39" s="1541"/>
      <c r="Y39" s="3387"/>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87"/>
      <c r="Q40" s="1538" t="str">
        <f t="shared" si="14"/>
        <v>临街宽度及深度</v>
      </c>
      <c r="R40" s="714" t="s">
        <v>17</v>
      </c>
      <c r="S40" s="715">
        <f t="shared" si="10"/>
        <v>100</v>
      </c>
      <c r="T40" s="714" t="s">
        <v>17</v>
      </c>
      <c r="U40" s="715">
        <f t="shared" si="11"/>
        <v>100</v>
      </c>
      <c r="V40" s="714" t="s">
        <v>17</v>
      </c>
      <c r="W40" s="715">
        <f t="shared" si="12"/>
        <v>100</v>
      </c>
      <c r="X40" s="1541"/>
      <c r="Y40" s="3387"/>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87"/>
      <c r="Q41" s="1538" t="str">
        <f t="shared" si="14"/>
        <v>宗地开发程度</v>
      </c>
      <c r="R41" s="710" t="s">
        <v>17</v>
      </c>
      <c r="S41" s="711">
        <f t="shared" si="10"/>
        <v>100</v>
      </c>
      <c r="T41" s="710" t="s">
        <v>17</v>
      </c>
      <c r="U41" s="711">
        <f t="shared" si="11"/>
        <v>100</v>
      </c>
      <c r="V41" s="710" t="s">
        <v>17</v>
      </c>
      <c r="W41" s="711">
        <f t="shared" si="12"/>
        <v>100</v>
      </c>
      <c r="X41" s="712"/>
      <c r="Y41" s="3387"/>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87" t="s">
        <v>2385</v>
      </c>
      <c r="Q42" s="1538" t="str">
        <f t="shared" si="14"/>
        <v>工程地质条件</v>
      </c>
      <c r="R42" s="714" t="s">
        <v>17</v>
      </c>
      <c r="S42" s="715">
        <f t="shared" si="10"/>
        <v>100</v>
      </c>
      <c r="T42" s="714" t="s">
        <v>17</v>
      </c>
      <c r="U42" s="715">
        <f t="shared" si="11"/>
        <v>100</v>
      </c>
      <c r="V42" s="714" t="s">
        <v>17</v>
      </c>
      <c r="W42" s="715">
        <f t="shared" si="12"/>
        <v>100</v>
      </c>
      <c r="X42" s="1541"/>
      <c r="Y42" s="3387"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87"/>
      <c r="Q43" s="1538">
        <f t="shared" si="14"/>
        <v>111</v>
      </c>
      <c r="R43" s="714" t="s">
        <v>17</v>
      </c>
      <c r="S43" s="715">
        <f t="shared" si="10"/>
        <v>100</v>
      </c>
      <c r="T43" s="714" t="s">
        <v>17</v>
      </c>
      <c r="U43" s="715">
        <f t="shared" si="11"/>
        <v>100</v>
      </c>
      <c r="V43" s="714" t="s">
        <v>17</v>
      </c>
      <c r="W43" s="715">
        <f t="shared" si="12"/>
        <v>100</v>
      </c>
      <c r="X43" s="1541"/>
      <c r="Y43" s="3387"/>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87"/>
      <c r="Q44" s="1538">
        <f t="shared" si="14"/>
        <v>111</v>
      </c>
      <c r="R44" s="714" t="s">
        <v>17</v>
      </c>
      <c r="S44" s="715">
        <f t="shared" si="10"/>
        <v>100</v>
      </c>
      <c r="T44" s="714" t="s">
        <v>17</v>
      </c>
      <c r="U44" s="715">
        <f t="shared" si="11"/>
        <v>100</v>
      </c>
      <c r="V44" s="714" t="s">
        <v>17</v>
      </c>
      <c r="W44" s="715">
        <f t="shared" si="12"/>
        <v>100</v>
      </c>
      <c r="X44" s="1541"/>
      <c r="Y44" s="3387"/>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87"/>
      <c r="Q45" s="1538">
        <f t="shared" si="14"/>
        <v>111</v>
      </c>
      <c r="R45" s="717" t="s">
        <v>17</v>
      </c>
      <c r="S45" s="718">
        <f t="shared" si="10"/>
        <v>100</v>
      </c>
      <c r="T45" s="717" t="s">
        <v>17</v>
      </c>
      <c r="U45" s="718">
        <f t="shared" si="11"/>
        <v>100</v>
      </c>
      <c r="V45" s="717" t="s">
        <v>17</v>
      </c>
      <c r="W45" s="718">
        <f t="shared" si="12"/>
        <v>100</v>
      </c>
      <c r="X45" s="719"/>
      <c r="Y45" s="3387"/>
      <c r="Z45" s="720">
        <f t="shared" si="13"/>
        <v>111</v>
      </c>
      <c r="AA45" s="1539">
        <f t="shared" si="3"/>
        <v>1</v>
      </c>
      <c r="AB45" s="1539">
        <f t="shared" si="4"/>
        <v>1</v>
      </c>
      <c r="AC45" s="1539">
        <f t="shared" si="5"/>
        <v>1</v>
      </c>
    </row>
    <row r="46" spans="1:29" ht="15">
      <c r="A46" s="438" t="s">
        <v>2540</v>
      </c>
      <c r="B46" s="2170" t="s">
        <v>3249</v>
      </c>
      <c r="C46" s="638" t="s">
        <v>1</v>
      </c>
      <c r="D46" s="440"/>
      <c r="E46" s="441">
        <f>ROUND(土地案例!Q2*L46,0)</f>
        <v>10488</v>
      </c>
      <c r="F46" s="442"/>
      <c r="G46" s="443">
        <f>ROUND(土地案例!Q3*L46,0)</f>
        <v>10568</v>
      </c>
      <c r="H46" s="444"/>
      <c r="I46" s="441">
        <f>ROUND(土地案例!Q6*L46,)</f>
        <v>10408</v>
      </c>
      <c r="J46" s="444"/>
      <c r="K46" s="723"/>
      <c r="L46" s="2955">
        <v>1.3</v>
      </c>
      <c r="M46" s="2956"/>
      <c r="N46" s="2947"/>
      <c r="O46" s="2956"/>
      <c r="P46" s="3382" t="str">
        <f>A46</f>
        <v>成交单价</v>
      </c>
      <c r="Q46" s="3382"/>
      <c r="R46" s="3388">
        <f>E46</f>
        <v>10488</v>
      </c>
      <c r="S46" s="3388"/>
      <c r="T46" s="3388">
        <f>G46</f>
        <v>10568</v>
      </c>
      <c r="U46" s="3388"/>
      <c r="V46" s="3388">
        <f>I46</f>
        <v>10408</v>
      </c>
      <c r="W46" s="3388"/>
      <c r="X46" s="699"/>
      <c r="Y46" s="721"/>
      <c r="Z46" s="699"/>
      <c r="AA46" s="699"/>
      <c r="AB46" s="699"/>
      <c r="AC46" s="699"/>
    </row>
    <row r="47" spans="1:29" ht="15.75" thickBot="1">
      <c r="A47" s="445" t="s">
        <v>2489</v>
      </c>
      <c r="B47" s="639"/>
      <c r="C47" s="448">
        <f>R48</f>
        <v>9111</v>
      </c>
      <c r="D47" s="2540" t="s">
        <v>2879</v>
      </c>
      <c r="E47" s="448">
        <f>R47</f>
        <v>9123</v>
      </c>
      <c r="F47" s="2541"/>
      <c r="G47" s="447">
        <f>T47</f>
        <v>9050</v>
      </c>
      <c r="H47" s="2541"/>
      <c r="I47" s="448">
        <f>V47</f>
        <v>9160</v>
      </c>
      <c r="J47" s="2541"/>
      <c r="K47" s="2543">
        <f>F47+H47+J47</f>
        <v>0</v>
      </c>
      <c r="L47" s="2955"/>
      <c r="M47" s="2956"/>
      <c r="N47" s="2956"/>
      <c r="O47" s="2956"/>
      <c r="P47" s="3382" t="str">
        <f>A47</f>
        <v>比较价值（元/平方米）</v>
      </c>
      <c r="Q47" s="3382"/>
      <c r="R47" s="3375">
        <f>ROUND(PRODUCT(R46,AA7:AA45),0)</f>
        <v>9123</v>
      </c>
      <c r="S47" s="3375"/>
      <c r="T47" s="3375">
        <f>ROUND(PRODUCT(T46,AB7:AB45),0)</f>
        <v>9050</v>
      </c>
      <c r="U47" s="3375"/>
      <c r="V47" s="3375">
        <f>ROUND(PRODUCT(V46,AC7:AC45),0)</f>
        <v>9160</v>
      </c>
      <c r="W47" s="3375"/>
      <c r="X47" s="699"/>
      <c r="Y47" s="699"/>
      <c r="Z47" s="699"/>
      <c r="AA47" s="699"/>
      <c r="AB47" s="699"/>
      <c r="AC47" s="699"/>
    </row>
    <row r="48" spans="1:29" ht="15.75" thickBot="1">
      <c r="A48" s="449" t="s">
        <v>2576</v>
      </c>
      <c r="B48" s="450"/>
      <c r="C48" s="451">
        <f>R48</f>
        <v>9111</v>
      </c>
      <c r="D48" s="451"/>
      <c r="E48" s="451"/>
      <c r="F48" s="451"/>
      <c r="G48" s="451"/>
      <c r="H48" s="451"/>
      <c r="I48" s="451"/>
      <c r="J48" s="451"/>
      <c r="K48" s="724"/>
      <c r="L48" s="2955"/>
      <c r="M48" s="2956"/>
      <c r="N48" s="2956"/>
      <c r="O48" s="2956"/>
      <c r="P48" s="3376" t="str">
        <f>A48</f>
        <v>估价对象XX用房的比较价值（楼面单价，元/平方米）</v>
      </c>
      <c r="Q48" s="3377"/>
      <c r="R48" s="3378">
        <f>ROUND(IF(D47="简单平均",AVERAGE(R47:W47),R47*F47+T47*H47+V47*J47),0)</f>
        <v>9111</v>
      </c>
      <c r="S48" s="3378"/>
      <c r="T48" s="3378"/>
      <c r="U48" s="3378"/>
      <c r="V48" s="3378"/>
      <c r="W48" s="3378"/>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2491</v>
      </c>
      <c r="D51" s="455"/>
      <c r="E51" s="456">
        <f>IF(E46&lt;E47,E47/E46-1,E46/E47-1)</f>
        <v>0.14962183492272274</v>
      </c>
      <c r="F51" s="457" t="str">
        <f>IF(OR(E51&gt;=0.3,E51&lt;=-0.3),"超过30%","")</f>
        <v/>
      </c>
      <c r="G51" s="456">
        <f>IF(G46&lt;G47,G47/G46-1,G46/G47-1)</f>
        <v>0.16773480662983431</v>
      </c>
      <c r="H51" s="457" t="str">
        <f>IF(OR(G51&gt;=0.3,G51&lt;=-0.3),"超过30%","")</f>
        <v/>
      </c>
      <c r="I51" s="456">
        <f>IF(I46&lt;I47,I47/I46-1,I46/I47-1)</f>
        <v>0.13624454148471621</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2492</v>
      </c>
      <c r="D52" s="458"/>
      <c r="E52" s="456">
        <f>IF(E47&lt;G47,G47/E47-1,E47/G47-1)</f>
        <v>8.0662983425414669E-3</v>
      </c>
      <c r="F52" s="457" t="str">
        <f>IF(OR(E52&gt;=0.2,E52&lt;=-0.2),"超过20%","")</f>
        <v/>
      </c>
      <c r="G52" s="456">
        <f>IF(G47&lt;I47,I47/G47-1,G47/I47-1)</f>
        <v>1.2154696132596676E-2</v>
      </c>
      <c r="H52" s="457" t="str">
        <f>IF(OR(G52&gt;=0.2,G52&lt;=-0.2),"超过20%","")</f>
        <v/>
      </c>
      <c r="I52" s="456">
        <f>IF(I47&lt;E47,E47/I47-1,I47/E47-1)</f>
        <v>4.0556834374656514E-3</v>
      </c>
      <c r="J52" s="457" t="str">
        <f>IF(OR(I52&gt;=0.2,I52&lt;=-0.2),"超过20%","")</f>
        <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2493</v>
      </c>
      <c r="D53" s="458"/>
      <c r="E53" s="456">
        <f>IF(E46&lt;G46,G46/E46-1,E46/G46-1)</f>
        <v>7.6277650648359785E-3</v>
      </c>
      <c r="F53" s="457" t="str">
        <f>IF(OR(E53&gt;=0.3,E53&lt;=-0.3),"超过30%","")</f>
        <v/>
      </c>
      <c r="G53" s="456">
        <f>IF(G46&lt;I46,I46/G46-1,G46/I46-1)</f>
        <v>1.537279016141424E-2</v>
      </c>
      <c r="H53" s="457" t="str">
        <f>IF(OR(G53&gt;=0.3,G53&lt;=-0.3),"超过30%","")</f>
        <v/>
      </c>
      <c r="I53" s="456">
        <f>IF(I46&lt;E46,E46/I46-1,I46/E46-1)</f>
        <v>7.6863950807071202E-3</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2577</v>
      </c>
      <c r="B55" s="641" t="s">
        <v>2578</v>
      </c>
      <c r="C55" s="2171" t="s">
        <v>2579</v>
      </c>
      <c r="D55" s="2172" t="s">
        <v>2580</v>
      </c>
      <c r="E55" s="642" t="s">
        <v>2581</v>
      </c>
      <c r="F55" s="1021" t="s">
        <v>2582</v>
      </c>
      <c r="G55" s="3379" t="s">
        <v>2583</v>
      </c>
      <c r="H55" s="3380"/>
      <c r="I55" s="140" t="s">
        <v>2584</v>
      </c>
      <c r="J55" s="2173">
        <f>项目基本情况!F35</f>
        <v>0</v>
      </c>
      <c r="K55" s="2174" t="s">
        <v>2585</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2586</v>
      </c>
      <c r="B56" s="645">
        <f>C48</f>
        <v>9111</v>
      </c>
      <c r="C56" s="646">
        <v>1</v>
      </c>
      <c r="D56" s="1075">
        <v>1</v>
      </c>
      <c r="E56" s="646">
        <f>'数据-汇总表'!E8+'数据-汇总表'!E9</f>
        <v>5790.6600000000008</v>
      </c>
      <c r="F56" s="1017">
        <f t="shared" ref="F56:F65" si="15">ROUND(B56*E56/10000,0)</f>
        <v>5276</v>
      </c>
      <c r="G56" s="3381"/>
      <c r="H56" s="3382"/>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2587</v>
      </c>
      <c r="B57" s="224">
        <f>ROUND($C$48*C57*D57,0)</f>
        <v>0</v>
      </c>
      <c r="C57" s="176">
        <f t="shared" ref="C57:C65" si="16">IF($C$55="北京市系数",I57,J57)</f>
        <v>0</v>
      </c>
      <c r="D57" s="1076">
        <v>0.25</v>
      </c>
      <c r="E57" s="650"/>
      <c r="F57" s="1017">
        <f t="shared" si="15"/>
        <v>0</v>
      </c>
      <c r="G57" s="3383" t="s">
        <v>2588</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2589</v>
      </c>
      <c r="B58" s="224">
        <f t="shared" ref="B58:B65" si="17">ROUND($C$48*C58*D58,0)</f>
        <v>0</v>
      </c>
      <c r="C58" s="176">
        <f t="shared" si="16"/>
        <v>0</v>
      </c>
      <c r="D58" s="1076">
        <v>0.25</v>
      </c>
      <c r="E58" s="650"/>
      <c r="F58" s="1017">
        <f t="shared" si="15"/>
        <v>0</v>
      </c>
      <c r="G58" s="3383"/>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2590</v>
      </c>
      <c r="B59" s="224">
        <f t="shared" si="17"/>
        <v>0</v>
      </c>
      <c r="C59" s="176">
        <f t="shared" si="16"/>
        <v>0</v>
      </c>
      <c r="D59" s="1076">
        <v>0.25</v>
      </c>
      <c r="E59" s="650"/>
      <c r="F59" s="1017">
        <f t="shared" si="15"/>
        <v>0</v>
      </c>
      <c r="G59" s="3383"/>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2591</v>
      </c>
      <c r="B60" s="224">
        <f t="shared" si="17"/>
        <v>0</v>
      </c>
      <c r="C60" s="176">
        <f t="shared" si="16"/>
        <v>0</v>
      </c>
      <c r="D60" s="1076">
        <v>0.25</v>
      </c>
      <c r="E60" s="650"/>
      <c r="F60" s="1017">
        <f t="shared" si="15"/>
        <v>0</v>
      </c>
      <c r="G60" s="3383"/>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2592</v>
      </c>
      <c r="B61" s="224">
        <f t="shared" si="17"/>
        <v>0</v>
      </c>
      <c r="C61" s="176">
        <f t="shared" si="16"/>
        <v>0</v>
      </c>
      <c r="D61" s="1076">
        <v>0.25</v>
      </c>
      <c r="E61" s="223">
        <f>'数据-汇总表'!E11</f>
        <v>0</v>
      </c>
      <c r="F61" s="1017">
        <f t="shared" si="15"/>
        <v>0</v>
      </c>
      <c r="G61" s="2175" t="s">
        <v>2593</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2594</v>
      </c>
      <c r="B62" s="224">
        <f t="shared" si="17"/>
        <v>0</v>
      </c>
      <c r="C62" s="176">
        <f t="shared" si="16"/>
        <v>0</v>
      </c>
      <c r="D62" s="1076">
        <v>0.25</v>
      </c>
      <c r="E62" s="223">
        <f>'数据-汇总表'!E12</f>
        <v>0</v>
      </c>
      <c r="F62" s="1017">
        <f t="shared" si="15"/>
        <v>0</v>
      </c>
      <c r="G62" s="1023" t="s">
        <v>2595</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2596</v>
      </c>
      <c r="B63" s="224">
        <f t="shared" si="17"/>
        <v>0</v>
      </c>
      <c r="C63" s="176">
        <f t="shared" si="16"/>
        <v>0</v>
      </c>
      <c r="D63" s="1076">
        <v>0.25</v>
      </c>
      <c r="E63" s="223">
        <f>'数据-汇总表'!E13</f>
        <v>0</v>
      </c>
      <c r="F63" s="1017">
        <f t="shared" si="15"/>
        <v>0</v>
      </c>
      <c r="G63" s="1023" t="s">
        <v>2597</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2598</v>
      </c>
      <c r="B64" s="224">
        <f t="shared" si="17"/>
        <v>0</v>
      </c>
      <c r="C64" s="176">
        <f t="shared" si="16"/>
        <v>0</v>
      </c>
      <c r="D64" s="1076">
        <v>0.25</v>
      </c>
      <c r="E64" s="223">
        <f>'数据-汇总表'!E14</f>
        <v>0</v>
      </c>
      <c r="F64" s="1017">
        <f t="shared" si="15"/>
        <v>0</v>
      </c>
      <c r="G64" s="2175" t="s">
        <v>2588</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2599</v>
      </c>
      <c r="B65" s="224">
        <f t="shared" si="17"/>
        <v>0</v>
      </c>
      <c r="C65" s="176">
        <f t="shared" si="16"/>
        <v>0</v>
      </c>
      <c r="D65" s="1076">
        <v>0.25</v>
      </c>
      <c r="E65" s="223">
        <f>'数据-汇总表'!E15</f>
        <v>0</v>
      </c>
      <c r="F65" s="1017">
        <f t="shared" si="15"/>
        <v>0</v>
      </c>
      <c r="G65" s="2176" t="s">
        <v>2593</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2600</v>
      </c>
      <c r="B66" s="652" t="s">
        <v>28</v>
      </c>
      <c r="C66" s="652" t="s">
        <v>29</v>
      </c>
      <c r="D66" s="652" t="s">
        <v>997</v>
      </c>
      <c r="E66" s="652">
        <f>IF(B46="楼面地价",SUM(E56:E65),'数据-汇总表'!D3)</f>
        <v>10684.47</v>
      </c>
      <c r="F66" s="653">
        <f>IF(B46="楼面地价",SUM(F56:F65),ROUND(C48*E66/10000,0))</f>
        <v>9735</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6"/>
      <c r="Q68" s="2956"/>
      <c r="R68" s="2956"/>
      <c r="S68" s="2956"/>
      <c r="T68" s="2956"/>
      <c r="U68" s="2956"/>
      <c r="V68" s="2956"/>
      <c r="W68" s="2956"/>
      <c r="X68" s="2956"/>
      <c r="Y68" s="2956"/>
      <c r="Z68" s="2956"/>
      <c r="AA68" s="2956"/>
      <c r="AB68" s="2956"/>
      <c r="AC68" s="2956"/>
    </row>
    <row r="69" spans="1:29" ht="21.75" thickBot="1">
      <c r="A69" s="703" t="s">
        <v>2494</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2601</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7"/>
      <c r="Q70" s="2972"/>
      <c r="R70" s="2972"/>
      <c r="S70" s="2972"/>
      <c r="T70" s="2972"/>
      <c r="U70" s="2972"/>
      <c r="V70" s="2972"/>
      <c r="W70" s="2972"/>
      <c r="X70" s="2972"/>
      <c r="Y70" s="2972"/>
      <c r="Z70" s="2972"/>
      <c r="AA70" s="2972"/>
      <c r="AB70" s="2972"/>
      <c r="AC70" s="2972"/>
    </row>
    <row r="71" spans="1:29" s="113" customFormat="1" ht="30" customHeight="1">
      <c r="A71" s="2178" t="s">
        <v>2602</v>
      </c>
      <c r="B71" s="294" t="str">
        <f>"北京市平均增长率"&amp;TEXT(SUMIF(基准地价修正!N21:N25,A71,基准地价修正!P21:P25),"0.00%")</f>
        <v>北京市平均增长率1.85%</v>
      </c>
      <c r="C71" s="560">
        <v>100</v>
      </c>
      <c r="D71" s="552">
        <f>C71-0.5</f>
        <v>99.5</v>
      </c>
      <c r="E71" s="552">
        <f t="shared" ref="E71:M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2405</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2370</v>
      </c>
      <c r="B73" s="467"/>
      <c r="C73" s="479" t="s">
        <v>2472</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2408</v>
      </c>
      <c r="B75" s="485" t="s">
        <v>2374</v>
      </c>
      <c r="C75" s="3105" t="s">
        <v>3246</v>
      </c>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v>100</v>
      </c>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2377</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2378</v>
      </c>
      <c r="C79" s="504" t="str">
        <f>C80&amp;"（含）"&amp;"-"&amp;D80</f>
        <v>0（含）-0.5</v>
      </c>
      <c r="D79" s="504" t="str">
        <f t="shared" ref="D79:L79" si="21">D80&amp;"（含）"&amp;"-"&amp;E80</f>
        <v>0.5（含）-1</v>
      </c>
      <c r="E79" s="504" t="str">
        <f t="shared" si="21"/>
        <v>1（含）-1.5</v>
      </c>
      <c r="F79" s="504" t="str">
        <f t="shared" si="21"/>
        <v>1.5（含）-2</v>
      </c>
      <c r="G79" s="504" t="str">
        <f t="shared" si="21"/>
        <v>2（含）-</v>
      </c>
      <c r="H79" s="504" t="str">
        <f t="shared" si="21"/>
        <v>（含）-</v>
      </c>
      <c r="I79" s="504" t="str">
        <f t="shared" si="21"/>
        <v>（含）-</v>
      </c>
      <c r="J79" s="504" t="str">
        <f t="shared" si="21"/>
        <v>（含）-</v>
      </c>
      <c r="K79" s="504" t="str">
        <f t="shared" si="21"/>
        <v>（含）-</v>
      </c>
      <c r="L79" s="504" t="str">
        <f t="shared" si="21"/>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v>0</v>
      </c>
      <c r="D80" s="506">
        <v>0.5</v>
      </c>
      <c r="E80" s="506">
        <v>1</v>
      </c>
      <c r="F80" s="506">
        <v>1.5</v>
      </c>
      <c r="G80" s="506">
        <v>2</v>
      </c>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2">IF($B$46="单位面积地价",C81+$K11,C81-$K11)</f>
        <v>102</v>
      </c>
      <c r="E81" s="501">
        <f t="shared" si="22"/>
        <v>104</v>
      </c>
      <c r="F81" s="501">
        <f t="shared" si="22"/>
        <v>106</v>
      </c>
      <c r="G81" s="501">
        <f t="shared" si="22"/>
        <v>108</v>
      </c>
      <c r="H81" s="501">
        <f t="shared" si="22"/>
        <v>110</v>
      </c>
      <c r="I81" s="501">
        <f t="shared" si="22"/>
        <v>112</v>
      </c>
      <c r="J81" s="501">
        <f t="shared" si="22"/>
        <v>114</v>
      </c>
      <c r="K81" s="501">
        <f t="shared" si="22"/>
        <v>116</v>
      </c>
      <c r="L81" s="501">
        <f t="shared" si="22"/>
        <v>118</v>
      </c>
      <c r="M81" s="501">
        <f t="shared" si="22"/>
        <v>120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2379</v>
      </c>
      <c r="B88" s="485" t="s">
        <v>2416</v>
      </c>
      <c r="C88" s="530" t="s">
        <v>2417</v>
      </c>
      <c r="D88" s="530" t="s">
        <v>2418</v>
      </c>
      <c r="E88" s="530" t="s">
        <v>2419</v>
      </c>
      <c r="F88" s="530" t="s">
        <v>2420</v>
      </c>
      <c r="G88" s="530" t="s">
        <v>2421</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2603</v>
      </c>
      <c r="C90" s="535" t="s">
        <v>2417</v>
      </c>
      <c r="D90" s="535" t="s">
        <v>2418</v>
      </c>
      <c r="E90" s="535" t="s">
        <v>2419</v>
      </c>
      <c r="F90" s="535" t="s">
        <v>2420</v>
      </c>
      <c r="G90" s="535" t="s">
        <v>2421</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2517</v>
      </c>
      <c r="C92" s="535" t="s">
        <v>2417</v>
      </c>
      <c r="D92" s="535" t="s">
        <v>2418</v>
      </c>
      <c r="E92" s="535" t="s">
        <v>2419</v>
      </c>
      <c r="F92" s="535" t="s">
        <v>2420</v>
      </c>
      <c r="G92" s="535" t="s">
        <v>2421</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2422</v>
      </c>
      <c r="C94" s="535" t="s">
        <v>2417</v>
      </c>
      <c r="D94" s="535" t="s">
        <v>2418</v>
      </c>
      <c r="E94" s="535" t="s">
        <v>2419</v>
      </c>
      <c r="F94" s="535" t="s">
        <v>2420</v>
      </c>
      <c r="G94" s="535" t="s">
        <v>2421</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2604</v>
      </c>
      <c r="C96" s="535" t="s">
        <v>2417</v>
      </c>
      <c r="D96" s="535" t="s">
        <v>2418</v>
      </c>
      <c r="E96" s="535" t="s">
        <v>2419</v>
      </c>
      <c r="F96" s="535" t="s">
        <v>2420</v>
      </c>
      <c r="G96" s="535" t="s">
        <v>2421</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2605</v>
      </c>
      <c r="C98" s="530" t="s">
        <v>2417</v>
      </c>
      <c r="D98" s="530" t="s">
        <v>2418</v>
      </c>
      <c r="E98" s="530" t="s">
        <v>2419</v>
      </c>
      <c r="F98" s="530" t="s">
        <v>2420</v>
      </c>
      <c r="G98" s="530" t="s">
        <v>2421</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2511</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2570</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ht="28.5">
      <c r="A116" s="484" t="s">
        <v>2383</v>
      </c>
      <c r="B116" s="485" t="s">
        <v>2610</v>
      </c>
      <c r="C116" s="486" t="str">
        <f>C117&amp;"(含)"&amp;"-"&amp;D117</f>
        <v>0(含)-10000</v>
      </c>
      <c r="D116" s="486" t="str">
        <f t="shared" ref="D116:M116" si="26">D117&amp;"(含)"&amp;"-"&amp;E117</f>
        <v>10000(含)-50000</v>
      </c>
      <c r="E116" s="486" t="str">
        <f t="shared" si="26"/>
        <v>50000(含)-100000</v>
      </c>
      <c r="F116" s="486" t="str">
        <f t="shared" si="26"/>
        <v>100000(含)-150000</v>
      </c>
      <c r="G116" s="486" t="str">
        <f t="shared" si="26"/>
        <v>150000(含)-200000</v>
      </c>
      <c r="H116" s="486" t="str">
        <f t="shared" si="26"/>
        <v>200000(含)-250000</v>
      </c>
      <c r="I116" s="486" t="str">
        <f t="shared" si="26"/>
        <v>250000(含)-</v>
      </c>
      <c r="J116" s="486" t="str">
        <f t="shared" si="26"/>
        <v>(含)-</v>
      </c>
      <c r="K116" s="486" t="str">
        <f t="shared" si="26"/>
        <v>(含)-</v>
      </c>
      <c r="L116" s="486" t="str">
        <f t="shared" si="26"/>
        <v>(含)-</v>
      </c>
      <c r="M116" s="486" t="str">
        <f t="shared" si="26"/>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v>0</v>
      </c>
      <c r="D117" s="552">
        <v>10000</v>
      </c>
      <c r="E117" s="552">
        <v>50000</v>
      </c>
      <c r="F117" s="552">
        <v>100000</v>
      </c>
      <c r="G117" s="552">
        <v>150000</v>
      </c>
      <c r="H117" s="552">
        <v>200000</v>
      </c>
      <c r="I117" s="552">
        <v>250000</v>
      </c>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v>94</v>
      </c>
      <c r="D118" s="548">
        <v>96</v>
      </c>
      <c r="E118" s="548">
        <v>98</v>
      </c>
      <c r="F118" s="548">
        <v>100</v>
      </c>
      <c r="G118" s="548">
        <v>98</v>
      </c>
      <c r="H118" s="548">
        <v>96</v>
      </c>
      <c r="I118" s="548">
        <v>94</v>
      </c>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2611</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7">C120-$K39</f>
        <v>100</v>
      </c>
      <c r="E120" s="501">
        <f t="shared" si="27"/>
        <v>100</v>
      </c>
      <c r="F120" s="501">
        <f t="shared" si="27"/>
        <v>100</v>
      </c>
      <c r="G120" s="501">
        <f t="shared" si="27"/>
        <v>100</v>
      </c>
      <c r="H120" s="501">
        <f t="shared" si="27"/>
        <v>100</v>
      </c>
      <c r="I120" s="501">
        <f t="shared" si="27"/>
        <v>100</v>
      </c>
      <c r="J120" s="501">
        <f t="shared" si="27"/>
        <v>100</v>
      </c>
      <c r="K120" s="501">
        <f t="shared" si="27"/>
        <v>100</v>
      </c>
      <c r="L120" s="501">
        <f t="shared" si="27"/>
        <v>100</v>
      </c>
      <c r="M120" s="502">
        <f t="shared" si="27"/>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2612</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8">C122-$K40</f>
        <v>100</v>
      </c>
      <c r="E122" s="501">
        <f t="shared" si="28"/>
        <v>100</v>
      </c>
      <c r="F122" s="501">
        <f t="shared" si="28"/>
        <v>100</v>
      </c>
      <c r="G122" s="501">
        <f t="shared" si="28"/>
        <v>100</v>
      </c>
      <c r="H122" s="501">
        <f t="shared" si="28"/>
        <v>100</v>
      </c>
      <c r="I122" s="501">
        <f t="shared" si="28"/>
        <v>100</v>
      </c>
      <c r="J122" s="501">
        <f t="shared" si="28"/>
        <v>100</v>
      </c>
      <c r="K122" s="501">
        <f t="shared" si="28"/>
        <v>100</v>
      </c>
      <c r="L122" s="501">
        <f t="shared" si="28"/>
        <v>100</v>
      </c>
      <c r="M122" s="502">
        <f t="shared" si="28"/>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2613</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9">D124-$K41</f>
        <v>100</v>
      </c>
      <c r="F124" s="501">
        <f t="shared" si="29"/>
        <v>100</v>
      </c>
      <c r="G124" s="501">
        <f t="shared" si="29"/>
        <v>100</v>
      </c>
      <c r="H124" s="501">
        <f t="shared" si="29"/>
        <v>100</v>
      </c>
      <c r="I124" s="501">
        <f t="shared" si="29"/>
        <v>100</v>
      </c>
      <c r="J124" s="501">
        <f t="shared" si="29"/>
        <v>100</v>
      </c>
      <c r="K124" s="501">
        <f t="shared" si="29"/>
        <v>100</v>
      </c>
      <c r="L124" s="501">
        <f t="shared" si="29"/>
        <v>100</v>
      </c>
      <c r="M124" s="502">
        <f t="shared" si="29"/>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2614</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30">C126-$K42</f>
        <v>100</v>
      </c>
      <c r="E126" s="501">
        <f t="shared" si="30"/>
        <v>100</v>
      </c>
      <c r="F126" s="501">
        <f t="shared" si="30"/>
        <v>100</v>
      </c>
      <c r="G126" s="501">
        <f t="shared" si="30"/>
        <v>100</v>
      </c>
      <c r="H126" s="501">
        <f t="shared" si="30"/>
        <v>100</v>
      </c>
      <c r="I126" s="501">
        <f t="shared" si="30"/>
        <v>100</v>
      </c>
      <c r="J126" s="501">
        <f t="shared" si="30"/>
        <v>100</v>
      </c>
      <c r="K126" s="501">
        <f t="shared" si="30"/>
        <v>100</v>
      </c>
      <c r="L126" s="501">
        <f t="shared" si="30"/>
        <v>100</v>
      </c>
      <c r="M126" s="502">
        <f t="shared" si="30"/>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6"/>
  <sheetViews>
    <sheetView workbookViewId="0">
      <selection activeCell="M25" sqref="M25"/>
    </sheetView>
  </sheetViews>
  <sheetFormatPr defaultRowHeight="13.5"/>
  <cols>
    <col min="1" max="1" width="25.5" customWidth="1"/>
    <col min="2" max="2" width="0" hidden="1" customWidth="1"/>
    <col min="6" max="6" width="12.125" customWidth="1"/>
  </cols>
  <sheetData>
    <row r="1" spans="1:17">
      <c r="A1" s="3102" t="s">
        <v>3169</v>
      </c>
      <c r="B1" s="3102" t="s">
        <v>3170</v>
      </c>
      <c r="C1" s="3102" t="s">
        <v>3171</v>
      </c>
      <c r="D1" s="3102" t="s">
        <v>3172</v>
      </c>
      <c r="E1" s="3102" t="s">
        <v>3173</v>
      </c>
      <c r="F1" s="3102" t="s">
        <v>3174</v>
      </c>
      <c r="G1" s="3102" t="s">
        <v>3175</v>
      </c>
      <c r="H1" s="3102" t="s">
        <v>3176</v>
      </c>
      <c r="I1" s="3102" t="s">
        <v>3177</v>
      </c>
      <c r="J1" s="3102" t="s">
        <v>3178</v>
      </c>
      <c r="K1" s="3102" t="s">
        <v>3179</v>
      </c>
      <c r="L1" s="3102" t="s">
        <v>3180</v>
      </c>
      <c r="M1" s="3102" t="s">
        <v>3181</v>
      </c>
      <c r="N1" s="3102" t="s">
        <v>3182</v>
      </c>
      <c r="O1" s="3102" t="s">
        <v>3183</v>
      </c>
      <c r="P1" s="3102" t="s">
        <v>3184</v>
      </c>
    </row>
    <row r="2" spans="1:17" s="3104" customFormat="1">
      <c r="A2" s="3103" t="s">
        <v>3185</v>
      </c>
      <c r="B2" s="3103" t="s">
        <v>3186</v>
      </c>
      <c r="C2" s="3103" t="s">
        <v>3187</v>
      </c>
      <c r="D2" s="3103">
        <v>32770.400000000001</v>
      </c>
      <c r="E2" s="3103">
        <v>26216.32</v>
      </c>
      <c r="F2" s="3103" t="s">
        <v>3188</v>
      </c>
      <c r="G2" s="3103" t="s">
        <v>3189</v>
      </c>
      <c r="H2" s="3103" t="s">
        <v>3190</v>
      </c>
      <c r="I2" s="3103" t="s">
        <v>3191</v>
      </c>
      <c r="J2" s="3103" t="s">
        <v>3191</v>
      </c>
      <c r="K2" s="3103">
        <v>25639</v>
      </c>
      <c r="L2" s="3103">
        <v>26439</v>
      </c>
      <c r="M2" s="3103">
        <v>10084.94</v>
      </c>
      <c r="N2" s="3103">
        <v>3.12</v>
      </c>
      <c r="O2" s="3103" t="s">
        <v>3192</v>
      </c>
      <c r="P2" s="3103" t="s">
        <v>3193</v>
      </c>
      <c r="Q2" s="3104">
        <f>ROUND(L2/D2*10000,0)</f>
        <v>8068</v>
      </c>
    </row>
    <row r="3" spans="1:17" s="3104" customFormat="1">
      <c r="A3" s="3103" t="s">
        <v>3194</v>
      </c>
      <c r="B3" s="3103" t="s">
        <v>3186</v>
      </c>
      <c r="C3" s="3103" t="s">
        <v>3187</v>
      </c>
      <c r="D3" s="3103">
        <v>164022.10999999999</v>
      </c>
      <c r="E3" s="3103">
        <v>127937.25</v>
      </c>
      <c r="F3" s="3103" t="s">
        <v>3195</v>
      </c>
      <c r="G3" s="3103" t="s">
        <v>3189</v>
      </c>
      <c r="H3" s="3103" t="s">
        <v>3190</v>
      </c>
      <c r="I3" s="3103" t="s">
        <v>3196</v>
      </c>
      <c r="J3" s="3103" t="s">
        <v>3196</v>
      </c>
      <c r="K3" s="3103">
        <v>131983</v>
      </c>
      <c r="L3" s="3103">
        <v>133333</v>
      </c>
      <c r="M3" s="3103">
        <v>10421.75</v>
      </c>
      <c r="N3" s="3103">
        <v>1.02</v>
      </c>
      <c r="O3" s="3103" t="s">
        <v>3197</v>
      </c>
      <c r="P3" s="3103" t="s">
        <v>3198</v>
      </c>
      <c r="Q3" s="3104">
        <f t="shared" ref="Q3:Q16" si="0">ROUND(L3/D3*10000,0)</f>
        <v>8129</v>
      </c>
    </row>
    <row r="4" spans="1:17">
      <c r="A4" s="3102" t="s">
        <v>3199</v>
      </c>
      <c r="B4" s="3102" t="s">
        <v>3186</v>
      </c>
      <c r="C4" s="3102" t="s">
        <v>3187</v>
      </c>
      <c r="D4" s="3102">
        <v>866.81</v>
      </c>
      <c r="E4" s="3102">
        <v>693.45</v>
      </c>
      <c r="F4" s="3102" t="s">
        <v>3200</v>
      </c>
      <c r="G4" s="3102" t="s">
        <v>3189</v>
      </c>
      <c r="H4" s="3102" t="s">
        <v>3190</v>
      </c>
      <c r="I4" s="3102" t="s">
        <v>3201</v>
      </c>
      <c r="J4" s="3102" t="s">
        <v>3201</v>
      </c>
      <c r="K4" s="3102">
        <v>572.44000000000005</v>
      </c>
      <c r="L4" s="3102">
        <v>666</v>
      </c>
      <c r="M4" s="3102">
        <v>9604.14</v>
      </c>
      <c r="N4" s="3102">
        <v>16.34</v>
      </c>
      <c r="O4" s="3102" t="s">
        <v>3202</v>
      </c>
      <c r="P4" s="3102" t="s">
        <v>3193</v>
      </c>
      <c r="Q4">
        <f t="shared" si="0"/>
        <v>7683</v>
      </c>
    </row>
    <row r="5" spans="1:17">
      <c r="A5" s="3102" t="s">
        <v>3203</v>
      </c>
      <c r="B5" s="3102" t="s">
        <v>3186</v>
      </c>
      <c r="C5" s="3102" t="s">
        <v>3187</v>
      </c>
      <c r="D5" s="3102">
        <v>2771.14</v>
      </c>
      <c r="E5" s="3102">
        <v>1662.68</v>
      </c>
      <c r="F5" s="3102" t="s">
        <v>3204</v>
      </c>
      <c r="G5" s="3102" t="s">
        <v>3189</v>
      </c>
      <c r="H5" s="3102" t="s">
        <v>3190</v>
      </c>
      <c r="I5" s="3102" t="s">
        <v>3201</v>
      </c>
      <c r="J5" s="3102" t="s">
        <v>3201</v>
      </c>
      <c r="K5" s="3102">
        <v>1665.73</v>
      </c>
      <c r="L5" s="3102">
        <v>1868</v>
      </c>
      <c r="M5" s="3102">
        <v>11234.87</v>
      </c>
      <c r="N5" s="3102">
        <v>12.14</v>
      </c>
      <c r="O5" s="3102" t="s">
        <v>3202</v>
      </c>
      <c r="P5" s="3102" t="s">
        <v>3193</v>
      </c>
      <c r="Q5">
        <f t="shared" si="0"/>
        <v>6741</v>
      </c>
    </row>
    <row r="6" spans="1:17" s="3104" customFormat="1">
      <c r="A6" s="3103" t="s">
        <v>3205</v>
      </c>
      <c r="B6" s="3103" t="s">
        <v>3186</v>
      </c>
      <c r="C6" s="3103" t="s">
        <v>3187</v>
      </c>
      <c r="D6" s="3103">
        <v>5021.0200000000004</v>
      </c>
      <c r="E6" s="3103">
        <v>5021.0200000000004</v>
      </c>
      <c r="F6" s="3103" t="s">
        <v>3206</v>
      </c>
      <c r="G6" s="3103" t="s">
        <v>3189</v>
      </c>
      <c r="H6" s="3103" t="s">
        <v>3190</v>
      </c>
      <c r="I6" s="3103" t="s">
        <v>3201</v>
      </c>
      <c r="J6" s="3103" t="s">
        <v>3201</v>
      </c>
      <c r="K6" s="3103">
        <v>3515.71</v>
      </c>
      <c r="L6" s="3103">
        <v>4020</v>
      </c>
      <c r="M6" s="3103">
        <v>8006.34</v>
      </c>
      <c r="N6" s="3103">
        <v>14.34</v>
      </c>
      <c r="O6" s="3103" t="s">
        <v>3202</v>
      </c>
      <c r="P6" s="3103" t="s">
        <v>3198</v>
      </c>
      <c r="Q6" s="3104">
        <f t="shared" si="0"/>
        <v>8006</v>
      </c>
    </row>
    <row r="7" spans="1:17">
      <c r="A7" s="3102" t="s">
        <v>3207</v>
      </c>
      <c r="B7" s="3102" t="s">
        <v>3186</v>
      </c>
      <c r="C7" s="3102" t="s">
        <v>3187</v>
      </c>
      <c r="D7" s="3102">
        <v>5072.51</v>
      </c>
      <c r="E7" s="3102">
        <v>2029</v>
      </c>
      <c r="F7" s="3102" t="s">
        <v>3208</v>
      </c>
      <c r="G7" s="3102" t="s">
        <v>3189</v>
      </c>
      <c r="H7" s="3102" t="s">
        <v>3190</v>
      </c>
      <c r="I7" s="3102" t="s">
        <v>3209</v>
      </c>
      <c r="J7" s="3102" t="s">
        <v>3209</v>
      </c>
      <c r="K7" s="3102" t="s">
        <v>1298</v>
      </c>
      <c r="L7" s="3102">
        <v>2347</v>
      </c>
      <c r="M7" s="3102">
        <v>11567.27</v>
      </c>
      <c r="N7" s="3102" t="s">
        <v>1298</v>
      </c>
      <c r="O7" s="3102" t="s">
        <v>3210</v>
      </c>
      <c r="P7" s="3102" t="s">
        <v>3193</v>
      </c>
      <c r="Q7">
        <f t="shared" si="0"/>
        <v>4627</v>
      </c>
    </row>
    <row r="8" spans="1:17">
      <c r="A8" s="3102" t="s">
        <v>3211</v>
      </c>
      <c r="B8" s="3102" t="s">
        <v>3186</v>
      </c>
      <c r="C8" s="3102" t="s">
        <v>3187</v>
      </c>
      <c r="D8" s="3102">
        <v>3435.87</v>
      </c>
      <c r="E8" s="3102">
        <v>1374.35</v>
      </c>
      <c r="F8" s="3102" t="s">
        <v>3208</v>
      </c>
      <c r="G8" s="3102" t="s">
        <v>3189</v>
      </c>
      <c r="H8" s="3102" t="s">
        <v>3190</v>
      </c>
      <c r="I8" s="3102" t="s">
        <v>3209</v>
      </c>
      <c r="J8" s="3102" t="s">
        <v>3209</v>
      </c>
      <c r="K8" s="3102" t="s">
        <v>1298</v>
      </c>
      <c r="L8" s="3102">
        <v>1492</v>
      </c>
      <c r="M8" s="3102">
        <v>10856.04</v>
      </c>
      <c r="N8" s="3102" t="s">
        <v>1298</v>
      </c>
      <c r="O8" s="3102" t="s">
        <v>3210</v>
      </c>
      <c r="P8" s="3102" t="s">
        <v>3198</v>
      </c>
      <c r="Q8">
        <f t="shared" si="0"/>
        <v>4342</v>
      </c>
    </row>
    <row r="9" spans="1:17">
      <c r="A9" s="3102" t="s">
        <v>3212</v>
      </c>
      <c r="B9" s="3102" t="s">
        <v>3186</v>
      </c>
      <c r="C9" s="3102" t="s">
        <v>3187</v>
      </c>
      <c r="D9" s="3102">
        <v>209189.58</v>
      </c>
      <c r="E9" s="3102">
        <v>125513.75</v>
      </c>
      <c r="F9" s="3102" t="s">
        <v>3213</v>
      </c>
      <c r="G9" s="3102" t="s">
        <v>3189</v>
      </c>
      <c r="H9" s="3102" t="s">
        <v>3214</v>
      </c>
      <c r="I9" s="3102" t="s">
        <v>3215</v>
      </c>
      <c r="J9" s="3102" t="s">
        <v>3215</v>
      </c>
      <c r="K9" s="3102" t="s">
        <v>1298</v>
      </c>
      <c r="L9" s="3102">
        <v>56030</v>
      </c>
      <c r="M9" s="3102">
        <v>4464.05</v>
      </c>
      <c r="N9" s="3102" t="s">
        <v>1298</v>
      </c>
      <c r="O9" s="3102" t="s">
        <v>3216</v>
      </c>
      <c r="P9" s="3102" t="s">
        <v>3193</v>
      </c>
      <c r="Q9">
        <f t="shared" si="0"/>
        <v>2678</v>
      </c>
    </row>
    <row r="10" spans="1:17">
      <c r="A10" s="3102" t="s">
        <v>3217</v>
      </c>
      <c r="B10" s="3102" t="s">
        <v>3186</v>
      </c>
      <c r="C10" s="3102" t="s">
        <v>3187</v>
      </c>
      <c r="D10" s="3102">
        <v>74324.13</v>
      </c>
      <c r="E10" s="3102">
        <v>22297.24</v>
      </c>
      <c r="F10" s="3102" t="s">
        <v>3218</v>
      </c>
      <c r="G10" s="3102" t="s">
        <v>3189</v>
      </c>
      <c r="H10" s="3102" t="s">
        <v>3190</v>
      </c>
      <c r="I10" s="3102" t="s">
        <v>3219</v>
      </c>
      <c r="J10" s="3102" t="s">
        <v>3219</v>
      </c>
      <c r="K10" s="3102">
        <v>37949.9</v>
      </c>
      <c r="L10" s="3102">
        <v>40239</v>
      </c>
      <c r="M10" s="3102">
        <v>18046.63</v>
      </c>
      <c r="N10" s="3102">
        <v>6.03</v>
      </c>
      <c r="O10" s="3102" t="s">
        <v>3220</v>
      </c>
      <c r="P10" s="3102" t="s">
        <v>3198</v>
      </c>
      <c r="Q10">
        <f t="shared" si="0"/>
        <v>5414</v>
      </c>
    </row>
    <row r="11" spans="1:17">
      <c r="A11" s="3102" t="s">
        <v>3221</v>
      </c>
      <c r="B11" s="3102" t="s">
        <v>3186</v>
      </c>
      <c r="C11" s="3102" t="s">
        <v>3187</v>
      </c>
      <c r="D11" s="3102">
        <v>2865.2</v>
      </c>
      <c r="E11" s="3102">
        <v>1146.08</v>
      </c>
      <c r="F11" s="3102" t="s">
        <v>3222</v>
      </c>
      <c r="G11" s="3102" t="s">
        <v>3189</v>
      </c>
      <c r="H11" s="3102" t="s">
        <v>3223</v>
      </c>
      <c r="I11" s="3102" t="s">
        <v>3224</v>
      </c>
      <c r="J11" s="3102" t="s">
        <v>3224</v>
      </c>
      <c r="K11" s="3102">
        <v>1038.3399999999999</v>
      </c>
      <c r="L11" s="3102">
        <v>1150</v>
      </c>
      <c r="M11" s="3102">
        <v>10034.200000000001</v>
      </c>
      <c r="N11" s="3102">
        <v>10.75</v>
      </c>
      <c r="O11" s="3102" t="s">
        <v>3225</v>
      </c>
      <c r="P11" s="3102" t="s">
        <v>3198</v>
      </c>
      <c r="Q11">
        <f t="shared" si="0"/>
        <v>4014</v>
      </c>
    </row>
    <row r="12" spans="1:17">
      <c r="A12" s="3102" t="s">
        <v>3226</v>
      </c>
      <c r="B12" s="3102" t="s">
        <v>3186</v>
      </c>
      <c r="C12" s="3102" t="s">
        <v>3187</v>
      </c>
      <c r="D12" s="3102">
        <v>8481.24</v>
      </c>
      <c r="E12" s="3102">
        <v>5597.62</v>
      </c>
      <c r="F12" s="3102" t="s">
        <v>3227</v>
      </c>
      <c r="G12" s="3102" t="s">
        <v>3189</v>
      </c>
      <c r="H12" s="3102" t="s">
        <v>3228</v>
      </c>
      <c r="I12" s="3102" t="s">
        <v>3229</v>
      </c>
      <c r="J12" s="3102" t="s">
        <v>3229</v>
      </c>
      <c r="K12" s="3102">
        <v>4110.8500000000004</v>
      </c>
      <c r="L12" s="3102">
        <v>4350</v>
      </c>
      <c r="M12" s="3102">
        <v>7771.15</v>
      </c>
      <c r="N12" s="3102">
        <v>5.82</v>
      </c>
      <c r="O12" s="3102" t="s">
        <v>3230</v>
      </c>
      <c r="P12" s="3102" t="s">
        <v>3198</v>
      </c>
      <c r="Q12">
        <f t="shared" si="0"/>
        <v>5129</v>
      </c>
    </row>
    <row r="13" spans="1:17" s="3104" customFormat="1">
      <c r="A13" s="3103" t="s">
        <v>3231</v>
      </c>
      <c r="B13" s="3103" t="s">
        <v>3186</v>
      </c>
      <c r="C13" s="3103" t="s">
        <v>3187</v>
      </c>
      <c r="D13" s="3103">
        <v>74514.399999999994</v>
      </c>
      <c r="E13" s="3103">
        <v>89417.279999999999</v>
      </c>
      <c r="F13" s="3103" t="s">
        <v>3232</v>
      </c>
      <c r="G13" s="3103" t="s">
        <v>3189</v>
      </c>
      <c r="H13" s="3103" t="s">
        <v>3228</v>
      </c>
      <c r="I13" s="3103" t="s">
        <v>3233</v>
      </c>
      <c r="J13" s="3103" t="s">
        <v>3233</v>
      </c>
      <c r="K13" s="3103">
        <v>61459.48</v>
      </c>
      <c r="L13" s="3103">
        <v>63949</v>
      </c>
      <c r="M13" s="3103">
        <v>7151.75</v>
      </c>
      <c r="N13" s="3103">
        <v>4.05</v>
      </c>
      <c r="O13" s="3103" t="s">
        <v>3234</v>
      </c>
      <c r="P13" s="3103" t="s">
        <v>3193</v>
      </c>
      <c r="Q13" s="3104">
        <f t="shared" si="0"/>
        <v>8582</v>
      </c>
    </row>
    <row r="14" spans="1:17">
      <c r="A14" s="3102" t="s">
        <v>3235</v>
      </c>
      <c r="B14" s="3102" t="s">
        <v>3186</v>
      </c>
      <c r="C14" s="3102" t="s">
        <v>3187</v>
      </c>
      <c r="D14" s="3102">
        <v>143540.9</v>
      </c>
      <c r="E14" s="3102">
        <v>100478.6</v>
      </c>
      <c r="F14" s="3102" t="s">
        <v>3236</v>
      </c>
      <c r="G14" s="3102" t="s">
        <v>3189</v>
      </c>
      <c r="H14" s="3102" t="s">
        <v>3223</v>
      </c>
      <c r="I14" s="3102" t="s">
        <v>3237</v>
      </c>
      <c r="J14" s="3102" t="s">
        <v>3237</v>
      </c>
      <c r="K14" s="3102" t="s">
        <v>1298</v>
      </c>
      <c r="L14" s="3102">
        <v>84458</v>
      </c>
      <c r="M14" s="3102">
        <v>8405.56</v>
      </c>
      <c r="N14" s="3102" t="s">
        <v>1298</v>
      </c>
      <c r="O14" s="3102" t="s">
        <v>3238</v>
      </c>
      <c r="P14" s="3102" t="s">
        <v>3193</v>
      </c>
      <c r="Q14">
        <f t="shared" si="0"/>
        <v>5884</v>
      </c>
    </row>
    <row r="15" spans="1:17">
      <c r="A15" s="3102" t="s">
        <v>3239</v>
      </c>
      <c r="B15" s="3102" t="s">
        <v>3186</v>
      </c>
      <c r="C15" s="3102" t="s">
        <v>3187</v>
      </c>
      <c r="D15" s="3102">
        <v>160639.6</v>
      </c>
      <c r="E15" s="3102">
        <v>77107.009999999995</v>
      </c>
      <c r="F15" s="3102" t="s">
        <v>3240</v>
      </c>
      <c r="G15" s="3102" t="s">
        <v>3189</v>
      </c>
      <c r="H15" s="3102" t="s">
        <v>3228</v>
      </c>
      <c r="I15" s="3102" t="s">
        <v>3241</v>
      </c>
      <c r="J15" s="3102" t="s">
        <v>3241</v>
      </c>
      <c r="K15" s="3102" t="s">
        <v>1298</v>
      </c>
      <c r="L15" s="3102">
        <v>64820</v>
      </c>
      <c r="M15" s="3102">
        <v>8406.5</v>
      </c>
      <c r="N15" s="3102" t="s">
        <v>1298</v>
      </c>
      <c r="O15" s="3102" t="s">
        <v>3242</v>
      </c>
      <c r="P15" s="3102" t="s">
        <v>3198</v>
      </c>
      <c r="Q15">
        <f t="shared" si="0"/>
        <v>4035</v>
      </c>
    </row>
    <row r="16" spans="1:17">
      <c r="A16" s="3102" t="s">
        <v>3243</v>
      </c>
      <c r="B16" s="3102" t="s">
        <v>3186</v>
      </c>
      <c r="C16" s="3102" t="s">
        <v>3187</v>
      </c>
      <c r="D16" s="3102">
        <v>105521.3</v>
      </c>
      <c r="E16" s="3102">
        <v>63312.77</v>
      </c>
      <c r="F16" s="3102" t="s">
        <v>3204</v>
      </c>
      <c r="G16" s="3102" t="s">
        <v>3189</v>
      </c>
      <c r="H16" s="3102" t="s">
        <v>3228</v>
      </c>
      <c r="I16" s="3102" t="s">
        <v>3244</v>
      </c>
      <c r="J16" s="3102" t="s">
        <v>3244</v>
      </c>
      <c r="K16" s="3102" t="s">
        <v>1298</v>
      </c>
      <c r="L16" s="3102">
        <v>44010</v>
      </c>
      <c r="M16" s="3102">
        <v>6951.19</v>
      </c>
      <c r="N16" s="3102" t="s">
        <v>1298</v>
      </c>
      <c r="O16" s="3102" t="s">
        <v>3245</v>
      </c>
      <c r="P16" s="3102" t="s">
        <v>3198</v>
      </c>
      <c r="Q16">
        <f t="shared" si="0"/>
        <v>4171</v>
      </c>
    </row>
  </sheetData>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14" sqref="C14"/>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2282</v>
      </c>
      <c r="B1" s="1353"/>
      <c r="C1" s="1354"/>
      <c r="D1" s="1352"/>
      <c r="E1" s="3039"/>
      <c r="F1" s="3039"/>
      <c r="G1" s="2902"/>
      <c r="H1" s="3039"/>
      <c r="I1" s="3039"/>
      <c r="J1" s="3039"/>
      <c r="K1" s="3040">
        <f>MATCH(C1,'数据-取费表'!A6:A16,0)+5</f>
        <v>7</v>
      </c>
    </row>
    <row r="2" spans="1:33" ht="18" customHeight="1">
      <c r="A2" s="207" t="s">
        <v>2150</v>
      </c>
      <c r="B2" s="210">
        <f ca="1">C32</f>
        <v>63560</v>
      </c>
      <c r="C2" s="282" t="s">
        <v>2283</v>
      </c>
      <c r="D2" s="282"/>
      <c r="E2" s="3039"/>
      <c r="F2" s="3039"/>
      <c r="G2" s="3039"/>
      <c r="H2" s="3039"/>
      <c r="I2" s="3039"/>
      <c r="J2" s="3039"/>
      <c r="K2" s="3039"/>
    </row>
    <row r="3" spans="1:33" ht="18" customHeight="1" thickBot="1">
      <c r="A3" s="209" t="s">
        <v>2152</v>
      </c>
      <c r="B3" s="210">
        <f ca="1">ROUND(B2*10000/IF(C1="",'数据-汇总表'!E3,INDIRECT("'数据-取费表'!K"&amp;$K$1)),0)</f>
        <v>55117</v>
      </c>
      <c r="C3" s="282" t="s">
        <v>2284</v>
      </c>
      <c r="D3" s="282"/>
      <c r="E3" s="3039"/>
      <c r="F3" s="3039"/>
      <c r="G3" s="3039"/>
      <c r="H3" s="3039"/>
      <c r="I3" s="3039"/>
      <c r="J3" s="3039"/>
      <c r="K3" s="3039"/>
    </row>
    <row r="4" spans="1:33" s="893" customFormat="1" ht="16.5" customHeight="1">
      <c r="A4" s="890" t="s">
        <v>2285</v>
      </c>
      <c r="B4" s="891"/>
      <c r="C4" s="933">
        <f>SUM(C8:K8)</f>
        <v>115813.20000000003</v>
      </c>
      <c r="D4" s="891"/>
      <c r="E4" s="891"/>
      <c r="F4" s="891"/>
      <c r="G4" s="891"/>
      <c r="H4" s="891"/>
      <c r="I4" s="891"/>
      <c r="J4" s="891"/>
      <c r="K4" s="892"/>
    </row>
    <row r="5" spans="1:33" s="897" customFormat="1" ht="15">
      <c r="A5" s="894" t="s">
        <v>2286</v>
      </c>
      <c r="B5" s="895" t="s">
        <v>2287</v>
      </c>
      <c r="C5" s="2048" t="s">
        <v>3164</v>
      </c>
      <c r="D5" s="2048"/>
      <c r="E5" s="2048"/>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v>200000</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5790.6600000000008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f>C6*C7/10000</f>
        <v>115813.20000000003</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11694</v>
      </c>
      <c r="D11" s="910"/>
      <c r="E11" s="335"/>
      <c r="F11" s="911">
        <f ca="1">1-IF('数据-取费表'!B24=0,1,IF(C1="",'数据-取费表'!N16,INDIRECT("'数据-取费表'!n"&amp;$K$1)))</f>
        <v>0.78</v>
      </c>
      <c r="G11" s="8"/>
      <c r="H11" s="905"/>
      <c r="I11" s="905"/>
      <c r="J11" s="905"/>
      <c r="K11" s="906"/>
    </row>
    <row r="12" spans="1:33" s="912" customFormat="1" ht="13.5" customHeight="1">
      <c r="A12" s="908" t="s">
        <v>1301</v>
      </c>
      <c r="B12" s="909" t="s">
        <v>2301</v>
      </c>
      <c r="C12" s="24">
        <f ca="1">ROUND(C11*F12,0)</f>
        <v>585</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259</v>
      </c>
      <c r="D14" s="3522">
        <f>成本法!D10</f>
        <v>16627.460000000003</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175</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12713</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ROUND(D17*E17/10000,0)</f>
        <v>0</v>
      </c>
      <c r="D17" s="3522">
        <f>D14</f>
        <v>16627.460000000003</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50"/>
      <c r="H18" s="1349">
        <v>0</v>
      </c>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220</v>
      </c>
      <c r="F19" s="913"/>
      <c r="G19" s="15"/>
      <c r="H19" s="1351"/>
      <c r="I19" s="918"/>
      <c r="J19" s="918"/>
      <c r="K19" s="919"/>
    </row>
    <row r="20" spans="1:33" s="912" customFormat="1" ht="13.5" customHeight="1">
      <c r="A20" s="908" t="s">
        <v>806</v>
      </c>
      <c r="B20" s="909" t="s">
        <v>2315</v>
      </c>
      <c r="C20" s="24">
        <f>ROUND(D20*E20/10000,0)</f>
        <v>366</v>
      </c>
      <c r="D20" s="3522">
        <f>成本法!D10</f>
        <v>16627.460000000003</v>
      </c>
      <c r="E20" s="24">
        <f>'数据-取费表'!B28</f>
        <v>220</v>
      </c>
      <c r="F20" s="913"/>
      <c r="G20" s="15"/>
      <c r="H20" s="918"/>
      <c r="I20" s="918"/>
      <c r="J20" s="918"/>
      <c r="K20" s="919"/>
    </row>
    <row r="21" spans="1:33" s="912" customFormat="1" ht="13.5" customHeight="1">
      <c r="A21" s="898" t="s">
        <v>802</v>
      </c>
      <c r="B21" s="922" t="s">
        <v>2316</v>
      </c>
      <c r="C21" s="923">
        <f ca="1">C16+C17+C18</f>
        <v>12713</v>
      </c>
      <c r="D21" s="924"/>
      <c r="E21" s="287"/>
      <c r="F21" s="287"/>
      <c r="G21" s="136" t="s">
        <v>2317</v>
      </c>
      <c r="H21" s="916"/>
      <c r="I21" s="916"/>
      <c r="J21" s="916"/>
      <c r="K21" s="917"/>
    </row>
    <row r="22" spans="1:33" s="912" customFormat="1" ht="13.5" customHeight="1">
      <c r="A22" s="898" t="s">
        <v>2289</v>
      </c>
      <c r="B22" s="922" t="s">
        <v>2318</v>
      </c>
      <c r="C22" s="923">
        <f ca="1">ROUND(C21*F22,0)</f>
        <v>381</v>
      </c>
      <c r="D22" s="287"/>
      <c r="E22" s="287"/>
      <c r="F22" s="925">
        <f>'数据-取费表'!B37</f>
        <v>0.03</v>
      </c>
      <c r="G22" s="8" t="s">
        <v>2319</v>
      </c>
      <c r="H22" s="905"/>
      <c r="I22" s="905"/>
      <c r="J22" s="905"/>
      <c r="K22" s="906"/>
    </row>
    <row r="23" spans="1:33" s="912" customFormat="1" ht="13.5" customHeight="1">
      <c r="A23" s="898" t="s">
        <v>2291</v>
      </c>
      <c r="B23" s="922" t="s">
        <v>2320</v>
      </c>
      <c r="C23" s="923">
        <f ca="1">ROUND(C4*F23*F11,0)</f>
        <v>2710</v>
      </c>
      <c r="D23" s="287"/>
      <c r="E23" s="287"/>
      <c r="F23" s="925">
        <f>'数据-取费表'!B38</f>
        <v>0.03</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882</v>
      </c>
      <c r="D25" s="286">
        <f ca="1">C26</f>
        <v>0.11799999999999999</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0.11799999999999999</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882</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2329</v>
      </c>
      <c r="B28" s="2053" t="s">
        <v>2330</v>
      </c>
      <c r="C28" s="293">
        <f ca="1">C30</f>
        <v>4741</v>
      </c>
      <c r="D28" s="286">
        <f ca="1">C29</f>
        <v>0.24079999999999999</v>
      </c>
      <c r="E28" s="288" t="s">
        <v>15</v>
      </c>
      <c r="F28" s="294">
        <f ca="1">IF(C1="",'数据-取费表'!Q16,INDIRECT("'数据-取费表'!q"&amp;$K$1))</f>
        <v>0.3</v>
      </c>
      <c r="G28" s="926"/>
      <c r="H28" s="927"/>
      <c r="I28" s="927"/>
      <c r="J28" s="927"/>
      <c r="K28" s="928"/>
    </row>
    <row r="29" spans="1:33" s="297" customFormat="1" ht="13.5" customHeight="1">
      <c r="A29" s="908" t="s">
        <v>803</v>
      </c>
      <c r="B29" s="931" t="s">
        <v>2331</v>
      </c>
      <c r="C29" s="290">
        <f ca="1">ROUND((1+C24)*F28*'数据-取费表'!B24/'数据-取费表'!B20,4)</f>
        <v>0.24079999999999999</v>
      </c>
      <c r="D29" s="290"/>
      <c r="E29" s="291"/>
      <c r="F29" s="296"/>
      <c r="G29" s="136" t="s">
        <v>2332</v>
      </c>
      <c r="H29" s="916"/>
      <c r="I29" s="916"/>
      <c r="J29" s="916"/>
      <c r="K29" s="917"/>
    </row>
    <row r="30" spans="1:33" s="297" customFormat="1" ht="13.5" customHeight="1">
      <c r="A30" s="908" t="s">
        <v>804</v>
      </c>
      <c r="B30" s="931" t="s">
        <v>2333</v>
      </c>
      <c r="C30" s="298">
        <f ca="1">ROUND((C21+C22+C23)*F28,0)</f>
        <v>4741</v>
      </c>
      <c r="D30" s="290"/>
      <c r="E30" s="291"/>
      <c r="F30" s="296"/>
      <c r="G30" s="136"/>
      <c r="H30" s="916"/>
      <c r="I30" s="916"/>
      <c r="J30" s="916"/>
      <c r="K30" s="917"/>
    </row>
    <row r="31" spans="1:33" s="912" customFormat="1" ht="13.5" customHeight="1" thickBot="1">
      <c r="A31" s="2054" t="s">
        <v>2334</v>
      </c>
      <c r="B31" s="942" t="s">
        <v>2335</v>
      </c>
      <c r="C31" s="943">
        <f>ROUND(C4*F31/(1+'数据-取费表'!C42),0)</f>
        <v>6177</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63560</v>
      </c>
      <c r="D32" s="938"/>
      <c r="E32" s="938"/>
      <c r="F32" s="938"/>
      <c r="G32" s="940" t="s">
        <v>2338</v>
      </c>
      <c r="H32" s="938"/>
      <c r="I32" s="938"/>
      <c r="J32" s="938"/>
      <c r="K32" s="94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-2.34</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t="e">
        <f ca="1">C40+J29+L46</f>
        <v>#DIV/0!</v>
      </c>
      <c r="C2" s="1573" t="s">
        <v>1481</v>
      </c>
      <c r="D2" s="1573"/>
      <c r="E2" s="1574"/>
      <c r="F2" s="1575"/>
      <c r="G2" s="2937"/>
      <c r="H2" s="2926"/>
      <c r="I2" s="2926"/>
      <c r="J2" s="2926"/>
      <c r="K2" s="2927"/>
      <c r="L2" s="2926"/>
      <c r="M2" s="2926"/>
    </row>
    <row r="3" spans="1:37" ht="18" customHeight="1" thickBot="1">
      <c r="A3" s="1576" t="s">
        <v>1482</v>
      </c>
      <c r="B3" s="1577">
        <f ca="1">IF(ISERROR(B2*10000/F43),0,ROUND(B2*10000/F43,0))</f>
        <v>0</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0</v>
      </c>
      <c r="D5" s="1550" t="s">
        <v>1367</v>
      </c>
      <c r="E5" s="1203"/>
      <c r="F5" s="1204"/>
      <c r="G5" s="1570"/>
      <c r="H5" s="305">
        <v>1</v>
      </c>
      <c r="I5" s="306" t="s">
        <v>1366</v>
      </c>
      <c r="J5" s="1202">
        <f ca="1">J6+J10+J12</f>
        <v>0</v>
      </c>
      <c r="K5" s="1550" t="s">
        <v>1367</v>
      </c>
      <c r="L5" s="1203"/>
      <c r="M5" s="1204"/>
    </row>
    <row r="6" spans="1:37" ht="18" customHeight="1">
      <c r="A6" s="1201" t="s">
        <v>1003</v>
      </c>
      <c r="B6" s="3420" t="s">
        <v>1368</v>
      </c>
      <c r="C6" s="1206">
        <f ca="1">ROUND(F6*F8*F7*(1-F9)/10000,0)</f>
        <v>0</v>
      </c>
      <c r="D6" s="160" t="s">
        <v>2849</v>
      </c>
      <c r="E6" s="308" t="s">
        <v>1370</v>
      </c>
      <c r="F6" s="309">
        <f ca="1">INDIRECT("'数据-取费表'!u"&amp;$G$1)</f>
        <v>0</v>
      </c>
      <c r="G6" s="1570"/>
      <c r="H6" s="1201" t="s">
        <v>1003</v>
      </c>
      <c r="I6" s="3420" t="s">
        <v>1368</v>
      </c>
      <c r="J6" s="307">
        <f ca="1">ROUND(M6*M8*M7*(1-M9)/10000,0)</f>
        <v>0</v>
      </c>
      <c r="K6" s="160" t="s">
        <v>2848</v>
      </c>
      <c r="L6" s="308" t="s">
        <v>1370</v>
      </c>
      <c r="M6" s="309">
        <f ca="1">INDIRECT("'数据-取费表'!z"&amp;$G$1)</f>
        <v>0</v>
      </c>
    </row>
    <row r="7" spans="1:37" ht="18" customHeight="1">
      <c r="A7" s="1205"/>
      <c r="B7" s="3421"/>
      <c r="C7" s="1207"/>
      <c r="D7" s="313"/>
      <c r="E7" s="1208" t="s">
        <v>1371</v>
      </c>
      <c r="F7" s="309">
        <f ca="1">IF(INDIRECT("'数据-取费表'!ah"&amp;$G$1)="",INDIRECT("'数据-取费表'!k"&amp;$G$1),INDIRECT("'数据-取费表'!ah"&amp;$G$1))</f>
        <v>0</v>
      </c>
      <c r="G7" s="1570"/>
      <c r="H7" s="310"/>
      <c r="I7" s="3421"/>
      <c r="J7" s="312"/>
      <c r="K7" s="313"/>
      <c r="L7" s="308" t="s">
        <v>1371</v>
      </c>
      <c r="M7" s="309">
        <f ca="1">F7</f>
        <v>0</v>
      </c>
    </row>
    <row r="8" spans="1:37" ht="18" customHeight="1">
      <c r="A8" s="310"/>
      <c r="B8" s="3421"/>
      <c r="C8" s="312"/>
      <c r="D8" s="313"/>
      <c r="E8" s="308" t="s">
        <v>1372</v>
      </c>
      <c r="F8" s="309">
        <f ca="1">INDIRECT("'数据-取费表'!ai"&amp;$G$1)</f>
        <v>0</v>
      </c>
      <c r="G8" s="1570"/>
      <c r="H8" s="310"/>
      <c r="I8" s="3421"/>
      <c r="J8" s="312"/>
      <c r="K8" s="313"/>
      <c r="L8" s="308" t="s">
        <v>1372</v>
      </c>
      <c r="M8" s="309">
        <f ca="1">INDIRECT("'数据-取费表'!ai"&amp;$G$1)</f>
        <v>0</v>
      </c>
    </row>
    <row r="9" spans="1:37" ht="18" customHeight="1">
      <c r="A9" s="310"/>
      <c r="B9" s="3422"/>
      <c r="C9" s="312"/>
      <c r="D9" s="313"/>
      <c r="E9" s="308" t="s">
        <v>1373</v>
      </c>
      <c r="F9" s="318">
        <f ca="1">INDIRECT("'数据-取费表'!w"&amp;$G$1)</f>
        <v>0</v>
      </c>
      <c r="G9" s="1570"/>
      <c r="H9" s="310"/>
      <c r="I9" s="342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52" t="s">
        <v>2856</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ROUND(F17*(F43+INDIRECT("'数据-取费表'!S"&amp;$G$1))/10000,0)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IF(K19="按租金收入计税",ROUND(J6*M19/(1+'数据-取费表'!C42),2),ROUND(C29*M19*0.7,2))</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ROUND(M20*M21/10000,2)</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ROUND(J13*M23,1)</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IF(项目基本情况!B11="自然人","——",ROUND(C6*F32/(1+'数据-取费表'!C42),2))</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IF(项目基本情况!B11="自然人","——",ROUND(F34*F35/10000,2))</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ROUND(C29*F36,1)</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ROUND(C13*F37,1)</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t="e">
        <f ca="1">C68-C40</f>
        <v>#DIV/0!</v>
      </c>
      <c r="D46" s="1592" t="str">
        <f>C2</f>
        <v>万元</v>
      </c>
      <c r="E46" s="1586"/>
      <c r="F46" s="1586"/>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ROUND(F49*F51*F50*(1-F52)/10000,0)</f>
        <v>0</v>
      </c>
      <c r="D49" s="1186" t="s">
        <v>2850</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278"/>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-2.34</v>
      </c>
      <c r="R52" s="1606" t="s">
        <v>1511</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1512</v>
      </c>
      <c r="J53" s="2388">
        <f ca="1">IF(M47="住宅",IF(D1="——",MAX(J51,L48),MAX(J51,L48-'数据-取费表'!B24)),IF(D1="——",MIN(J51,L48),MIN(J51,L48-'数据-取费表'!B24)))</f>
        <v>-2.34</v>
      </c>
      <c r="K53" s="3418" t="s">
        <v>1513</v>
      </c>
      <c r="L53" s="3419"/>
      <c r="O53" s="1604" t="s">
        <v>1014</v>
      </c>
      <c r="P53" s="1605" t="s">
        <v>1514</v>
      </c>
      <c r="Q53" s="1606" t="e">
        <f ca="1">Q47+Q48</f>
        <v>#DIV/0!</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0</v>
      </c>
      <c r="D56" s="1633"/>
      <c r="E56" s="1634"/>
      <c r="F56" s="1626"/>
      <c r="I56" s="1635" t="s">
        <v>1519</v>
      </c>
      <c r="J56" s="1636"/>
      <c r="K56" s="1607" t="s">
        <v>1520</v>
      </c>
      <c r="L56" s="1610">
        <f ca="1">IF(L48&lt;J51,"——",L48-J53)</f>
        <v>2.34</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1522</v>
      </c>
      <c r="L57" s="1610">
        <f ca="1">IF(L48&lt;J51,"——",IF(L55="比较法",L49,IF(L55="基准地价",L50,L51)))</f>
        <v>0</v>
      </c>
      <c r="O57" s="1604" t="s">
        <v>1009</v>
      </c>
      <c r="P57" s="1605" t="s">
        <v>1523</v>
      </c>
      <c r="Q57" s="1606" t="e">
        <f ca="1">L60</f>
        <v>#DIV/0!</v>
      </c>
      <c r="R57" s="1606" t="s">
        <v>1524</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ROUND(C48*F66,1)</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c r="O70" s="1614" t="s">
        <v>1017</v>
      </c>
      <c r="P70" s="1653" t="s">
        <v>1550</v>
      </c>
      <c r="Q70" s="1606">
        <f ca="1">C13</f>
        <v>0</v>
      </c>
      <c r="R70" s="1606" t="s">
        <v>1494</v>
      </c>
    </row>
    <row r="71" spans="1:18" s="1570" customFormat="1" ht="13.5" thickBot="1">
      <c r="A71" s="1102" t="s">
        <v>1001</v>
      </c>
      <c r="B71" s="1103" t="s">
        <v>1452</v>
      </c>
      <c r="C71" s="342" t="e">
        <f ca="1">ROUND(C68*10000/F71,0)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-2.34</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420" t="s">
        <v>1368</v>
      </c>
      <c r="C6" s="1206">
        <f ca="1">ROUND(F6*F8*F7*(1-F9),0)</f>
        <v>0</v>
      </c>
      <c r="D6" s="160" t="s">
        <v>2846</v>
      </c>
      <c r="E6" s="308" t="s">
        <v>1370</v>
      </c>
      <c r="F6" s="309">
        <f ca="1">INDIRECT("'数据-取费表'!u"&amp;$G$1)</f>
        <v>0</v>
      </c>
      <c r="G6" s="1570"/>
      <c r="H6" s="1201" t="s">
        <v>1003</v>
      </c>
      <c r="I6" s="3420" t="s">
        <v>1368</v>
      </c>
      <c r="J6" s="307">
        <f ca="1">ROUND(M6*M8*M7*(1-M9),0)</f>
        <v>0</v>
      </c>
      <c r="K6" s="1562" t="s">
        <v>2847</v>
      </c>
      <c r="L6" s="308" t="s">
        <v>1370</v>
      </c>
      <c r="M6" s="309">
        <f ca="1">INDIRECT("'数据-取费表'!z"&amp;$G$1)</f>
        <v>0</v>
      </c>
    </row>
    <row r="7" spans="1:37" ht="18" customHeight="1">
      <c r="A7" s="1205"/>
      <c r="B7" s="3421"/>
      <c r="C7" s="1207"/>
      <c r="D7" s="313"/>
      <c r="E7" s="1208" t="s">
        <v>1371</v>
      </c>
      <c r="F7" s="309">
        <f ca="1">IF(INDIRECT("'数据-取费表'!ah"&amp;$G$1)="",INDIRECT("'数据-取费表'!k"&amp;$G$1),INDIRECT("'数据-取费表'!ah"&amp;$G$1))</f>
        <v>0</v>
      </c>
      <c r="G7" s="1570"/>
      <c r="H7" s="310"/>
      <c r="I7" s="3421"/>
      <c r="J7" s="312"/>
      <c r="K7" s="313"/>
      <c r="L7" s="308" t="s">
        <v>1371</v>
      </c>
      <c r="M7" s="309">
        <f ca="1">F7</f>
        <v>0</v>
      </c>
    </row>
    <row r="8" spans="1:37" ht="18" customHeight="1">
      <c r="A8" s="310"/>
      <c r="B8" s="3421"/>
      <c r="C8" s="312"/>
      <c r="D8" s="313"/>
      <c r="E8" s="308" t="s">
        <v>1372</v>
      </c>
      <c r="F8" s="309">
        <f ca="1">INDIRECT("'数据-取费表'!ai"&amp;$G$1)</f>
        <v>0</v>
      </c>
      <c r="G8" s="1570"/>
      <c r="H8" s="310"/>
      <c r="I8" s="3421"/>
      <c r="J8" s="312"/>
      <c r="K8" s="313"/>
      <c r="L8" s="308" t="s">
        <v>1372</v>
      </c>
      <c r="M8" s="309">
        <f ca="1">INDIRECT("'数据-取费表'!ai"&amp;$G$1)</f>
        <v>0</v>
      </c>
    </row>
    <row r="9" spans="1:37" ht="18" customHeight="1">
      <c r="A9" s="310"/>
      <c r="B9" s="3422"/>
      <c r="C9" s="312"/>
      <c r="D9" s="313"/>
      <c r="E9" s="308" t="s">
        <v>1373</v>
      </c>
      <c r="F9" s="318">
        <f ca="1">INDIRECT("'数据-取费表'!w"&amp;$G$1)</f>
        <v>0</v>
      </c>
      <c r="G9" s="1570"/>
      <c r="H9" s="310"/>
      <c r="I9" s="342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0.03</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0.03</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2.2000000000000001E-3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41" t="s">
        <v>3057</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-2.34</v>
      </c>
      <c r="R52" s="1606" t="s">
        <v>1511</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1512</v>
      </c>
      <c r="J53" s="2388">
        <f ca="1">IF(M47="住宅",IF(D1="——",MAX(J51,L48),MAX(J51,L48-'数据-取费表'!B24)),IF(D1="——",MIN(J51,L48),MIN(J51,L48-'数据-取费表'!B24)))</f>
        <v>-2.34</v>
      </c>
      <c r="K53" s="3418" t="s">
        <v>1513</v>
      </c>
      <c r="L53" s="3419"/>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8"/>
      <c r="G1" s="1676"/>
      <c r="H1" s="1676"/>
      <c r="I1" s="1676"/>
      <c r="J1" s="1676"/>
      <c r="K1" s="1676"/>
      <c r="L1" s="1676"/>
      <c r="M1" s="1676"/>
      <c r="N1" s="1676"/>
      <c r="O1" s="1676"/>
      <c r="P1" s="1676"/>
      <c r="Q1" s="1676"/>
      <c r="R1" s="1676"/>
      <c r="S1" s="1676"/>
    </row>
    <row r="2" spans="1:22" ht="15.75">
      <c r="A2" s="2058" t="s">
        <v>2150</v>
      </c>
      <c r="B2" s="2059">
        <f ca="1">SUMIF(B6:B13,"&lt;&gt;#ref!",B6:B13)</f>
        <v>0</v>
      </c>
      <c r="C2" s="2060" t="s">
        <v>2339</v>
      </c>
      <c r="D2" s="2061" t="s">
        <v>2340</v>
      </c>
      <c r="E2" s="2835">
        <f>SUM(E6:E13)</f>
        <v>0</v>
      </c>
      <c r="F2" s="2938"/>
      <c r="G2" s="1676"/>
      <c r="H2" s="1676"/>
      <c r="I2" s="1676"/>
      <c r="J2" s="1676"/>
      <c r="K2" s="1676"/>
      <c r="L2" s="1676"/>
      <c r="M2" s="1676"/>
      <c r="N2" s="1676"/>
      <c r="O2" s="1676"/>
      <c r="P2" s="1676"/>
      <c r="Q2" s="1676"/>
      <c r="R2" s="1676"/>
      <c r="S2" s="1676"/>
    </row>
    <row r="3" spans="1:22" ht="15.75">
      <c r="A3" s="2058" t="s">
        <v>1360</v>
      </c>
      <c r="B3" s="2829" t="e">
        <f ca="1">ROUND(B2*10000/E2,0)</f>
        <v>#DIV/0!</v>
      </c>
      <c r="C3" s="2060" t="s">
        <v>2347</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2341</v>
      </c>
      <c r="B5" s="3423" t="s">
        <v>2342</v>
      </c>
      <c r="C5" s="3424"/>
      <c r="D5" s="2939"/>
      <c r="E5" s="2062" t="s">
        <v>2343</v>
      </c>
      <c r="F5" s="2063" t="s">
        <v>2344</v>
      </c>
      <c r="G5" s="1676"/>
      <c r="H5" s="1676"/>
      <c r="I5" s="1676"/>
      <c r="J5" s="1676"/>
      <c r="K5" s="1676"/>
      <c r="L5" s="1676"/>
      <c r="M5" s="1676"/>
      <c r="N5" s="1676"/>
      <c r="O5" s="1676"/>
      <c r="P5" s="1676"/>
      <c r="Q5" s="1676"/>
      <c r="R5" s="1676"/>
      <c r="S5" s="1676"/>
    </row>
    <row r="6" spans="1:22">
      <c r="A6" s="2832">
        <f>'数据-取费表'!AN6</f>
        <v>0</v>
      </c>
      <c r="B6" s="2830" t="e">
        <f ca="1">IF(F6="是",'数据-取费表'!AO6,0)</f>
        <v>#REF!</v>
      </c>
      <c r="C6" s="2060" t="s">
        <v>2339</v>
      </c>
      <c r="D6" s="2940"/>
      <c r="E6" s="2834">
        <f>IF(OR(A6=0,F6="否"),0,'数据-取费表'!K6+'数据-取费表'!S6)</f>
        <v>0</v>
      </c>
      <c r="F6" s="2064" t="s">
        <v>2345</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2339</v>
      </c>
      <c r="D7" s="2940"/>
      <c r="E7" s="2834">
        <f>IF(OR(A7=0,F7="否"),0,'数据-取费表'!K7+'数据-取费表'!S7)</f>
        <v>0</v>
      </c>
      <c r="F7" s="2064" t="s">
        <v>2345</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2339</v>
      </c>
      <c r="D8" s="2940"/>
      <c r="E8" s="2834">
        <f>IF(OR(A8=0,F8="否"),0,'数据-取费表'!K8+'数据-取费表'!S8)</f>
        <v>0</v>
      </c>
      <c r="F8" s="2064" t="s">
        <v>2345</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2339</v>
      </c>
      <c r="D9" s="2940"/>
      <c r="E9" s="2834">
        <f>IF(OR(A9=0,F9="否"),0,'数据-取费表'!K9+'数据-取费表'!S9)</f>
        <v>0</v>
      </c>
      <c r="F9" s="2064" t="s">
        <v>2345</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2339</v>
      </c>
      <c r="D10" s="2940"/>
      <c r="E10" s="2834">
        <f>IF(OR(A10=0,F10="否"),0,'数据-取费表'!K10+'数据-取费表'!S10)</f>
        <v>0</v>
      </c>
      <c r="F10" s="2064" t="s">
        <v>2345</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2339</v>
      </c>
      <c r="D11" s="2940"/>
      <c r="E11" s="2834">
        <f>IF(OR(A11=0,F11="否"),0,'数据-取费表'!K11+'数据-取费表'!S11)</f>
        <v>0</v>
      </c>
      <c r="F11" s="2064" t="s">
        <v>2345</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2339</v>
      </c>
      <c r="D12" s="2940"/>
      <c r="E12" s="2834">
        <f>IF(OR(A12=0,F12="否"),0,'数据-取费表'!K12+'数据-取费表'!S12)</f>
        <v>0</v>
      </c>
      <c r="F12" s="2064" t="s">
        <v>2345</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2339</v>
      </c>
      <c r="D13" s="2941"/>
      <c r="E13" s="2834">
        <f>IF(OR(A13=0,F13="否"),0,'数据-取费表'!K13+'数据-取费表'!S13)</f>
        <v>0</v>
      </c>
      <c r="F13" s="2064" t="s">
        <v>2345</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441" t="s">
        <v>1044</v>
      </c>
      <c r="B1" s="3442"/>
      <c r="C1" s="3443"/>
      <c r="D1" s="3444">
        <f>SUM(I10,I15,I20,I21,I23)</f>
        <v>0</v>
      </c>
      <c r="E1" s="3444"/>
      <c r="F1" s="3444"/>
      <c r="G1" s="3444"/>
      <c r="H1" s="3444"/>
      <c r="I1" s="3445"/>
    </row>
    <row r="2" spans="1:9">
      <c r="A2" s="3431" t="s">
        <v>1045</v>
      </c>
      <c r="B2" s="3432" t="s">
        <v>1046</v>
      </c>
      <c r="C2" s="3432"/>
      <c r="D2" s="1211" t="s">
        <v>1047</v>
      </c>
      <c r="E2" s="1211" t="s">
        <v>1048</v>
      </c>
      <c r="F2" s="1211" t="s">
        <v>1049</v>
      </c>
      <c r="G2" s="1211" t="s">
        <v>1050</v>
      </c>
      <c r="H2" s="1211" t="s">
        <v>1051</v>
      </c>
      <c r="I2" s="1212" t="s">
        <v>1052</v>
      </c>
    </row>
    <row r="3" spans="1:9">
      <c r="A3" s="3431"/>
      <c r="B3" s="3432" t="s">
        <v>1053</v>
      </c>
      <c r="C3" s="3432"/>
      <c r="D3" s="1213"/>
      <c r="E3" s="1211"/>
      <c r="F3" s="1214"/>
      <c r="G3" s="1214"/>
      <c r="H3" s="1215"/>
      <c r="I3" s="1216">
        <f>ROUND(D3*E3*F3*G3*H3/10000,0)</f>
        <v>0</v>
      </c>
    </row>
    <row r="4" spans="1:9">
      <c r="A4" s="3431"/>
      <c r="B4" s="3432" t="s">
        <v>1054</v>
      </c>
      <c r="C4" s="3432"/>
      <c r="D4" s="1213"/>
      <c r="E4" s="1211"/>
      <c r="F4" s="1214"/>
      <c r="G4" s="1214"/>
      <c r="H4" s="1215"/>
      <c r="I4" s="1216">
        <f t="shared" ref="I4:I9" si="0">ROUND(D4*E4*F4*G4*H4/10000,0)</f>
        <v>0</v>
      </c>
    </row>
    <row r="5" spans="1:9">
      <c r="A5" s="3431"/>
      <c r="B5" s="3432" t="s">
        <v>1055</v>
      </c>
      <c r="C5" s="3432"/>
      <c r="D5" s="1213"/>
      <c r="E5" s="1211"/>
      <c r="F5" s="1214"/>
      <c r="G5" s="1214"/>
      <c r="H5" s="1215"/>
      <c r="I5" s="1216">
        <f t="shared" si="0"/>
        <v>0</v>
      </c>
    </row>
    <row r="6" spans="1:9">
      <c r="A6" s="3431"/>
      <c r="B6" s="3432" t="s">
        <v>1056</v>
      </c>
      <c r="C6" s="3432"/>
      <c r="D6" s="1213"/>
      <c r="E6" s="1211"/>
      <c r="F6" s="1214"/>
      <c r="G6" s="1214"/>
      <c r="H6" s="1215"/>
      <c r="I6" s="1216">
        <f t="shared" si="0"/>
        <v>0</v>
      </c>
    </row>
    <row r="7" spans="1:9">
      <c r="A7" s="3431"/>
      <c r="B7" s="3432" t="s">
        <v>1057</v>
      </c>
      <c r="C7" s="3432"/>
      <c r="D7" s="1213"/>
      <c r="E7" s="1211"/>
      <c r="F7" s="1214"/>
      <c r="G7" s="1214"/>
      <c r="H7" s="1215"/>
      <c r="I7" s="1216">
        <f t="shared" si="0"/>
        <v>0</v>
      </c>
    </row>
    <row r="8" spans="1:9">
      <c r="A8" s="3431"/>
      <c r="B8" s="3432" t="s">
        <v>1058</v>
      </c>
      <c r="C8" s="3432"/>
      <c r="D8" s="1213"/>
      <c r="E8" s="1211"/>
      <c r="F8" s="1214"/>
      <c r="G8" s="1214"/>
      <c r="H8" s="1215"/>
      <c r="I8" s="1216">
        <f t="shared" si="0"/>
        <v>0</v>
      </c>
    </row>
    <row r="9" spans="1:9">
      <c r="A9" s="3431"/>
      <c r="B9" s="3432" t="s">
        <v>1059</v>
      </c>
      <c r="C9" s="3432"/>
      <c r="D9" s="1213"/>
      <c r="E9" s="1211"/>
      <c r="F9" s="1214"/>
      <c r="G9" s="1214"/>
      <c r="H9" s="1215"/>
      <c r="I9" s="1216">
        <f t="shared" si="0"/>
        <v>0</v>
      </c>
    </row>
    <row r="10" spans="1:9">
      <c r="A10" s="3431"/>
      <c r="B10" s="3433" t="s">
        <v>1060</v>
      </c>
      <c r="C10" s="3433"/>
      <c r="D10" s="1217"/>
      <c r="E10" s="1217" t="e">
        <f>ROUND(D1*10000/D10/H9,0)</f>
        <v>#DIV/0!</v>
      </c>
      <c r="F10" s="1218"/>
      <c r="G10" s="1218"/>
      <c r="H10" s="1219"/>
      <c r="I10" s="1220">
        <f>SUM(I3:I9)</f>
        <v>0</v>
      </c>
    </row>
    <row r="11" spans="1:9" ht="14.25">
      <c r="A11" s="3431" t="s">
        <v>1061</v>
      </c>
      <c r="B11" s="3432" t="s">
        <v>1062</v>
      </c>
      <c r="C11" s="3432"/>
      <c r="D11" s="1213" t="s">
        <v>1063</v>
      </c>
      <c r="E11" s="1213" t="s">
        <v>1064</v>
      </c>
      <c r="F11" s="1214" t="s">
        <v>1065</v>
      </c>
      <c r="G11" s="1214" t="s">
        <v>1051</v>
      </c>
      <c r="H11" s="1221" t="s">
        <v>1066</v>
      </c>
      <c r="I11" s="1212" t="s">
        <v>1052</v>
      </c>
    </row>
    <row r="12" spans="1:9">
      <c r="A12" s="3431"/>
      <c r="B12" s="3432" t="s">
        <v>1067</v>
      </c>
      <c r="C12" s="3432"/>
      <c r="D12" s="1213"/>
      <c r="E12" s="1213"/>
      <c r="F12" s="1214"/>
      <c r="G12" s="1215"/>
      <c r="H12" s="1222"/>
      <c r="I12" s="1212">
        <f>ROUND(D12*E12*F12*G12/10000,0)</f>
        <v>0</v>
      </c>
    </row>
    <row r="13" spans="1:9">
      <c r="A13" s="3431"/>
      <c r="B13" s="3432" t="s">
        <v>1068</v>
      </c>
      <c r="C13" s="3432"/>
      <c r="D13" s="1213"/>
      <c r="E13" s="1213"/>
      <c r="F13" s="1214"/>
      <c r="G13" s="1215"/>
      <c r="H13" s="1222"/>
      <c r="I13" s="1212">
        <f>ROUND(D13*E13*F13*G13/10000,0)</f>
        <v>0</v>
      </c>
    </row>
    <row r="14" spans="1:9">
      <c r="A14" s="3431"/>
      <c r="B14" s="3432" t="s">
        <v>1069</v>
      </c>
      <c r="C14" s="3432"/>
      <c r="D14" s="1213"/>
      <c r="E14" s="1213"/>
      <c r="F14" s="1214"/>
      <c r="G14" s="1215"/>
      <c r="H14" s="1222"/>
      <c r="I14" s="1212">
        <f>ROUND(D14*E14*F14*G14/10000,0)</f>
        <v>0</v>
      </c>
    </row>
    <row r="15" spans="1:9">
      <c r="A15" s="3431"/>
      <c r="B15" s="3433" t="s">
        <v>1060</v>
      </c>
      <c r="C15" s="3433"/>
      <c r="D15" s="1217"/>
      <c r="E15" s="1217">
        <f>SUM(E12:E14)</f>
        <v>0</v>
      </c>
      <c r="F15" s="1218"/>
      <c r="G15" s="1215"/>
      <c r="H15" s="1222"/>
      <c r="I15" s="1223">
        <f>SUM(I12:I14)</f>
        <v>0</v>
      </c>
    </row>
    <row r="16" spans="1:9" ht="24">
      <c r="A16" s="3431" t="s">
        <v>1070</v>
      </c>
      <c r="B16" s="3432" t="s">
        <v>1071</v>
      </c>
      <c r="C16" s="3432"/>
      <c r="D16" s="1213" t="s">
        <v>1047</v>
      </c>
      <c r="E16" s="1224" t="s">
        <v>1072</v>
      </c>
      <c r="F16" s="1214" t="s">
        <v>1073</v>
      </c>
      <c r="G16" s="1215" t="s">
        <v>1051</v>
      </c>
      <c r="H16" s="1221" t="s">
        <v>1066</v>
      </c>
      <c r="I16" s="1212" t="s">
        <v>1052</v>
      </c>
    </row>
    <row r="17" spans="1:9" ht="14.25">
      <c r="A17" s="3431"/>
      <c r="B17" s="3432" t="s">
        <v>1074</v>
      </c>
      <c r="C17" s="3432"/>
      <c r="D17" s="1213"/>
      <c r="E17" s="1213"/>
      <c r="F17" s="1214"/>
      <c r="G17" s="1215"/>
      <c r="H17" s="1225"/>
      <c r="I17" s="1226">
        <f>ROUND(D17*E17*F17*G17/10000,0)</f>
        <v>0</v>
      </c>
    </row>
    <row r="18" spans="1:9" ht="14.25">
      <c r="A18" s="3431"/>
      <c r="B18" s="3432" t="s">
        <v>1075</v>
      </c>
      <c r="C18" s="3432"/>
      <c r="D18" s="1213"/>
      <c r="E18" s="1213"/>
      <c r="F18" s="1214"/>
      <c r="G18" s="1215"/>
      <c r="H18" s="1225"/>
      <c r="I18" s="1226">
        <f>ROUND(D18*E18*F18*G18/10000,0)</f>
        <v>0</v>
      </c>
    </row>
    <row r="19" spans="1:9" ht="14.25">
      <c r="A19" s="3431"/>
      <c r="B19" s="3432" t="s">
        <v>1076</v>
      </c>
      <c r="C19" s="3432"/>
      <c r="D19" s="1213"/>
      <c r="E19" s="1213"/>
      <c r="F19" s="1214"/>
      <c r="G19" s="1215"/>
      <c r="H19" s="1225"/>
      <c r="I19" s="1226">
        <f>ROUND(D19*E19*F19*G19/10000,0)</f>
        <v>0</v>
      </c>
    </row>
    <row r="20" spans="1:9">
      <c r="A20" s="3431"/>
      <c r="B20" s="3433" t="s">
        <v>1060</v>
      </c>
      <c r="C20" s="3433"/>
      <c r="D20" s="1217">
        <f>SUM(D17:D19)</f>
        <v>0</v>
      </c>
      <c r="E20" s="1217"/>
      <c r="F20" s="1218"/>
      <c r="G20" s="1215"/>
      <c r="H20" s="1222"/>
      <c r="I20" s="1223">
        <f>SUM(I17:I19)</f>
        <v>0</v>
      </c>
    </row>
    <row r="21" spans="1:9">
      <c r="A21" s="3431" t="s">
        <v>1077</v>
      </c>
      <c r="B21" s="3434"/>
      <c r="C21" s="3434"/>
      <c r="D21" s="3434"/>
      <c r="E21" s="3434"/>
      <c r="F21" s="3434"/>
      <c r="G21" s="3434"/>
      <c r="H21" s="1504">
        <v>0.1</v>
      </c>
      <c r="I21" s="1220">
        <f>ROUND(I10*H21,0)</f>
        <v>0</v>
      </c>
    </row>
    <row r="22" spans="1:9" ht="14.25">
      <c r="A22" s="3435" t="s">
        <v>1078</v>
      </c>
      <c r="B22" s="3436"/>
      <c r="C22" s="3437"/>
      <c r="D22" s="1227" t="s">
        <v>1079</v>
      </c>
      <c r="E22" s="1227" t="s">
        <v>1080</v>
      </c>
      <c r="F22" s="1228" t="s">
        <v>1081</v>
      </c>
      <c r="G22" s="1228" t="s">
        <v>1082</v>
      </c>
      <c r="H22" s="1221" t="s">
        <v>1083</v>
      </c>
      <c r="I22" s="1212" t="s">
        <v>1084</v>
      </c>
    </row>
    <row r="23" spans="1:9" ht="14.25" thickBot="1">
      <c r="A23" s="3438"/>
      <c r="B23" s="3439"/>
      <c r="C23" s="3440"/>
      <c r="D23" s="1229"/>
      <c r="E23" s="1229"/>
      <c r="F23" s="1229"/>
      <c r="G23" s="1230"/>
      <c r="H23" s="1231"/>
      <c r="I23" s="1232">
        <f>ROUND(E23*D23*F23*(1-G23)/10000,0)</f>
        <v>0</v>
      </c>
    </row>
    <row r="26" spans="1:9">
      <c r="A26" s="1233" t="s">
        <v>1085</v>
      </c>
      <c r="B26" s="1233"/>
      <c r="C26" s="1233"/>
      <c r="D26" s="1233"/>
      <c r="E26" s="3428">
        <f>C27-C30-C31-C32</f>
        <v>0</v>
      </c>
      <c r="F26" s="3428"/>
      <c r="G26" s="3428"/>
      <c r="H26" s="1501" t="s">
        <v>1306</v>
      </c>
    </row>
    <row r="27" spans="1:9">
      <c r="A27" s="1234">
        <v>1</v>
      </c>
      <c r="B27" s="1235" t="s">
        <v>1086</v>
      </c>
      <c r="C27" s="1235">
        <f>C28+C29</f>
        <v>0</v>
      </c>
      <c r="D27" s="1235"/>
      <c r="E27" s="3429"/>
      <c r="F27" s="3429"/>
      <c r="G27" s="3429"/>
    </row>
    <row r="28" spans="1:9">
      <c r="A28" s="1236" t="s">
        <v>1087</v>
      </c>
      <c r="B28" s="1235" t="s">
        <v>1088</v>
      </c>
      <c r="C28" s="1235"/>
      <c r="D28" s="1235"/>
      <c r="E28" s="3429"/>
      <c r="F28" s="3429"/>
      <c r="G28" s="342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430"/>
      <c r="F32" s="3430"/>
      <c r="G32" s="3430"/>
    </row>
    <row r="33" spans="1:7" hidden="1">
      <c r="A33" s="3425" t="s">
        <v>1097</v>
      </c>
      <c r="B33" s="3426"/>
      <c r="C33" s="3426"/>
      <c r="D33" s="3427"/>
      <c r="E33" s="3428"/>
      <c r="F33" s="3428"/>
      <c r="G33" s="3428"/>
    </row>
    <row r="34" spans="1:7" hidden="1">
      <c r="A34" s="1238">
        <v>1</v>
      </c>
      <c r="B34" s="1235" t="s">
        <v>1098</v>
      </c>
      <c r="C34" s="1235"/>
      <c r="D34" s="1235"/>
      <c r="E34" s="3429"/>
      <c r="F34" s="3429"/>
      <c r="G34" s="3429"/>
    </row>
    <row r="35" spans="1:7" hidden="1">
      <c r="A35" s="1238">
        <v>2</v>
      </c>
      <c r="B35" s="1235" t="s">
        <v>1099</v>
      </c>
      <c r="C35" s="1235"/>
      <c r="D35" s="1235"/>
      <c r="E35" s="3429"/>
      <c r="F35" s="3429"/>
      <c r="G35" s="3429"/>
    </row>
    <row r="36" spans="1:7" hidden="1">
      <c r="A36" s="1238">
        <v>3</v>
      </c>
      <c r="B36" s="1235" t="s">
        <v>1100</v>
      </c>
      <c r="C36" s="1235"/>
      <c r="D36" s="1235"/>
      <c r="E36" s="3429"/>
      <c r="F36" s="3429"/>
      <c r="G36" s="3429"/>
    </row>
    <row r="37" spans="1:7" hidden="1">
      <c r="A37" s="1238">
        <v>4</v>
      </c>
      <c r="B37" s="1235" t="s">
        <v>1101</v>
      </c>
      <c r="C37" s="1235"/>
      <c r="D37" s="1235"/>
      <c r="E37" s="3429"/>
      <c r="F37" s="3429"/>
      <c r="G37" s="3429"/>
    </row>
    <row r="38" spans="1:7" hidden="1">
      <c r="A38" s="3425" t="s">
        <v>1102</v>
      </c>
      <c r="B38" s="3426"/>
      <c r="C38" s="3426"/>
      <c r="D38" s="3427"/>
      <c r="E38" s="3428"/>
      <c r="F38" s="3428"/>
      <c r="G38" s="34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36">
      <c r="A4" s="1667" t="str">
        <f>"受贵公司委托，我公司对"&amp;项目基本情况!S1&amp;"进行了预评估。"</f>
        <v>受贵公司委托，我公司对出让国有建设用地使用权及在建建筑物房地产抵押价值进行了预评估。</v>
      </c>
    </row>
    <row r="5" spans="1:1" ht="18.75">
      <c r="A5" s="1668" t="s">
        <v>1577</v>
      </c>
    </row>
    <row r="6" spans="1:1" ht="18.75">
      <c r="A6" s="1669" t="s">
        <v>1578</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估价对象为出让国有建设用地使用权及在建建筑物房地产，为所有。根据《国有土地使用证》[]，估价对象（分摊）出让国有建设用地使用权面积为10684.47平方米，建筑面积为11531.84平方米。</v>
      </c>
    </row>
    <row r="8" spans="1:1" ht="57.75">
      <c r="A8" s="1670" t="s">
        <v>1579</v>
      </c>
    </row>
    <row r="9" spans="1:1" ht="18.75">
      <c r="A9" s="1669" t="s">
        <v>1580</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商业项目，该项目尚在开发建设中。根据《国有土地使用证》[]，估价对象（分摊）出让国有建设用地使用权面积为10684.47平方米，规划建筑面积为11531.84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2021年1月7日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电、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7" t="str">
        <f>IF(项目基本情况!B9="房地产市场价值","——",IF(项目基本情况!E9="——","",定义!C57))</f>
        <v/>
      </c>
    </row>
    <row r="23" spans="1:1" ht="18.75">
      <c r="A23" s="1672" t="s">
        <v>1574</v>
      </c>
    </row>
    <row r="24" spans="1:1" ht="18">
      <c r="A24" s="1674" t="str">
        <f>"本次评估采用的主估价方法为"&amp;结果表!K4&amp;"和"&amp;结果表!L4&amp;"。"</f>
        <v>本次评估采用的主估价方法为成本法和假设开发法。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60" zoomScaleNormal="60" workbookViewId="0">
      <selection activeCell="AE35" sqref="AE3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2354</v>
      </c>
      <c r="D3" s="359">
        <f>IF(D1="",'数据-汇总表'!E3,SUMIF('数据-汇总表'!$C19:$C33,D1,'数据-汇总表'!$E19:$E33))</f>
        <v>11531.84</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2355</v>
      </c>
      <c r="B4" s="362"/>
      <c r="C4" s="3379" t="s">
        <v>2356</v>
      </c>
      <c r="D4" s="3392"/>
      <c r="E4" s="3393" t="s">
        <v>2357</v>
      </c>
      <c r="F4" s="3394"/>
      <c r="G4" s="3379" t="s">
        <v>2358</v>
      </c>
      <c r="H4" s="3392"/>
      <c r="I4" s="3379" t="s">
        <v>2359</v>
      </c>
      <c r="J4" s="3392"/>
      <c r="K4" s="2077" t="s">
        <v>2360</v>
      </c>
      <c r="L4" s="2946"/>
      <c r="M4" s="2947"/>
      <c r="N4" s="2947"/>
      <c r="O4" s="2947"/>
      <c r="P4" s="3395" t="s">
        <v>2361</v>
      </c>
      <c r="Q4" s="3396"/>
      <c r="R4" s="3401" t="s">
        <v>2357</v>
      </c>
      <c r="S4" s="3402"/>
      <c r="T4" s="3401" t="s">
        <v>2358</v>
      </c>
      <c r="U4" s="3402"/>
      <c r="V4" s="3388" t="s">
        <v>2359</v>
      </c>
      <c r="W4" s="3388"/>
      <c r="X4" s="1541"/>
      <c r="Y4" s="3401" t="s">
        <v>2361</v>
      </c>
      <c r="Z4" s="3402"/>
      <c r="AA4" s="3389" t="s">
        <v>2357</v>
      </c>
      <c r="AB4" s="3389" t="s">
        <v>2358</v>
      </c>
      <c r="AC4" s="3389" t="s">
        <v>2359</v>
      </c>
    </row>
    <row r="5" spans="1:29" ht="15">
      <c r="A5" s="364"/>
      <c r="B5" s="365"/>
      <c r="C5" s="3409" t="s">
        <v>2362</v>
      </c>
      <c r="D5" s="3410"/>
      <c r="E5" s="3416" t="s">
        <v>2363</v>
      </c>
      <c r="F5" s="3417"/>
      <c r="G5" s="3409" t="s">
        <v>2364</v>
      </c>
      <c r="H5" s="3410"/>
      <c r="I5" s="3409" t="s">
        <v>2365</v>
      </c>
      <c r="J5" s="3410"/>
      <c r="K5" s="2078"/>
      <c r="L5" s="2946"/>
      <c r="M5" s="2947"/>
      <c r="N5" s="2947"/>
      <c r="O5" s="2947"/>
      <c r="P5" s="3397"/>
      <c r="Q5" s="3398"/>
      <c r="R5" s="3403"/>
      <c r="S5" s="3404"/>
      <c r="T5" s="3403"/>
      <c r="U5" s="3404"/>
      <c r="V5" s="3388"/>
      <c r="W5" s="3388"/>
      <c r="X5" s="1541"/>
      <c r="Y5" s="3403"/>
      <c r="Z5" s="3404"/>
      <c r="AA5" s="3390"/>
      <c r="AB5" s="3390"/>
      <c r="AC5" s="3390"/>
    </row>
    <row r="6" spans="1:29" ht="15.75" thickBot="1">
      <c r="A6" s="366"/>
      <c r="B6" s="367"/>
      <c r="C6" s="3407" t="s">
        <v>2366</v>
      </c>
      <c r="D6" s="3408"/>
      <c r="E6" s="3414" t="s">
        <v>2366</v>
      </c>
      <c r="F6" s="3415"/>
      <c r="G6" s="3407" t="s">
        <v>2366</v>
      </c>
      <c r="H6" s="3408"/>
      <c r="I6" s="3407" t="s">
        <v>2366</v>
      </c>
      <c r="J6" s="3408"/>
      <c r="K6" s="2078" t="s">
        <v>2367</v>
      </c>
      <c r="L6" s="2946"/>
      <c r="M6" s="2947"/>
      <c r="N6" s="2947"/>
      <c r="O6" s="2947"/>
      <c r="P6" s="3399"/>
      <c r="Q6" s="3400"/>
      <c r="R6" s="3403"/>
      <c r="S6" s="3404"/>
      <c r="T6" s="3405"/>
      <c r="U6" s="3406"/>
      <c r="V6" s="3388"/>
      <c r="W6" s="3388"/>
      <c r="X6" s="1541"/>
      <c r="Y6" s="3405"/>
      <c r="Z6" s="3406"/>
      <c r="AA6" s="3391"/>
      <c r="AB6" s="3391"/>
      <c r="AC6" s="3391"/>
    </row>
    <row r="7" spans="1:29" s="113" customFormat="1" ht="15.75" thickBot="1">
      <c r="A7" s="368" t="s">
        <v>2368</v>
      </c>
      <c r="B7" s="369"/>
      <c r="C7" s="370">
        <f>'数据-取费表'!B2</f>
        <v>44203</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411" t="s">
        <v>2369</v>
      </c>
      <c r="Q7" s="3413"/>
      <c r="R7" s="710" t="s">
        <v>23</v>
      </c>
      <c r="S7" s="711">
        <f t="shared" ref="S7:S15" si="0">F7</f>
        <v>0</v>
      </c>
      <c r="T7" s="710" t="s">
        <v>23</v>
      </c>
      <c r="U7" s="711">
        <f t="shared" ref="U7:U15" si="1">H7</f>
        <v>0</v>
      </c>
      <c r="V7" s="710" t="s">
        <v>23</v>
      </c>
      <c r="W7" s="711">
        <f t="shared" ref="W7:W15" si="2">J7</f>
        <v>0</v>
      </c>
      <c r="X7" s="712"/>
      <c r="Y7" s="3411" t="s">
        <v>2369</v>
      </c>
      <c r="Z7" s="3412"/>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411" t="s">
        <v>2372</v>
      </c>
      <c r="Q8" s="3412"/>
      <c r="R8" s="710" t="s">
        <v>23</v>
      </c>
      <c r="S8" s="711">
        <f t="shared" si="0"/>
        <v>0</v>
      </c>
      <c r="T8" s="710" t="s">
        <v>23</v>
      </c>
      <c r="U8" s="711">
        <f t="shared" si="1"/>
        <v>0</v>
      </c>
      <c r="V8" s="710" t="s">
        <v>23</v>
      </c>
      <c r="W8" s="711">
        <f t="shared" si="2"/>
        <v>0</v>
      </c>
      <c r="X8" s="712"/>
      <c r="Y8" s="3411" t="s">
        <v>2372</v>
      </c>
      <c r="Z8" s="3412"/>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81" t="s">
        <v>2375</v>
      </c>
      <c r="Q9" s="1529" t="str">
        <f t="shared" ref="Q9:Q15" si="6">B9</f>
        <v>用途</v>
      </c>
      <c r="R9" s="710" t="s">
        <v>17</v>
      </c>
      <c r="S9" s="711">
        <f t="shared" si="0"/>
        <v>100</v>
      </c>
      <c r="T9" s="710" t="s">
        <v>17</v>
      </c>
      <c r="U9" s="711">
        <f t="shared" si="1"/>
        <v>100</v>
      </c>
      <c r="V9" s="710" t="s">
        <v>17</v>
      </c>
      <c r="W9" s="711">
        <f t="shared" si="2"/>
        <v>100</v>
      </c>
      <c r="X9" s="712"/>
      <c r="Y9" s="327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81"/>
      <c r="Q10" s="1529"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81"/>
      <c r="Q11" s="1529" t="str">
        <f t="shared" si="6"/>
        <v>容积率</v>
      </c>
      <c r="R11" s="710" t="s">
        <v>21</v>
      </c>
      <c r="S11" s="711" t="e">
        <f t="shared" si="0"/>
        <v>#N/A</v>
      </c>
      <c r="T11" s="710" t="s">
        <v>21</v>
      </c>
      <c r="U11" s="711" t="e">
        <f t="shared" si="1"/>
        <v>#N/A</v>
      </c>
      <c r="V11" s="710" t="s">
        <v>21</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81"/>
      <c r="Q12" s="1529">
        <f t="shared" si="6"/>
        <v>111</v>
      </c>
      <c r="R12" s="710" t="s">
        <v>21</v>
      </c>
      <c r="S12" s="711">
        <f t="shared" si="0"/>
        <v>100</v>
      </c>
      <c r="T12" s="710" t="s">
        <v>21</v>
      </c>
      <c r="U12" s="711">
        <f t="shared" si="1"/>
        <v>100</v>
      </c>
      <c r="V12" s="710" t="s">
        <v>21</v>
      </c>
      <c r="W12" s="711">
        <f t="shared" si="2"/>
        <v>100</v>
      </c>
      <c r="X12" s="712"/>
      <c r="Y12" s="327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81"/>
      <c r="Q13" s="1529">
        <f t="shared" si="6"/>
        <v>111</v>
      </c>
      <c r="R13" s="710" t="s">
        <v>21</v>
      </c>
      <c r="S13" s="711">
        <f t="shared" si="0"/>
        <v>100</v>
      </c>
      <c r="T13" s="710" t="s">
        <v>21</v>
      </c>
      <c r="U13" s="711">
        <f t="shared" si="1"/>
        <v>100</v>
      </c>
      <c r="V13" s="710" t="s">
        <v>21</v>
      </c>
      <c r="W13" s="711">
        <f t="shared" si="2"/>
        <v>100</v>
      </c>
      <c r="X13" s="712"/>
      <c r="Y13" s="3276"/>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81"/>
      <c r="Q14" s="1529">
        <f t="shared" si="6"/>
        <v>111</v>
      </c>
      <c r="R14" s="710" t="s">
        <v>21</v>
      </c>
      <c r="S14" s="711">
        <f t="shared" si="0"/>
        <v>100</v>
      </c>
      <c r="T14" s="710" t="s">
        <v>21</v>
      </c>
      <c r="U14" s="711">
        <f t="shared" si="1"/>
        <v>100</v>
      </c>
      <c r="V14" s="710" t="s">
        <v>21</v>
      </c>
      <c r="W14" s="711">
        <f t="shared" si="2"/>
        <v>100</v>
      </c>
      <c r="X14" s="712"/>
      <c r="Y14" s="3276"/>
      <c r="Z14" s="55">
        <f t="shared" si="7"/>
        <v>111</v>
      </c>
      <c r="AA14" s="713">
        <f t="shared" si="3"/>
        <v>1</v>
      </c>
      <c r="AB14" s="713">
        <f t="shared" si="4"/>
        <v>1</v>
      </c>
      <c r="AC14" s="713">
        <f t="shared" si="5"/>
        <v>1</v>
      </c>
    </row>
    <row r="15" spans="1:29" ht="99.75">
      <c r="A15" s="399" t="s">
        <v>2379</v>
      </c>
      <c r="B15" s="65" t="s">
        <v>1945</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452" t="s">
        <v>2380</v>
      </c>
      <c r="Q15" s="1538" t="str">
        <f t="shared" si="6"/>
        <v>居住社区成熟度</v>
      </c>
      <c r="R15" s="714" t="s">
        <v>21</v>
      </c>
      <c r="S15" s="715">
        <f t="shared" si="0"/>
        <v>100</v>
      </c>
      <c r="T15" s="714" t="s">
        <v>21</v>
      </c>
      <c r="U15" s="715">
        <f t="shared" si="1"/>
        <v>100</v>
      </c>
      <c r="V15" s="714" t="s">
        <v>21</v>
      </c>
      <c r="W15" s="715">
        <f t="shared" si="2"/>
        <v>100</v>
      </c>
      <c r="X15" s="1541"/>
      <c r="Y15" s="3384"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453"/>
      <c r="Q16" s="1538"/>
      <c r="R16" s="714"/>
      <c r="S16" s="715"/>
      <c r="T16" s="714"/>
      <c r="U16" s="715"/>
      <c r="V16" s="714"/>
      <c r="W16" s="715"/>
      <c r="X16" s="1541"/>
      <c r="Y16" s="3385"/>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453"/>
      <c r="Q17" s="1538" t="str">
        <f>B17</f>
        <v>交通便捷度</v>
      </c>
      <c r="R17" s="714" t="s">
        <v>21</v>
      </c>
      <c r="S17" s="715">
        <f>F17</f>
        <v>100</v>
      </c>
      <c r="T17" s="714" t="s">
        <v>21</v>
      </c>
      <c r="U17" s="715">
        <f>H17</f>
        <v>100</v>
      </c>
      <c r="V17" s="714" t="s">
        <v>21</v>
      </c>
      <c r="W17" s="715">
        <f>J17</f>
        <v>100</v>
      </c>
      <c r="X17" s="1541"/>
      <c r="Y17" s="3385"/>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453"/>
      <c r="Q18" s="1538"/>
      <c r="R18" s="714"/>
      <c r="S18" s="715"/>
      <c r="T18" s="714"/>
      <c r="U18" s="715"/>
      <c r="V18" s="714"/>
      <c r="W18" s="715"/>
      <c r="X18" s="1541"/>
      <c r="Y18" s="3385"/>
      <c r="Z18" s="1542"/>
      <c r="AA18" s="1539">
        <v>1</v>
      </c>
      <c r="AB18" s="1539">
        <v>1</v>
      </c>
      <c r="AC18" s="1539">
        <v>1</v>
      </c>
    </row>
    <row r="19" spans="1:29" ht="42.75">
      <c r="A19" s="387"/>
      <c r="B19" s="410" t="s">
        <v>1946</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453"/>
      <c r="Q19" s="1538" t="str">
        <f>B19</f>
        <v>公共配套设施</v>
      </c>
      <c r="R19" s="714" t="s">
        <v>21</v>
      </c>
      <c r="S19" s="715">
        <f>F19</f>
        <v>100</v>
      </c>
      <c r="T19" s="714" t="s">
        <v>21</v>
      </c>
      <c r="U19" s="715">
        <f>H19</f>
        <v>100</v>
      </c>
      <c r="V19" s="714" t="s">
        <v>21</v>
      </c>
      <c r="W19" s="715">
        <f>J19</f>
        <v>100</v>
      </c>
      <c r="X19" s="1541"/>
      <c r="Y19" s="3385"/>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453"/>
      <c r="Q20" s="1538"/>
      <c r="R20" s="714"/>
      <c r="S20" s="715"/>
      <c r="T20" s="714"/>
      <c r="U20" s="715"/>
      <c r="V20" s="714"/>
      <c r="W20" s="715"/>
      <c r="X20" s="1541"/>
      <c r="Y20" s="3385"/>
      <c r="Z20" s="1542"/>
      <c r="AA20" s="1539">
        <v>1</v>
      </c>
      <c r="AB20" s="1539">
        <v>1</v>
      </c>
      <c r="AC20" s="1539">
        <v>1</v>
      </c>
    </row>
    <row r="21" spans="1:29" ht="28.5">
      <c r="A21" s="387"/>
      <c r="B21" s="1293" t="s">
        <v>1948</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453"/>
      <c r="Q21" s="1538" t="str">
        <f>B21</f>
        <v>基础设施水平</v>
      </c>
      <c r="R21" s="714" t="s">
        <v>17</v>
      </c>
      <c r="S21" s="715">
        <f>F21</f>
        <v>100</v>
      </c>
      <c r="T21" s="714" t="s">
        <v>17</v>
      </c>
      <c r="U21" s="715">
        <f>H21</f>
        <v>100</v>
      </c>
      <c r="V21" s="714" t="s">
        <v>17</v>
      </c>
      <c r="W21" s="715">
        <f>J21</f>
        <v>100</v>
      </c>
      <c r="X21" s="1541"/>
      <c r="Y21" s="338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453"/>
      <c r="Q22" s="1538"/>
      <c r="R22" s="714"/>
      <c r="S22" s="715"/>
      <c r="T22" s="714"/>
      <c r="U22" s="715"/>
      <c r="V22" s="714"/>
      <c r="W22" s="715"/>
      <c r="X22" s="1541"/>
      <c r="Y22" s="3385"/>
      <c r="Z22" s="1542"/>
      <c r="AA22" s="1539">
        <v>1</v>
      </c>
      <c r="AB22" s="1539">
        <v>1</v>
      </c>
      <c r="AC22" s="1539">
        <v>1</v>
      </c>
    </row>
    <row r="23" spans="1:29" ht="57">
      <c r="A23" s="387"/>
      <c r="B23" s="410" t="s">
        <v>1949</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453"/>
      <c r="Q23" s="1538" t="str">
        <f>B23</f>
        <v>自然及人文环境</v>
      </c>
      <c r="R23" s="714" t="s">
        <v>21</v>
      </c>
      <c r="S23" s="715">
        <f>F23</f>
        <v>100</v>
      </c>
      <c r="T23" s="714" t="s">
        <v>21</v>
      </c>
      <c r="U23" s="715">
        <f>H23</f>
        <v>100</v>
      </c>
      <c r="V23" s="714" t="s">
        <v>21</v>
      </c>
      <c r="W23" s="715">
        <f>J23</f>
        <v>100</v>
      </c>
      <c r="X23" s="1541"/>
      <c r="Y23" s="3385"/>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453"/>
      <c r="Q24" s="1538"/>
      <c r="R24" s="714"/>
      <c r="S24" s="715"/>
      <c r="T24" s="714"/>
      <c r="U24" s="715"/>
      <c r="V24" s="714"/>
      <c r="W24" s="715"/>
      <c r="X24" s="1541"/>
      <c r="Y24" s="3385"/>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453"/>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85"/>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453"/>
      <c r="Q26" s="1538" t="str">
        <f t="shared" si="11"/>
        <v>朝向</v>
      </c>
      <c r="R26" s="714" t="s">
        <v>21</v>
      </c>
      <c r="S26" s="715">
        <f t="shared" si="12"/>
        <v>100</v>
      </c>
      <c r="T26" s="714" t="s">
        <v>21</v>
      </c>
      <c r="U26" s="715">
        <f t="shared" si="13"/>
        <v>100</v>
      </c>
      <c r="V26" s="714" t="s">
        <v>21</v>
      </c>
      <c r="W26" s="715">
        <f t="shared" si="14"/>
        <v>100</v>
      </c>
      <c r="X26" s="1541"/>
      <c r="Y26" s="3385"/>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453"/>
      <c r="Q27" s="1529">
        <f t="shared" si="11"/>
        <v>111</v>
      </c>
      <c r="R27" s="710" t="s">
        <v>21</v>
      </c>
      <c r="S27" s="711">
        <f t="shared" si="12"/>
        <v>100</v>
      </c>
      <c r="T27" s="710" t="s">
        <v>21</v>
      </c>
      <c r="U27" s="711">
        <f t="shared" si="13"/>
        <v>100</v>
      </c>
      <c r="V27" s="710" t="s">
        <v>21</v>
      </c>
      <c r="W27" s="711">
        <f t="shared" si="14"/>
        <v>100</v>
      </c>
      <c r="X27" s="712"/>
      <c r="Y27" s="3385"/>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453"/>
      <c r="Q28" s="1538">
        <f t="shared" si="11"/>
        <v>111</v>
      </c>
      <c r="R28" s="714" t="s">
        <v>21</v>
      </c>
      <c r="S28" s="715">
        <f t="shared" si="12"/>
        <v>100</v>
      </c>
      <c r="T28" s="714" t="s">
        <v>21</v>
      </c>
      <c r="U28" s="715">
        <f t="shared" si="13"/>
        <v>100</v>
      </c>
      <c r="V28" s="714" t="s">
        <v>21</v>
      </c>
      <c r="W28" s="715">
        <f t="shared" si="14"/>
        <v>100</v>
      </c>
      <c r="X28" s="1541"/>
      <c r="Y28" s="3385"/>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453"/>
      <c r="Q29" s="1538">
        <f t="shared" si="11"/>
        <v>111</v>
      </c>
      <c r="R29" s="714" t="s">
        <v>21</v>
      </c>
      <c r="S29" s="715">
        <f t="shared" si="12"/>
        <v>100</v>
      </c>
      <c r="T29" s="714" t="s">
        <v>21</v>
      </c>
      <c r="U29" s="715">
        <f t="shared" si="13"/>
        <v>100</v>
      </c>
      <c r="V29" s="714" t="s">
        <v>21</v>
      </c>
      <c r="W29" s="715">
        <f t="shared" si="14"/>
        <v>100</v>
      </c>
      <c r="X29" s="1541"/>
      <c r="Y29" s="3385"/>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453"/>
      <c r="Q30" s="1538">
        <f t="shared" si="11"/>
        <v>111</v>
      </c>
      <c r="R30" s="714" t="s">
        <v>21</v>
      </c>
      <c r="S30" s="715">
        <f t="shared" si="12"/>
        <v>100</v>
      </c>
      <c r="T30" s="714" t="s">
        <v>21</v>
      </c>
      <c r="U30" s="715">
        <f t="shared" si="13"/>
        <v>100</v>
      </c>
      <c r="V30" s="714" t="s">
        <v>21</v>
      </c>
      <c r="W30" s="715">
        <f t="shared" si="14"/>
        <v>100</v>
      </c>
      <c r="X30" s="1541"/>
      <c r="Y30" s="3385"/>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453"/>
      <c r="Q31" s="1538">
        <f t="shared" si="11"/>
        <v>111</v>
      </c>
      <c r="R31" s="714" t="s">
        <v>21</v>
      </c>
      <c r="S31" s="715">
        <f t="shared" si="12"/>
        <v>100</v>
      </c>
      <c r="T31" s="714" t="s">
        <v>21</v>
      </c>
      <c r="U31" s="715">
        <f t="shared" si="13"/>
        <v>100</v>
      </c>
      <c r="V31" s="714" t="s">
        <v>21</v>
      </c>
      <c r="W31" s="715">
        <f t="shared" si="14"/>
        <v>100</v>
      </c>
      <c r="X31" s="1541"/>
      <c r="Y31" s="3385"/>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448" t="s">
        <v>2385</v>
      </c>
      <c r="Q32" s="1538" t="str">
        <f t="shared" si="11"/>
        <v>建筑类型</v>
      </c>
      <c r="R32" s="714" t="s">
        <v>21</v>
      </c>
      <c r="S32" s="715">
        <f t="shared" si="12"/>
        <v>100</v>
      </c>
      <c r="T32" s="714" t="s">
        <v>21</v>
      </c>
      <c r="U32" s="715">
        <f t="shared" si="13"/>
        <v>100</v>
      </c>
      <c r="V32" s="714" t="s">
        <v>21</v>
      </c>
      <c r="W32" s="715">
        <f t="shared" si="14"/>
        <v>100</v>
      </c>
      <c r="X32" s="1541"/>
      <c r="Y32" s="3387"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449"/>
      <c r="Q33" s="716" t="str">
        <f t="shared" si="11"/>
        <v>项目建筑规模</v>
      </c>
      <c r="R33" s="717" t="s">
        <v>21</v>
      </c>
      <c r="S33" s="718" t="e">
        <f t="shared" si="12"/>
        <v>#N/A</v>
      </c>
      <c r="T33" s="717" t="s">
        <v>21</v>
      </c>
      <c r="U33" s="718" t="e">
        <f t="shared" si="13"/>
        <v>#N/A</v>
      </c>
      <c r="V33" s="717" t="s">
        <v>21</v>
      </c>
      <c r="W33" s="718" t="e">
        <f t="shared" si="14"/>
        <v>#N/A</v>
      </c>
      <c r="X33" s="719"/>
      <c r="Y33" s="3387"/>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449"/>
      <c r="Q34" s="1538" t="str">
        <f t="shared" si="11"/>
        <v>建筑结构</v>
      </c>
      <c r="R34" s="714" t="s">
        <v>21</v>
      </c>
      <c r="S34" s="715">
        <f t="shared" si="12"/>
        <v>100</v>
      </c>
      <c r="T34" s="714" t="s">
        <v>21</v>
      </c>
      <c r="U34" s="715">
        <f t="shared" si="13"/>
        <v>100</v>
      </c>
      <c r="V34" s="714" t="s">
        <v>21</v>
      </c>
      <c r="W34" s="715">
        <f t="shared" si="14"/>
        <v>100</v>
      </c>
      <c r="X34" s="1541"/>
      <c r="Y34" s="3387"/>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449"/>
      <c r="Q35" s="1538" t="str">
        <f t="shared" si="11"/>
        <v>建筑品质</v>
      </c>
      <c r="R35" s="714" t="s">
        <v>21</v>
      </c>
      <c r="S35" s="715">
        <f t="shared" si="12"/>
        <v>100</v>
      </c>
      <c r="T35" s="714" t="s">
        <v>21</v>
      </c>
      <c r="U35" s="715">
        <f t="shared" si="13"/>
        <v>100</v>
      </c>
      <c r="V35" s="714" t="s">
        <v>21</v>
      </c>
      <c r="W35" s="715">
        <f t="shared" si="14"/>
        <v>100</v>
      </c>
      <c r="X35" s="1541"/>
      <c r="Y35" s="3387"/>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449"/>
      <c r="Q36" s="1538" t="str">
        <f t="shared" si="11"/>
        <v>公共部分装修</v>
      </c>
      <c r="R36" s="714" t="s">
        <v>21</v>
      </c>
      <c r="S36" s="715">
        <f t="shared" si="12"/>
        <v>100</v>
      </c>
      <c r="T36" s="714" t="s">
        <v>21</v>
      </c>
      <c r="U36" s="715">
        <f t="shared" si="13"/>
        <v>100</v>
      </c>
      <c r="V36" s="714" t="s">
        <v>21</v>
      </c>
      <c r="W36" s="715">
        <f t="shared" si="14"/>
        <v>100</v>
      </c>
      <c r="X36" s="1541"/>
      <c r="Y36" s="3387"/>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449"/>
      <c r="Q37" s="1529" t="str">
        <f t="shared" si="11"/>
        <v>成新度</v>
      </c>
      <c r="R37" s="710" t="s">
        <v>21</v>
      </c>
      <c r="S37" s="711" t="e">
        <f t="shared" si="12"/>
        <v>#N/A</v>
      </c>
      <c r="T37" s="710" t="s">
        <v>21</v>
      </c>
      <c r="U37" s="711" t="e">
        <f t="shared" si="13"/>
        <v>#N/A</v>
      </c>
      <c r="V37" s="710" t="s">
        <v>21</v>
      </c>
      <c r="W37" s="711" t="e">
        <f t="shared" si="14"/>
        <v>#N/A</v>
      </c>
      <c r="X37" s="712"/>
      <c r="Y37" s="3387"/>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449" t="s">
        <v>2385</v>
      </c>
      <c r="Q38" s="1538" t="str">
        <f t="shared" si="11"/>
        <v>物业管理</v>
      </c>
      <c r="R38" s="714" t="s">
        <v>21</v>
      </c>
      <c r="S38" s="715">
        <f t="shared" si="12"/>
        <v>100</v>
      </c>
      <c r="T38" s="714" t="s">
        <v>21</v>
      </c>
      <c r="U38" s="715">
        <f t="shared" si="13"/>
        <v>100</v>
      </c>
      <c r="V38" s="714" t="s">
        <v>21</v>
      </c>
      <c r="W38" s="715">
        <f t="shared" si="14"/>
        <v>100</v>
      </c>
      <c r="X38" s="1541"/>
      <c r="Y38" s="3387"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449"/>
      <c r="Q39" s="1538" t="str">
        <f t="shared" si="11"/>
        <v>市政基础设施</v>
      </c>
      <c r="R39" s="714" t="s">
        <v>21</v>
      </c>
      <c r="S39" s="715">
        <f t="shared" si="12"/>
        <v>100</v>
      </c>
      <c r="T39" s="714" t="s">
        <v>21</v>
      </c>
      <c r="U39" s="715">
        <f t="shared" si="13"/>
        <v>100</v>
      </c>
      <c r="V39" s="714" t="s">
        <v>21</v>
      </c>
      <c r="W39" s="715">
        <f t="shared" si="14"/>
        <v>100</v>
      </c>
      <c r="X39" s="1541"/>
      <c r="Y39" s="3387"/>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449"/>
      <c r="Q40" s="1538" t="str">
        <f t="shared" si="11"/>
        <v>房型</v>
      </c>
      <c r="R40" s="714" t="s">
        <v>21</v>
      </c>
      <c r="S40" s="715">
        <f t="shared" si="12"/>
        <v>100</v>
      </c>
      <c r="T40" s="714" t="s">
        <v>21</v>
      </c>
      <c r="U40" s="715">
        <f t="shared" si="13"/>
        <v>100</v>
      </c>
      <c r="V40" s="714" t="s">
        <v>21</v>
      </c>
      <c r="W40" s="715">
        <f t="shared" si="14"/>
        <v>100</v>
      </c>
      <c r="X40" s="1541"/>
      <c r="Y40" s="3387"/>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449"/>
      <c r="Q41" s="716" t="str">
        <f t="shared" si="11"/>
        <v>单套/主力户型建筑面积</v>
      </c>
      <c r="R41" s="717" t="s">
        <v>21</v>
      </c>
      <c r="S41" s="718">
        <f t="shared" si="12"/>
        <v>100</v>
      </c>
      <c r="T41" s="717" t="s">
        <v>21</v>
      </c>
      <c r="U41" s="718">
        <f t="shared" si="13"/>
        <v>100</v>
      </c>
      <c r="V41" s="717" t="s">
        <v>21</v>
      </c>
      <c r="W41" s="718">
        <f t="shared" si="14"/>
        <v>100</v>
      </c>
      <c r="X41" s="719"/>
      <c r="Y41" s="3387"/>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449"/>
      <c r="Q42" s="1538" t="str">
        <f t="shared" si="11"/>
        <v>内部装修</v>
      </c>
      <c r="R42" s="714" t="s">
        <v>21</v>
      </c>
      <c r="S42" s="715">
        <f t="shared" si="12"/>
        <v>100</v>
      </c>
      <c r="T42" s="714" t="s">
        <v>21</v>
      </c>
      <c r="U42" s="715">
        <f t="shared" si="13"/>
        <v>100</v>
      </c>
      <c r="V42" s="714" t="s">
        <v>21</v>
      </c>
      <c r="W42" s="715">
        <f t="shared" si="14"/>
        <v>100</v>
      </c>
      <c r="X42" s="1541"/>
      <c r="Y42" s="3387"/>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449"/>
      <c r="Q43" s="1538" t="str">
        <f t="shared" si="11"/>
        <v>内部装修维护情况</v>
      </c>
      <c r="R43" s="714" t="s">
        <v>21</v>
      </c>
      <c r="S43" s="715">
        <f t="shared" si="12"/>
        <v>100</v>
      </c>
      <c r="T43" s="714" t="s">
        <v>21</v>
      </c>
      <c r="U43" s="715">
        <f t="shared" si="13"/>
        <v>100</v>
      </c>
      <c r="V43" s="714" t="s">
        <v>21</v>
      </c>
      <c r="W43" s="715">
        <f t="shared" si="14"/>
        <v>100</v>
      </c>
      <c r="X43" s="1541"/>
      <c r="Y43" s="3387"/>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449"/>
      <c r="Q44" s="1529">
        <f t="shared" si="11"/>
        <v>111</v>
      </c>
      <c r="R44" s="710" t="s">
        <v>21</v>
      </c>
      <c r="S44" s="711">
        <f t="shared" si="12"/>
        <v>100</v>
      </c>
      <c r="T44" s="710" t="s">
        <v>21</v>
      </c>
      <c r="U44" s="711">
        <f t="shared" si="13"/>
        <v>100</v>
      </c>
      <c r="V44" s="710" t="s">
        <v>21</v>
      </c>
      <c r="W44" s="711">
        <f t="shared" si="14"/>
        <v>100</v>
      </c>
      <c r="X44" s="712"/>
      <c r="Y44" s="338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449"/>
      <c r="Q45" s="1538">
        <f t="shared" si="11"/>
        <v>111</v>
      </c>
      <c r="R45" s="714" t="s">
        <v>21</v>
      </c>
      <c r="S45" s="715">
        <f t="shared" si="12"/>
        <v>100</v>
      </c>
      <c r="T45" s="714" t="s">
        <v>21</v>
      </c>
      <c r="U45" s="715">
        <f t="shared" si="13"/>
        <v>100</v>
      </c>
      <c r="V45" s="714" t="s">
        <v>21</v>
      </c>
      <c r="W45" s="715">
        <f t="shared" si="14"/>
        <v>100</v>
      </c>
      <c r="X45" s="1541"/>
      <c r="Y45" s="3387"/>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450"/>
      <c r="Q46" s="1538">
        <f t="shared" si="11"/>
        <v>111</v>
      </c>
      <c r="R46" s="714" t="s">
        <v>20</v>
      </c>
      <c r="S46" s="715">
        <f t="shared" si="12"/>
        <v>100</v>
      </c>
      <c r="T46" s="714" t="s">
        <v>20</v>
      </c>
      <c r="U46" s="715">
        <f t="shared" si="13"/>
        <v>100</v>
      </c>
      <c r="V46" s="714" t="s">
        <v>20</v>
      </c>
      <c r="W46" s="715">
        <f t="shared" si="14"/>
        <v>100</v>
      </c>
      <c r="X46" s="1541"/>
      <c r="Y46" s="3451"/>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5"/>
      <c r="M47" s="2956"/>
      <c r="N47" s="2947"/>
      <c r="O47" s="2956"/>
      <c r="P47" s="3382" t="str">
        <f>A47</f>
        <v>成交单价（元/平方米）</v>
      </c>
      <c r="Q47" s="3382"/>
      <c r="R47" s="3447">
        <f>E47</f>
        <v>0</v>
      </c>
      <c r="S47" s="3447"/>
      <c r="T47" s="3447">
        <f>G47</f>
        <v>0</v>
      </c>
      <c r="U47" s="3447"/>
      <c r="V47" s="3447">
        <f>I47</f>
        <v>0</v>
      </c>
      <c r="W47" s="3447"/>
      <c r="X47" s="699"/>
      <c r="Y47" s="721"/>
      <c r="Z47" s="699"/>
      <c r="AA47" s="699"/>
      <c r="AB47" s="699"/>
      <c r="AC47" s="699"/>
    </row>
    <row r="48" spans="1:29" ht="15.75" thickBot="1">
      <c r="A48" s="445" t="s">
        <v>2398</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382" t="str">
        <f>A48</f>
        <v>比较价值（元/平方米）</v>
      </c>
      <c r="Q48" s="3382"/>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5"/>
      <c r="M49" s="2956"/>
      <c r="N49" s="2956"/>
      <c r="O49" s="2956"/>
      <c r="P49" s="3376" t="str">
        <f>A49</f>
        <v>估价对象XX用房的比较价值（楼面单价，元/平方米）</v>
      </c>
      <c r="Q49" s="3377"/>
      <c r="R49" s="3446" t="e">
        <f>IF(F1="售价",ROUND(IF(D48="简单平均",AVERAGE(R48:V48),R48*F48+T48*H48+V48*J48),0),ROUND(IF(D48="简单平均",AVERAGE(R48:V48),R48*F48+T48*H48+V48*J48),1))</f>
        <v>#DIV/0!</v>
      </c>
      <c r="S49" s="3446"/>
      <c r="T49" s="3446"/>
      <c r="U49" s="3446"/>
      <c r="V49" s="3446"/>
      <c r="W49" s="3446"/>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1948</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1877</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c r="E1" s="2545"/>
      <c r="F1" s="2067"/>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2150</v>
      </c>
      <c r="B2" s="1326" t="e">
        <f ca="1">IF(C2="——",ROUND(C49*D3/10000,0),ROUND(C49*D3/10000,0)-D2)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2152</v>
      </c>
      <c r="B3" s="566" t="e">
        <f ca="1">IF(C2="——",C49,ROUND(B2*10000/D3,0))</f>
        <v>#DIV/0!</v>
      </c>
      <c r="C3" s="360" t="s">
        <v>2464</v>
      </c>
      <c r="D3" s="359">
        <f>IF(D1="",'数据-汇总表'!E3,SUMIF('数据-汇总表'!$C19:$C33,D1,'数据-汇总表'!$E19:$E33))</f>
        <v>11531.84</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2465</v>
      </c>
      <c r="B4" s="362"/>
      <c r="C4" s="3379" t="s">
        <v>2466</v>
      </c>
      <c r="D4" s="3392"/>
      <c r="E4" s="3393" t="s">
        <v>2467</v>
      </c>
      <c r="F4" s="3394"/>
      <c r="G4" s="3379" t="s">
        <v>2468</v>
      </c>
      <c r="H4" s="3392"/>
      <c r="I4" s="3379" t="s">
        <v>2469</v>
      </c>
      <c r="J4" s="3392"/>
      <c r="K4" s="567" t="s">
        <v>2470</v>
      </c>
      <c r="L4" s="2946"/>
      <c r="M4" s="2947"/>
      <c r="N4" s="2947"/>
      <c r="O4" s="2947"/>
      <c r="P4" s="3395" t="s">
        <v>2471</v>
      </c>
      <c r="Q4" s="3396"/>
      <c r="R4" s="3401" t="s">
        <v>2467</v>
      </c>
      <c r="S4" s="3402"/>
      <c r="T4" s="3401" t="s">
        <v>2468</v>
      </c>
      <c r="U4" s="3402"/>
      <c r="V4" s="3388" t="s">
        <v>2469</v>
      </c>
      <c r="W4" s="3388"/>
      <c r="X4" s="1541"/>
      <c r="Y4" s="3401" t="s">
        <v>2471</v>
      </c>
      <c r="Z4" s="3402"/>
      <c r="AA4" s="3389" t="s">
        <v>2467</v>
      </c>
      <c r="AB4" s="3388" t="s">
        <v>2468</v>
      </c>
      <c r="AC4" s="3389" t="s">
        <v>2469</v>
      </c>
    </row>
    <row r="5" spans="1:29" ht="15">
      <c r="A5" s="364"/>
      <c r="B5" s="365"/>
      <c r="C5" s="3409" t="s">
        <v>2362</v>
      </c>
      <c r="D5" s="3410"/>
      <c r="E5" s="3416" t="s">
        <v>2363</v>
      </c>
      <c r="F5" s="3417"/>
      <c r="G5" s="3409" t="s">
        <v>2364</v>
      </c>
      <c r="H5" s="3410"/>
      <c r="I5" s="3409" t="s">
        <v>2365</v>
      </c>
      <c r="J5" s="3410"/>
      <c r="K5" s="567"/>
      <c r="L5" s="2946"/>
      <c r="M5" s="2947"/>
      <c r="N5" s="2947"/>
      <c r="O5" s="2947"/>
      <c r="P5" s="3397"/>
      <c r="Q5" s="3398"/>
      <c r="R5" s="3403"/>
      <c r="S5" s="3404"/>
      <c r="T5" s="3403"/>
      <c r="U5" s="3404"/>
      <c r="V5" s="3388"/>
      <c r="W5" s="3388"/>
      <c r="X5" s="1541"/>
      <c r="Y5" s="3403"/>
      <c r="Z5" s="3404"/>
      <c r="AA5" s="3390"/>
      <c r="AB5" s="3388"/>
      <c r="AC5" s="3390"/>
    </row>
    <row r="6" spans="1:29" ht="15.75" thickBot="1">
      <c r="A6" s="366"/>
      <c r="B6" s="367"/>
      <c r="C6" s="3407" t="s">
        <v>2366</v>
      </c>
      <c r="D6" s="3408"/>
      <c r="E6" s="3414" t="s">
        <v>2366</v>
      </c>
      <c r="F6" s="3415"/>
      <c r="G6" s="3407" t="s">
        <v>2366</v>
      </c>
      <c r="H6" s="3408"/>
      <c r="I6" s="3407" t="s">
        <v>2366</v>
      </c>
      <c r="J6" s="3408"/>
      <c r="K6" s="567" t="s">
        <v>2367</v>
      </c>
      <c r="L6" s="2946"/>
      <c r="M6" s="2947"/>
      <c r="N6" s="2947"/>
      <c r="O6" s="2947"/>
      <c r="P6" s="3399"/>
      <c r="Q6" s="3400"/>
      <c r="R6" s="3403"/>
      <c r="S6" s="3404"/>
      <c r="T6" s="3405"/>
      <c r="U6" s="3406"/>
      <c r="V6" s="3388"/>
      <c r="W6" s="3388"/>
      <c r="X6" s="1541"/>
      <c r="Y6" s="3405"/>
      <c r="Z6" s="3406"/>
      <c r="AA6" s="3391"/>
      <c r="AB6" s="3388"/>
      <c r="AC6" s="3391"/>
    </row>
    <row r="7" spans="1:29" s="113" customFormat="1" ht="15.75" thickBot="1">
      <c r="A7" s="368" t="s">
        <v>2368</v>
      </c>
      <c r="B7" s="369"/>
      <c r="C7" s="370">
        <f>'数据-取费表'!B2</f>
        <v>44203</v>
      </c>
      <c r="D7" s="371">
        <v>100</v>
      </c>
      <c r="E7" s="372"/>
      <c r="F7" s="373">
        <f>SUMIF(58:58,YEAR(E7)&amp;"-"&amp;MONTH(E7),59:59)</f>
        <v>0</v>
      </c>
      <c r="G7" s="372"/>
      <c r="H7" s="371">
        <f>SUMIF(58:58,YEAR(G7)&amp;"-"&amp;MONTH(G7),59:59)</f>
        <v>0</v>
      </c>
      <c r="I7" s="372"/>
      <c r="J7" s="371">
        <f>SUMIF(58:58,YEAR(I7)&amp;"-"&amp;MONTH(I7),59:59)</f>
        <v>0</v>
      </c>
      <c r="K7" s="568"/>
      <c r="L7" s="2948"/>
      <c r="M7" s="2949"/>
      <c r="N7" s="2949"/>
      <c r="O7" s="2949"/>
      <c r="P7" s="3411" t="s">
        <v>2369</v>
      </c>
      <c r="Q7" s="3413"/>
      <c r="R7" s="710" t="s">
        <v>17</v>
      </c>
      <c r="S7" s="711">
        <f t="shared" ref="S7:S15" si="0">F7</f>
        <v>0</v>
      </c>
      <c r="T7" s="710" t="s">
        <v>17</v>
      </c>
      <c r="U7" s="711">
        <f t="shared" ref="U7:U15" si="1">H7</f>
        <v>0</v>
      </c>
      <c r="V7" s="710" t="s">
        <v>17</v>
      </c>
      <c r="W7" s="711">
        <f t="shared" ref="W7:W15" si="2">J7</f>
        <v>0</v>
      </c>
      <c r="X7" s="712"/>
      <c r="Y7" s="3411" t="s">
        <v>2369</v>
      </c>
      <c r="Z7" s="3412"/>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411" t="s">
        <v>2372</v>
      </c>
      <c r="Q8" s="3412"/>
      <c r="R8" s="710" t="s">
        <v>17</v>
      </c>
      <c r="S8" s="711">
        <f t="shared" si="0"/>
        <v>0</v>
      </c>
      <c r="T8" s="710" t="s">
        <v>17</v>
      </c>
      <c r="U8" s="711">
        <f t="shared" si="1"/>
        <v>0</v>
      </c>
      <c r="V8" s="710" t="s">
        <v>17</v>
      </c>
      <c r="W8" s="711">
        <f t="shared" si="2"/>
        <v>0</v>
      </c>
      <c r="X8" s="712"/>
      <c r="Y8" s="3411" t="s">
        <v>2372</v>
      </c>
      <c r="Z8" s="3412"/>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81" t="s">
        <v>2375</v>
      </c>
      <c r="Q9" s="1529" t="str">
        <f t="shared" ref="Q9:Q15" si="6">B9</f>
        <v>用途</v>
      </c>
      <c r="R9" s="710" t="s">
        <v>17</v>
      </c>
      <c r="S9" s="711">
        <f t="shared" si="0"/>
        <v>100</v>
      </c>
      <c r="T9" s="710" t="s">
        <v>17</v>
      </c>
      <c r="U9" s="711">
        <f t="shared" si="1"/>
        <v>100</v>
      </c>
      <c r="V9" s="710" t="s">
        <v>17</v>
      </c>
      <c r="W9" s="711">
        <f t="shared" si="2"/>
        <v>100</v>
      </c>
      <c r="X9" s="712"/>
      <c r="Y9" s="327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81"/>
      <c r="Q10" s="1529"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81"/>
      <c r="Q11" s="1529"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81"/>
      <c r="Q12" s="1529">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81"/>
      <c r="Q13" s="1529">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81"/>
      <c r="Q14" s="1529">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71.25">
      <c r="A15" s="399" t="s">
        <v>2379</v>
      </c>
      <c r="B15" s="65" t="s">
        <v>2473</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452" t="s">
        <v>2380</v>
      </c>
      <c r="Q15" s="1538" t="str">
        <f t="shared" si="6"/>
        <v>商业繁华度</v>
      </c>
      <c r="R15" s="714" t="s">
        <v>17</v>
      </c>
      <c r="S15" s="715">
        <f t="shared" si="0"/>
        <v>100</v>
      </c>
      <c r="T15" s="714" t="s">
        <v>17</v>
      </c>
      <c r="U15" s="715">
        <f t="shared" si="1"/>
        <v>100</v>
      </c>
      <c r="V15" s="714" t="s">
        <v>17</v>
      </c>
      <c r="W15" s="715">
        <f t="shared" si="2"/>
        <v>100</v>
      </c>
      <c r="X15" s="1541"/>
      <c r="Y15" s="3384"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453"/>
      <c r="Q16" s="1538"/>
      <c r="R16" s="714"/>
      <c r="S16" s="715"/>
      <c r="T16" s="714"/>
      <c r="U16" s="715"/>
      <c r="V16" s="714"/>
      <c r="W16" s="715"/>
      <c r="X16" s="1541"/>
      <c r="Y16" s="3385"/>
      <c r="Z16" s="1542"/>
      <c r="AA16" s="1539">
        <v>1</v>
      </c>
      <c r="AB16" s="1539">
        <v>1</v>
      </c>
      <c r="AC16" s="1539">
        <v>1</v>
      </c>
    </row>
    <row r="17" spans="1:29" ht="85.5">
      <c r="A17" s="387"/>
      <c r="B17" s="410" t="s">
        <v>1947</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453"/>
      <c r="Q17" s="1538" t="str">
        <f>B17</f>
        <v>交通便捷度</v>
      </c>
      <c r="R17" s="714" t="s">
        <v>17</v>
      </c>
      <c r="S17" s="715">
        <f>F17</f>
        <v>100</v>
      </c>
      <c r="T17" s="714" t="s">
        <v>17</v>
      </c>
      <c r="U17" s="715">
        <f>H17</f>
        <v>100</v>
      </c>
      <c r="V17" s="714" t="s">
        <v>17</v>
      </c>
      <c r="W17" s="715">
        <f>J17</f>
        <v>100</v>
      </c>
      <c r="X17" s="1541"/>
      <c r="Y17" s="3385"/>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453"/>
      <c r="Q18" s="1538"/>
      <c r="R18" s="714"/>
      <c r="S18" s="715"/>
      <c r="T18" s="714"/>
      <c r="U18" s="715"/>
      <c r="V18" s="714"/>
      <c r="W18" s="715"/>
      <c r="X18" s="1541"/>
      <c r="Y18" s="3385"/>
      <c r="Z18" s="1542"/>
      <c r="AA18" s="1539">
        <v>1</v>
      </c>
      <c r="AB18" s="1539">
        <v>1</v>
      </c>
      <c r="AC18" s="1539">
        <v>1</v>
      </c>
    </row>
    <row r="19" spans="1:29" ht="42.75">
      <c r="A19" s="387"/>
      <c r="B19" s="410" t="s">
        <v>2474</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453"/>
      <c r="Q19" s="1538" t="str">
        <f>B19</f>
        <v>公共配套设施</v>
      </c>
      <c r="R19" s="714" t="s">
        <v>17</v>
      </c>
      <c r="S19" s="715">
        <f>F19</f>
        <v>100</v>
      </c>
      <c r="T19" s="714" t="s">
        <v>17</v>
      </c>
      <c r="U19" s="715">
        <f>H19</f>
        <v>100</v>
      </c>
      <c r="V19" s="714" t="s">
        <v>17</v>
      </c>
      <c r="W19" s="715">
        <f>J19</f>
        <v>100</v>
      </c>
      <c r="X19" s="1541"/>
      <c r="Y19" s="3385"/>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453"/>
      <c r="Q20" s="1538"/>
      <c r="R20" s="714"/>
      <c r="S20" s="715"/>
      <c r="T20" s="714"/>
      <c r="U20" s="715"/>
      <c r="V20" s="714"/>
      <c r="W20" s="715"/>
      <c r="X20" s="1541"/>
      <c r="Y20" s="3385"/>
      <c r="Z20" s="1542"/>
      <c r="AA20" s="1539">
        <v>1</v>
      </c>
      <c r="AB20" s="1539">
        <v>1</v>
      </c>
      <c r="AC20" s="1539">
        <v>1</v>
      </c>
    </row>
    <row r="21" spans="1:29" ht="28.5">
      <c r="A21" s="387"/>
      <c r="B21" s="1293" t="s">
        <v>2475</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453"/>
      <c r="Q21" s="1538" t="str">
        <f>B21</f>
        <v>基础设施水平</v>
      </c>
      <c r="R21" s="714" t="s">
        <v>17</v>
      </c>
      <c r="S21" s="715">
        <f>F21</f>
        <v>100</v>
      </c>
      <c r="T21" s="714" t="s">
        <v>17</v>
      </c>
      <c r="U21" s="715">
        <f>H21</f>
        <v>100</v>
      </c>
      <c r="V21" s="714" t="s">
        <v>17</v>
      </c>
      <c r="W21" s="715">
        <f>J21</f>
        <v>100</v>
      </c>
      <c r="X21" s="1541"/>
      <c r="Y21" s="338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453"/>
      <c r="Q22" s="1538"/>
      <c r="R22" s="714"/>
      <c r="S22" s="715"/>
      <c r="T22" s="714"/>
      <c r="U22" s="715"/>
      <c r="V22" s="714"/>
      <c r="W22" s="715"/>
      <c r="X22" s="1541"/>
      <c r="Y22" s="3385"/>
      <c r="Z22" s="1542"/>
      <c r="AA22" s="1539">
        <v>1</v>
      </c>
      <c r="AB22" s="1539">
        <v>1</v>
      </c>
      <c r="AC22" s="1539">
        <v>1</v>
      </c>
    </row>
    <row r="23" spans="1:29" ht="57">
      <c r="A23" s="387"/>
      <c r="B23" s="410" t="s">
        <v>1949</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453"/>
      <c r="Q23" s="1538" t="str">
        <f>B23</f>
        <v>自然及人文环境</v>
      </c>
      <c r="R23" s="714" t="s">
        <v>17</v>
      </c>
      <c r="S23" s="715">
        <f>F23</f>
        <v>100</v>
      </c>
      <c r="T23" s="714" t="s">
        <v>17</v>
      </c>
      <c r="U23" s="715">
        <f>H23</f>
        <v>100</v>
      </c>
      <c r="V23" s="714" t="s">
        <v>17</v>
      </c>
      <c r="W23" s="715">
        <f>J23</f>
        <v>100</v>
      </c>
      <c r="X23" s="1541"/>
      <c r="Y23" s="3385"/>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453"/>
      <c r="Q24" s="1538"/>
      <c r="R24" s="714"/>
      <c r="S24" s="715"/>
      <c r="T24" s="714"/>
      <c r="U24" s="715"/>
      <c r="V24" s="714"/>
      <c r="W24" s="715"/>
      <c r="X24" s="1541"/>
      <c r="Y24" s="3385"/>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453"/>
      <c r="Q25" s="1538" t="str">
        <f t="shared" ref="Q25:Q46" si="11">B25</f>
        <v>临街状况</v>
      </c>
      <c r="R25" s="714" t="s">
        <v>17</v>
      </c>
      <c r="S25" s="715">
        <f>F25</f>
        <v>100</v>
      </c>
      <c r="T25" s="714" t="s">
        <v>17</v>
      </c>
      <c r="U25" s="715">
        <f>H25</f>
        <v>100</v>
      </c>
      <c r="V25" s="714" t="s">
        <v>17</v>
      </c>
      <c r="W25" s="715">
        <f>J25</f>
        <v>100</v>
      </c>
      <c r="X25" s="1541"/>
      <c r="Y25" s="3385"/>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453"/>
      <c r="Q26" s="1538" t="str">
        <f t="shared" si="11"/>
        <v>平面位置/可视性</v>
      </c>
      <c r="R26" s="714" t="s">
        <v>17</v>
      </c>
      <c r="S26" s="715">
        <f>F26</f>
        <v>100</v>
      </c>
      <c r="T26" s="714" t="s">
        <v>17</v>
      </c>
      <c r="U26" s="715">
        <f>H26</f>
        <v>100</v>
      </c>
      <c r="V26" s="714" t="s">
        <v>17</v>
      </c>
      <c r="W26" s="715">
        <f>J26</f>
        <v>100</v>
      </c>
      <c r="X26" s="1541"/>
      <c r="Y26" s="3385"/>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453"/>
      <c r="Q27" s="1529" t="str">
        <f t="shared" si="11"/>
        <v>人流量</v>
      </c>
      <c r="R27" s="710" t="s">
        <v>17</v>
      </c>
      <c r="S27" s="711">
        <f>F27</f>
        <v>100</v>
      </c>
      <c r="T27" s="710" t="s">
        <v>17</v>
      </c>
      <c r="U27" s="711">
        <f>H27</f>
        <v>100</v>
      </c>
      <c r="V27" s="710" t="s">
        <v>17</v>
      </c>
      <c r="W27" s="711">
        <f>J27</f>
        <v>100</v>
      </c>
      <c r="X27" s="712"/>
      <c r="Y27" s="3385"/>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453"/>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85"/>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453"/>
      <c r="Q29" s="1538">
        <f t="shared" si="11"/>
        <v>111</v>
      </c>
      <c r="R29" s="714" t="s">
        <v>17</v>
      </c>
      <c r="S29" s="715">
        <f t="shared" si="12"/>
        <v>100</v>
      </c>
      <c r="T29" s="714" t="s">
        <v>17</v>
      </c>
      <c r="U29" s="715">
        <f t="shared" si="13"/>
        <v>100</v>
      </c>
      <c r="V29" s="714" t="s">
        <v>17</v>
      </c>
      <c r="W29" s="715">
        <f t="shared" si="14"/>
        <v>100</v>
      </c>
      <c r="X29" s="1541"/>
      <c r="Y29" s="3385"/>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453"/>
      <c r="Q30" s="1538">
        <f t="shared" si="11"/>
        <v>111</v>
      </c>
      <c r="R30" s="714" t="s">
        <v>17</v>
      </c>
      <c r="S30" s="715">
        <f t="shared" si="12"/>
        <v>100</v>
      </c>
      <c r="T30" s="714" t="s">
        <v>17</v>
      </c>
      <c r="U30" s="715">
        <f t="shared" si="13"/>
        <v>100</v>
      </c>
      <c r="V30" s="714" t="s">
        <v>17</v>
      </c>
      <c r="W30" s="715">
        <f t="shared" si="14"/>
        <v>100</v>
      </c>
      <c r="X30" s="1541"/>
      <c r="Y30" s="3385"/>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453"/>
      <c r="Q31" s="1538">
        <f t="shared" si="11"/>
        <v>111</v>
      </c>
      <c r="R31" s="714" t="s">
        <v>17</v>
      </c>
      <c r="S31" s="715">
        <f t="shared" si="12"/>
        <v>100</v>
      </c>
      <c r="T31" s="714" t="s">
        <v>17</v>
      </c>
      <c r="U31" s="715">
        <f t="shared" si="13"/>
        <v>100</v>
      </c>
      <c r="V31" s="714" t="s">
        <v>17</v>
      </c>
      <c r="W31" s="715">
        <f t="shared" si="14"/>
        <v>100</v>
      </c>
      <c r="X31" s="1541"/>
      <c r="Y31" s="3385"/>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448" t="s">
        <v>2385</v>
      </c>
      <c r="Q32" s="1538" t="str">
        <f t="shared" si="11"/>
        <v>商业类型</v>
      </c>
      <c r="R32" s="714" t="s">
        <v>17</v>
      </c>
      <c r="S32" s="715">
        <f t="shared" si="12"/>
        <v>100</v>
      </c>
      <c r="T32" s="714" t="s">
        <v>17</v>
      </c>
      <c r="U32" s="715">
        <f t="shared" si="13"/>
        <v>100</v>
      </c>
      <c r="V32" s="714" t="s">
        <v>17</v>
      </c>
      <c r="W32" s="715">
        <f t="shared" si="14"/>
        <v>100</v>
      </c>
      <c r="X32" s="1541"/>
      <c r="Y32" s="3387"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449"/>
      <c r="Q33" s="716" t="str">
        <f t="shared" si="11"/>
        <v>项目建筑规模</v>
      </c>
      <c r="R33" s="717" t="s">
        <v>17</v>
      </c>
      <c r="S33" s="718" t="e">
        <f t="shared" si="12"/>
        <v>#N/A</v>
      </c>
      <c r="T33" s="717" t="s">
        <v>17</v>
      </c>
      <c r="U33" s="718" t="e">
        <f t="shared" si="13"/>
        <v>#N/A</v>
      </c>
      <c r="V33" s="717" t="s">
        <v>17</v>
      </c>
      <c r="W33" s="718" t="e">
        <f t="shared" si="14"/>
        <v>#N/A</v>
      </c>
      <c r="X33" s="719"/>
      <c r="Y33" s="3387"/>
      <c r="Z33" s="720" t="str">
        <f t="shared" si="15"/>
        <v>项目建筑规模</v>
      </c>
      <c r="AA33" s="1539" t="e">
        <f t="shared" si="3"/>
        <v>#N/A</v>
      </c>
      <c r="AB33" s="1539" t="e">
        <f t="shared" si="4"/>
        <v>#N/A</v>
      </c>
      <c r="AC33" s="1539" t="e">
        <f t="shared" si="5"/>
        <v>#N/A</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449"/>
      <c r="Q34" s="1538" t="str">
        <f t="shared" si="11"/>
        <v>建筑结构</v>
      </c>
      <c r="R34" s="714" t="s">
        <v>17</v>
      </c>
      <c r="S34" s="715">
        <f t="shared" si="12"/>
        <v>100</v>
      </c>
      <c r="T34" s="714" t="s">
        <v>17</v>
      </c>
      <c r="U34" s="715">
        <f t="shared" si="13"/>
        <v>100</v>
      </c>
      <c r="V34" s="714" t="s">
        <v>17</v>
      </c>
      <c r="W34" s="715">
        <f t="shared" si="14"/>
        <v>100</v>
      </c>
      <c r="X34" s="1541"/>
      <c r="Y34" s="3387"/>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449"/>
      <c r="Q35" s="1538" t="str">
        <f t="shared" si="11"/>
        <v>公共部分装修</v>
      </c>
      <c r="R35" s="714" t="s">
        <v>17</v>
      </c>
      <c r="S35" s="715">
        <f t="shared" si="12"/>
        <v>100</v>
      </c>
      <c r="T35" s="714" t="s">
        <v>17</v>
      </c>
      <c r="U35" s="715">
        <f t="shared" si="13"/>
        <v>100</v>
      </c>
      <c r="V35" s="714" t="s">
        <v>17</v>
      </c>
      <c r="W35" s="715">
        <f t="shared" si="14"/>
        <v>100</v>
      </c>
      <c r="X35" s="1541"/>
      <c r="Y35" s="3387"/>
      <c r="Z35" s="1542" t="str">
        <f t="shared" si="15"/>
        <v>公共部分装修</v>
      </c>
      <c r="AA35" s="1539">
        <f t="shared" si="3"/>
        <v>1</v>
      </c>
      <c r="AB35" s="1539">
        <f t="shared" si="4"/>
        <v>1</v>
      </c>
      <c r="AC35" s="1539">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449"/>
      <c r="Q36" s="1538" t="str">
        <f t="shared" si="11"/>
        <v>成新度</v>
      </c>
      <c r="R36" s="714" t="s">
        <v>17</v>
      </c>
      <c r="S36" s="715" t="e">
        <f t="shared" si="12"/>
        <v>#N/A</v>
      </c>
      <c r="T36" s="714" t="s">
        <v>17</v>
      </c>
      <c r="U36" s="715" t="e">
        <f t="shared" si="13"/>
        <v>#N/A</v>
      </c>
      <c r="V36" s="714" t="s">
        <v>17</v>
      </c>
      <c r="W36" s="715" t="e">
        <f t="shared" si="14"/>
        <v>#N/A</v>
      </c>
      <c r="X36" s="1541"/>
      <c r="Y36" s="3387"/>
      <c r="Z36" s="1542" t="str">
        <f t="shared" si="15"/>
        <v>成新度</v>
      </c>
      <c r="AA36" s="1539" t="e">
        <f t="shared" si="3"/>
        <v>#N/A</v>
      </c>
      <c r="AB36" s="1539" t="e">
        <f t="shared" si="4"/>
        <v>#N/A</v>
      </c>
      <c r="AC36" s="1539" t="e">
        <f t="shared" si="5"/>
        <v>#N/A</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449"/>
      <c r="Q37" s="1529" t="str">
        <f t="shared" si="11"/>
        <v>市政基础设施</v>
      </c>
      <c r="R37" s="710" t="s">
        <v>17</v>
      </c>
      <c r="S37" s="711">
        <f t="shared" si="12"/>
        <v>100</v>
      </c>
      <c r="T37" s="710" t="s">
        <v>17</v>
      </c>
      <c r="U37" s="711">
        <f t="shared" si="13"/>
        <v>100</v>
      </c>
      <c r="V37" s="710" t="s">
        <v>17</v>
      </c>
      <c r="W37" s="711">
        <f t="shared" si="14"/>
        <v>100</v>
      </c>
      <c r="X37" s="712"/>
      <c r="Y37" s="3387"/>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449" t="s">
        <v>2385</v>
      </c>
      <c r="Q38" s="1538" t="str">
        <f t="shared" si="11"/>
        <v>业态</v>
      </c>
      <c r="R38" s="714" t="s">
        <v>17</v>
      </c>
      <c r="S38" s="715">
        <f t="shared" si="12"/>
        <v>100</v>
      </c>
      <c r="T38" s="714" t="s">
        <v>17</v>
      </c>
      <c r="U38" s="715">
        <f t="shared" si="13"/>
        <v>100</v>
      </c>
      <c r="V38" s="714" t="s">
        <v>17</v>
      </c>
      <c r="W38" s="715">
        <f t="shared" si="14"/>
        <v>100</v>
      </c>
      <c r="X38" s="1541"/>
      <c r="Y38" s="3387"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449"/>
      <c r="Q39" s="1538" t="str">
        <f t="shared" si="11"/>
        <v>层高</v>
      </c>
      <c r="R39" s="714" t="s">
        <v>17</v>
      </c>
      <c r="S39" s="715">
        <f t="shared" si="12"/>
        <v>100</v>
      </c>
      <c r="T39" s="714" t="s">
        <v>17</v>
      </c>
      <c r="U39" s="715">
        <f t="shared" si="13"/>
        <v>100</v>
      </c>
      <c r="V39" s="714" t="s">
        <v>17</v>
      </c>
      <c r="W39" s="715">
        <f t="shared" si="14"/>
        <v>100</v>
      </c>
      <c r="X39" s="1541"/>
      <c r="Y39" s="3387"/>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449"/>
      <c r="Q40" s="1538" t="str">
        <f t="shared" si="11"/>
        <v>单套建筑面积</v>
      </c>
      <c r="R40" s="714" t="s">
        <v>17</v>
      </c>
      <c r="S40" s="715">
        <f t="shared" si="12"/>
        <v>100</v>
      </c>
      <c r="T40" s="714" t="s">
        <v>17</v>
      </c>
      <c r="U40" s="715">
        <f t="shared" si="13"/>
        <v>100</v>
      </c>
      <c r="V40" s="714" t="s">
        <v>17</v>
      </c>
      <c r="W40" s="715">
        <f t="shared" si="14"/>
        <v>100</v>
      </c>
      <c r="X40" s="1541"/>
      <c r="Y40" s="3387"/>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449"/>
      <c r="Q41" s="716" t="str">
        <f t="shared" si="11"/>
        <v>进深比</v>
      </c>
      <c r="R41" s="717" t="s">
        <v>17</v>
      </c>
      <c r="S41" s="718">
        <f t="shared" si="12"/>
        <v>100</v>
      </c>
      <c r="T41" s="717" t="s">
        <v>17</v>
      </c>
      <c r="U41" s="718">
        <f t="shared" si="13"/>
        <v>100</v>
      </c>
      <c r="V41" s="717" t="s">
        <v>17</v>
      </c>
      <c r="W41" s="718">
        <f t="shared" si="14"/>
        <v>100</v>
      </c>
      <c r="X41" s="719"/>
      <c r="Y41" s="3387"/>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449"/>
      <c r="Q42" s="1538" t="str">
        <f t="shared" si="11"/>
        <v>内部装修</v>
      </c>
      <c r="R42" s="714" t="s">
        <v>17</v>
      </c>
      <c r="S42" s="715">
        <f t="shared" si="12"/>
        <v>100</v>
      </c>
      <c r="T42" s="714" t="s">
        <v>17</v>
      </c>
      <c r="U42" s="715">
        <f t="shared" si="13"/>
        <v>100</v>
      </c>
      <c r="V42" s="714" t="s">
        <v>17</v>
      </c>
      <c r="W42" s="715">
        <f t="shared" si="14"/>
        <v>100</v>
      </c>
      <c r="X42" s="1541"/>
      <c r="Y42" s="3387"/>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449"/>
      <c r="Q43" s="1538" t="str">
        <f t="shared" si="11"/>
        <v>内部装修维护情况</v>
      </c>
      <c r="R43" s="714" t="s">
        <v>17</v>
      </c>
      <c r="S43" s="715">
        <f t="shared" si="12"/>
        <v>100</v>
      </c>
      <c r="T43" s="714" t="s">
        <v>17</v>
      </c>
      <c r="U43" s="715">
        <f t="shared" si="13"/>
        <v>100</v>
      </c>
      <c r="V43" s="714" t="s">
        <v>17</v>
      </c>
      <c r="W43" s="715">
        <f t="shared" si="14"/>
        <v>100</v>
      </c>
      <c r="X43" s="1541"/>
      <c r="Y43" s="3387"/>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449"/>
      <c r="Q44" s="1529">
        <f t="shared" si="11"/>
        <v>111</v>
      </c>
      <c r="R44" s="710" t="s">
        <v>17</v>
      </c>
      <c r="S44" s="711">
        <f t="shared" si="12"/>
        <v>100</v>
      </c>
      <c r="T44" s="710" t="s">
        <v>17</v>
      </c>
      <c r="U44" s="711">
        <f t="shared" si="13"/>
        <v>100</v>
      </c>
      <c r="V44" s="710" t="s">
        <v>17</v>
      </c>
      <c r="W44" s="711">
        <f t="shared" si="14"/>
        <v>100</v>
      </c>
      <c r="X44" s="712"/>
      <c r="Y44" s="338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449"/>
      <c r="Q45" s="1538">
        <f t="shared" si="11"/>
        <v>111</v>
      </c>
      <c r="R45" s="714" t="s">
        <v>17</v>
      </c>
      <c r="S45" s="715">
        <f t="shared" si="12"/>
        <v>100</v>
      </c>
      <c r="T45" s="714" t="s">
        <v>17</v>
      </c>
      <c r="U45" s="715">
        <f t="shared" si="13"/>
        <v>100</v>
      </c>
      <c r="V45" s="714" t="s">
        <v>17</v>
      </c>
      <c r="W45" s="715">
        <f t="shared" si="14"/>
        <v>100</v>
      </c>
      <c r="X45" s="1541"/>
      <c r="Y45" s="3387"/>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450"/>
      <c r="Q46" s="1538">
        <f t="shared" si="11"/>
        <v>111</v>
      </c>
      <c r="R46" s="714" t="s">
        <v>17</v>
      </c>
      <c r="S46" s="715">
        <f t="shared" si="12"/>
        <v>100</v>
      </c>
      <c r="T46" s="714" t="s">
        <v>17</v>
      </c>
      <c r="U46" s="715">
        <f t="shared" si="13"/>
        <v>100</v>
      </c>
      <c r="V46" s="714" t="s">
        <v>17</v>
      </c>
      <c r="W46" s="715">
        <f t="shared" si="14"/>
        <v>100</v>
      </c>
      <c r="X46" s="1541"/>
      <c r="Y46" s="3451"/>
      <c r="Z46" s="1542">
        <f t="shared" si="15"/>
        <v>111</v>
      </c>
      <c r="AA46" s="1539">
        <f t="shared" si="3"/>
        <v>1</v>
      </c>
      <c r="AB46" s="1539">
        <f t="shared" si="4"/>
        <v>1</v>
      </c>
      <c r="AC46" s="1539">
        <f t="shared" si="5"/>
        <v>1</v>
      </c>
    </row>
    <row r="47" spans="1:29" ht="15">
      <c r="A47" s="438" t="s">
        <v>2397</v>
      </c>
      <c r="B47" s="439"/>
      <c r="C47" s="1316" t="s">
        <v>1</v>
      </c>
      <c r="D47" s="1317"/>
      <c r="E47" s="1318"/>
      <c r="F47" s="1319"/>
      <c r="G47" s="1320"/>
      <c r="H47" s="1321"/>
      <c r="I47" s="1318"/>
      <c r="J47" s="1321"/>
      <c r="K47" s="723"/>
      <c r="L47" s="2955"/>
      <c r="M47" s="2956"/>
      <c r="N47" s="2947"/>
      <c r="O47" s="2956"/>
      <c r="P47" s="3382" t="str">
        <f>A47</f>
        <v>成交单价（元/平方米）</v>
      </c>
      <c r="Q47" s="3382"/>
      <c r="R47" s="3388">
        <f>E47</f>
        <v>0</v>
      </c>
      <c r="S47" s="3388"/>
      <c r="T47" s="3388">
        <f>G47</f>
        <v>0</v>
      </c>
      <c r="U47" s="3388"/>
      <c r="V47" s="3388">
        <f>I47</f>
        <v>0</v>
      </c>
      <c r="W47" s="3388"/>
      <c r="X47" s="699"/>
      <c r="Y47" s="721"/>
      <c r="Z47" s="699"/>
      <c r="AA47" s="699"/>
      <c r="AB47" s="699"/>
      <c r="AC47" s="699"/>
    </row>
    <row r="48" spans="1:29" ht="15.75" thickBot="1">
      <c r="A48" s="445" t="s">
        <v>2489</v>
      </c>
      <c r="B48" s="446"/>
      <c r="C48" s="1322" t="e">
        <f>R49</f>
        <v>#DIV/0!</v>
      </c>
      <c r="D48" s="2540" t="s">
        <v>2879</v>
      </c>
      <c r="E48" s="1323" t="e">
        <f>R48</f>
        <v>#DIV/0!</v>
      </c>
      <c r="F48" s="2541"/>
      <c r="G48" s="1322" t="e">
        <f>T48</f>
        <v>#DIV/0!</v>
      </c>
      <c r="H48" s="2541"/>
      <c r="I48" s="1323" t="e">
        <f>V48</f>
        <v>#DIV/0!</v>
      </c>
      <c r="J48" s="2541"/>
      <c r="K48" s="2543">
        <f>F48+H48+J48</f>
        <v>0</v>
      </c>
      <c r="L48" s="2955"/>
      <c r="M48" s="2956"/>
      <c r="N48" s="2947"/>
      <c r="O48" s="2956"/>
      <c r="P48" s="3382" t="str">
        <f>A48</f>
        <v>比较价值（元/平方米）</v>
      </c>
      <c r="Q48" s="3382"/>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5"/>
      <c r="M49" s="2956"/>
      <c r="N49" s="2947"/>
      <c r="O49" s="2956"/>
      <c r="P49" s="3376" t="str">
        <f>A49</f>
        <v>估价对象XX用房的比较价值（楼面单价，元/平方米）</v>
      </c>
      <c r="Q49" s="3377"/>
      <c r="R49" s="3446" t="e">
        <f>IF(F1="售价",ROUND(IF(D48="简单平均",AVERAGE(R48:V48),R48*F48+T48*H48+V48*J48),0),ROUND(IF(D48="简单平均",AVERAGE(R48:V48),R48*F48+T48*H48+V48*J48),1))</f>
        <v>#DIV/0!</v>
      </c>
      <c r="S49" s="3446"/>
      <c r="T49" s="3446"/>
      <c r="U49" s="3446"/>
      <c r="V49" s="3446"/>
      <c r="W49" s="3446"/>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2494</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2368</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2405</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2370</v>
      </c>
      <c r="B61" s="467"/>
      <c r="C61" s="479" t="s">
        <v>2472</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2408</v>
      </c>
      <c r="B63" s="485" t="s">
        <v>2374</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2379</v>
      </c>
      <c r="B76" s="485" t="s">
        <v>2416</v>
      </c>
      <c r="C76" s="530" t="s">
        <v>2417</v>
      </c>
      <c r="D76" s="530" t="s">
        <v>2418</v>
      </c>
      <c r="E76" s="530" t="s">
        <v>2419</v>
      </c>
      <c r="F76" s="530" t="s">
        <v>2420</v>
      </c>
      <c r="G76" s="530" t="s">
        <v>2421</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2422</v>
      </c>
      <c r="C78" s="535" t="s">
        <v>2417</v>
      </c>
      <c r="D78" s="535" t="s">
        <v>2418</v>
      </c>
      <c r="E78" s="535" t="s">
        <v>2419</v>
      </c>
      <c r="F78" s="535" t="s">
        <v>2420</v>
      </c>
      <c r="G78" s="535" t="s">
        <v>2421</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2423</v>
      </c>
      <c r="C80" s="535" t="s">
        <v>2417</v>
      </c>
      <c r="D80" s="535" t="s">
        <v>2418</v>
      </c>
      <c r="E80" s="535" t="s">
        <v>2419</v>
      </c>
      <c r="F80" s="535" t="s">
        <v>2420</v>
      </c>
      <c r="G80" s="535" t="s">
        <v>2421</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2475</v>
      </c>
      <c r="C82" s="616" t="s">
        <v>2495</v>
      </c>
      <c r="D82" s="616" t="s">
        <v>2496</v>
      </c>
      <c r="E82" s="616" t="s">
        <v>2497</v>
      </c>
      <c r="F82" s="616" t="s">
        <v>2498</v>
      </c>
      <c r="G82" s="616" t="s">
        <v>2499</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2429</v>
      </c>
      <c r="C84" s="535" t="s">
        <v>2417</v>
      </c>
      <c r="D84" s="535" t="s">
        <v>2418</v>
      </c>
      <c r="E84" s="535" t="s">
        <v>2419</v>
      </c>
      <c r="F84" s="535" t="s">
        <v>2420</v>
      </c>
      <c r="G84" s="535" t="s">
        <v>2421</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2500</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2383</v>
      </c>
      <c r="B100" s="485" t="s">
        <v>2501</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2434</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2436</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1877</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2438</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2502</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2503</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2504</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2505</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2440</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IF(C2="——",ROUND(C50*D3/10000,0),ROUND(C50*D3/10000,0)-D2)</f>
        <v>#DIV/0!</v>
      </c>
      <c r="C2" s="2069"/>
      <c r="D2" s="1275" t="e">
        <f ca="1">SUMIF(INDIRECT("'"&amp;F2&amp;"'"&amp;"!A:A"),"承租人权益价值",INDIRECT("'"&amp;F2&amp;"'"&amp;"!c:c"))</f>
        <v>#REF!</v>
      </c>
      <c r="E2" s="2070" t="s">
        <v>2151</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IF(C2="——",C50,ROUND(B2*10000/D3,0))</f>
        <v>#DIV/0!</v>
      </c>
      <c r="C3" s="360" t="s">
        <v>2464</v>
      </c>
      <c r="D3" s="359">
        <f>IF(D1="",'数据-汇总表'!E3,SUMIF('数据-汇总表'!$C19:$C33,D1,'数据-汇总表'!$E19:$E33))</f>
        <v>11531.84</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2465</v>
      </c>
      <c r="B4" s="362"/>
      <c r="C4" s="3379" t="s">
        <v>2466</v>
      </c>
      <c r="D4" s="3392"/>
      <c r="E4" s="3393" t="s">
        <v>2467</v>
      </c>
      <c r="F4" s="3394"/>
      <c r="G4" s="3379" t="s">
        <v>2468</v>
      </c>
      <c r="H4" s="3392"/>
      <c r="I4" s="3379" t="s">
        <v>2469</v>
      </c>
      <c r="J4" s="3392"/>
      <c r="K4" s="567" t="s">
        <v>2470</v>
      </c>
      <c r="L4" s="2946"/>
      <c r="M4" s="2947"/>
      <c r="N4" s="2947"/>
      <c r="O4" s="2947"/>
      <c r="P4" s="3460" t="s">
        <v>2471</v>
      </c>
      <c r="Q4" s="3461"/>
      <c r="R4" s="3464" t="s">
        <v>2467</v>
      </c>
      <c r="S4" s="3465"/>
      <c r="T4" s="3464" t="s">
        <v>2468</v>
      </c>
      <c r="U4" s="3465"/>
      <c r="V4" s="3466" t="s">
        <v>2469</v>
      </c>
      <c r="W4" s="3466"/>
      <c r="X4" s="2146"/>
      <c r="Y4" s="3464" t="s">
        <v>2471</v>
      </c>
      <c r="Z4" s="3465"/>
      <c r="AA4" s="3468" t="s">
        <v>2467</v>
      </c>
      <c r="AB4" s="3468" t="s">
        <v>2468</v>
      </c>
      <c r="AC4" s="3457" t="s">
        <v>2469</v>
      </c>
    </row>
    <row r="5" spans="1:29" ht="15">
      <c r="A5" s="364"/>
      <c r="B5" s="365"/>
      <c r="C5" s="3409" t="s">
        <v>2362</v>
      </c>
      <c r="D5" s="3410"/>
      <c r="E5" s="3416" t="s">
        <v>2363</v>
      </c>
      <c r="F5" s="3417"/>
      <c r="G5" s="3409" t="s">
        <v>2364</v>
      </c>
      <c r="H5" s="3410"/>
      <c r="I5" s="3409" t="s">
        <v>2365</v>
      </c>
      <c r="J5" s="3410"/>
      <c r="K5" s="567"/>
      <c r="L5" s="2946"/>
      <c r="M5" s="2947"/>
      <c r="N5" s="2947"/>
      <c r="O5" s="2947"/>
      <c r="P5" s="3462"/>
      <c r="Q5" s="3398"/>
      <c r="R5" s="3403"/>
      <c r="S5" s="3404"/>
      <c r="T5" s="3403"/>
      <c r="U5" s="3404"/>
      <c r="V5" s="3388"/>
      <c r="W5" s="3388"/>
      <c r="X5" s="1541"/>
      <c r="Y5" s="3403"/>
      <c r="Z5" s="3404"/>
      <c r="AA5" s="3390"/>
      <c r="AB5" s="3390"/>
      <c r="AC5" s="3458"/>
    </row>
    <row r="6" spans="1:29" ht="15.75" thickBot="1">
      <c r="A6" s="366"/>
      <c r="B6" s="367"/>
      <c r="C6" s="3407" t="s">
        <v>2366</v>
      </c>
      <c r="D6" s="3408"/>
      <c r="E6" s="3414" t="s">
        <v>2366</v>
      </c>
      <c r="F6" s="3415"/>
      <c r="G6" s="3407" t="s">
        <v>2366</v>
      </c>
      <c r="H6" s="3408"/>
      <c r="I6" s="3407" t="s">
        <v>2366</v>
      </c>
      <c r="J6" s="3408"/>
      <c r="K6" s="567" t="s">
        <v>2367</v>
      </c>
      <c r="L6" s="2946"/>
      <c r="M6" s="2947"/>
      <c r="N6" s="2947"/>
      <c r="O6" s="2947"/>
      <c r="P6" s="3463"/>
      <c r="Q6" s="3400"/>
      <c r="R6" s="3403"/>
      <c r="S6" s="3404"/>
      <c r="T6" s="3405"/>
      <c r="U6" s="3406"/>
      <c r="V6" s="3388"/>
      <c r="W6" s="3388"/>
      <c r="X6" s="1541"/>
      <c r="Y6" s="3405"/>
      <c r="Z6" s="3406"/>
      <c r="AA6" s="3391"/>
      <c r="AB6" s="3391"/>
      <c r="AC6" s="3459"/>
    </row>
    <row r="7" spans="1:29" s="113" customFormat="1" ht="15.75" thickBot="1">
      <c r="A7" s="368" t="s">
        <v>2368</v>
      </c>
      <c r="B7" s="369"/>
      <c r="C7" s="370">
        <f>'数据-取费表'!B2</f>
        <v>44203</v>
      </c>
      <c r="D7" s="371">
        <v>100</v>
      </c>
      <c r="E7" s="372"/>
      <c r="F7" s="373">
        <f>SUMIF(59:59,YEAR(E7)&amp;"-"&amp;MONTH(E7),60:60)</f>
        <v>0</v>
      </c>
      <c r="G7" s="372"/>
      <c r="H7" s="371">
        <f>SUMIF(59:59,YEAR(G7)&amp;"-"&amp;MONTH(G7),60:60)</f>
        <v>0</v>
      </c>
      <c r="I7" s="372"/>
      <c r="J7" s="371">
        <f>SUMIF(59:59,YEAR(I7)&amp;"-"&amp;MONTH(I7),60:60)</f>
        <v>0</v>
      </c>
      <c r="K7" s="568"/>
      <c r="L7" s="2948"/>
      <c r="M7" s="2949"/>
      <c r="N7" s="2949"/>
      <c r="O7" s="2949"/>
      <c r="P7" s="3467" t="s">
        <v>2369</v>
      </c>
      <c r="Q7" s="3413"/>
      <c r="R7" s="710" t="s">
        <v>17</v>
      </c>
      <c r="S7" s="711">
        <f t="shared" ref="S7:S15" si="0">F7</f>
        <v>0</v>
      </c>
      <c r="T7" s="710" t="s">
        <v>17</v>
      </c>
      <c r="U7" s="711">
        <f t="shared" ref="U7:U15" si="1">H7</f>
        <v>0</v>
      </c>
      <c r="V7" s="710" t="s">
        <v>17</v>
      </c>
      <c r="W7" s="711">
        <f t="shared" ref="W7:W15" si="2">J7</f>
        <v>0</v>
      </c>
      <c r="X7" s="712"/>
      <c r="Y7" s="3411" t="s">
        <v>2369</v>
      </c>
      <c r="Z7" s="3412"/>
      <c r="AA7" s="713" t="e">
        <f>D7/F7</f>
        <v>#DIV/0!</v>
      </c>
      <c r="AB7" s="713" t="e">
        <f>D7/H7</f>
        <v>#DIV/0!</v>
      </c>
      <c r="AC7" s="2147"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467" t="s">
        <v>2372</v>
      </c>
      <c r="Q8" s="3412"/>
      <c r="R8" s="710" t="s">
        <v>17</v>
      </c>
      <c r="S8" s="711">
        <f t="shared" si="0"/>
        <v>0</v>
      </c>
      <c r="T8" s="710" t="s">
        <v>17</v>
      </c>
      <c r="U8" s="711">
        <f t="shared" si="1"/>
        <v>0</v>
      </c>
      <c r="V8" s="710" t="s">
        <v>17</v>
      </c>
      <c r="W8" s="711">
        <f t="shared" si="2"/>
        <v>0</v>
      </c>
      <c r="X8" s="712"/>
      <c r="Y8" s="3411" t="s">
        <v>2372</v>
      </c>
      <c r="Z8" s="3412"/>
      <c r="AA8" s="713" t="e">
        <f t="shared" ref="AA8:AA47" si="3">D8/F8</f>
        <v>#DIV/0!</v>
      </c>
      <c r="AB8" s="713" t="e">
        <f t="shared" ref="AB8:AB47" si="4">D8/H8</f>
        <v>#DIV/0!</v>
      </c>
      <c r="AC8" s="2147"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81" t="s">
        <v>2375</v>
      </c>
      <c r="Q9" s="1529" t="str">
        <f t="shared" ref="Q9:Q15" si="6">B9</f>
        <v>用途</v>
      </c>
      <c r="R9" s="710" t="s">
        <v>17</v>
      </c>
      <c r="S9" s="711">
        <f t="shared" si="0"/>
        <v>100</v>
      </c>
      <c r="T9" s="710" t="s">
        <v>17</v>
      </c>
      <c r="U9" s="711">
        <f t="shared" si="1"/>
        <v>100</v>
      </c>
      <c r="V9" s="710" t="s">
        <v>17</v>
      </c>
      <c r="W9" s="711">
        <f t="shared" si="2"/>
        <v>100</v>
      </c>
      <c r="X9" s="712"/>
      <c r="Y9" s="3276" t="s">
        <v>2376</v>
      </c>
      <c r="Z9" s="55" t="str">
        <f t="shared" ref="Z9:Z15" si="7">Q9</f>
        <v>用途</v>
      </c>
      <c r="AA9" s="713">
        <f t="shared" si="3"/>
        <v>1</v>
      </c>
      <c r="AB9" s="713">
        <f t="shared" si="4"/>
        <v>1</v>
      </c>
      <c r="AC9" s="2147">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81"/>
      <c r="Q10" s="1529"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2147">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81"/>
      <c r="Q11" s="1529"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81"/>
      <c r="Q12" s="1529">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81"/>
      <c r="Q13" s="1529">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81"/>
      <c r="Q14" s="1529">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2147">
        <f t="shared" si="5"/>
        <v>1</v>
      </c>
    </row>
    <row r="15" spans="1:29" ht="71.25">
      <c r="A15" s="399" t="s">
        <v>2379</v>
      </c>
      <c r="B15" s="585" t="s">
        <v>2507</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452" t="s">
        <v>2380</v>
      </c>
      <c r="Q15" s="1538" t="str">
        <f t="shared" si="6"/>
        <v>办公集聚程度</v>
      </c>
      <c r="R15" s="714" t="s">
        <v>17</v>
      </c>
      <c r="S15" s="715">
        <f t="shared" si="0"/>
        <v>100</v>
      </c>
      <c r="T15" s="714" t="s">
        <v>17</v>
      </c>
      <c r="U15" s="715">
        <f t="shared" si="1"/>
        <v>100</v>
      </c>
      <c r="V15" s="714" t="s">
        <v>17</v>
      </c>
      <c r="W15" s="715">
        <f t="shared" si="2"/>
        <v>100</v>
      </c>
      <c r="X15" s="1541"/>
      <c r="Y15" s="3384" t="s">
        <v>2380</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453"/>
      <c r="Q16" s="1538"/>
      <c r="R16" s="714"/>
      <c r="S16" s="715"/>
      <c r="T16" s="714"/>
      <c r="U16" s="715"/>
      <c r="V16" s="714"/>
      <c r="W16" s="715"/>
      <c r="X16" s="1541"/>
      <c r="Y16" s="3385"/>
      <c r="Z16" s="1542"/>
      <c r="AA16" s="1539">
        <v>1</v>
      </c>
      <c r="AB16" s="1539">
        <v>1</v>
      </c>
      <c r="AC16" s="2150">
        <v>1</v>
      </c>
    </row>
    <row r="17" spans="1:29" ht="71.25">
      <c r="A17" s="387"/>
      <c r="B17" s="587" t="s">
        <v>1947</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453"/>
      <c r="Q17" s="1538" t="str">
        <f>B17</f>
        <v>交通便捷度</v>
      </c>
      <c r="R17" s="714" t="s">
        <v>17</v>
      </c>
      <c r="S17" s="715">
        <f>F17</f>
        <v>100</v>
      </c>
      <c r="T17" s="714" t="s">
        <v>17</v>
      </c>
      <c r="U17" s="715">
        <f>H17</f>
        <v>100</v>
      </c>
      <c r="V17" s="714" t="s">
        <v>17</v>
      </c>
      <c r="W17" s="715">
        <f>J17</f>
        <v>100</v>
      </c>
      <c r="X17" s="1541"/>
      <c r="Y17" s="3385"/>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453"/>
      <c r="Q18" s="1538"/>
      <c r="R18" s="714"/>
      <c r="S18" s="715"/>
      <c r="T18" s="714"/>
      <c r="U18" s="715"/>
      <c r="V18" s="714"/>
      <c r="W18" s="715"/>
      <c r="X18" s="1541"/>
      <c r="Y18" s="3385"/>
      <c r="Z18" s="1542"/>
      <c r="AA18" s="1539">
        <v>1</v>
      </c>
      <c r="AB18" s="1539">
        <v>1</v>
      </c>
      <c r="AC18" s="2150">
        <v>1</v>
      </c>
    </row>
    <row r="19" spans="1:29" ht="42.75">
      <c r="A19" s="387"/>
      <c r="B19" s="587" t="s">
        <v>2508</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453"/>
      <c r="Q19" s="1538" t="str">
        <f>B19</f>
        <v>公共配套设施</v>
      </c>
      <c r="R19" s="714" t="s">
        <v>17</v>
      </c>
      <c r="S19" s="715">
        <f>F19</f>
        <v>100</v>
      </c>
      <c r="T19" s="714" t="s">
        <v>17</v>
      </c>
      <c r="U19" s="715">
        <f>H19</f>
        <v>100</v>
      </c>
      <c r="V19" s="714" t="s">
        <v>17</v>
      </c>
      <c r="W19" s="715">
        <f>J19</f>
        <v>100</v>
      </c>
      <c r="X19" s="1541"/>
      <c r="Y19" s="3385"/>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453"/>
      <c r="Q20" s="1538"/>
      <c r="R20" s="714"/>
      <c r="S20" s="715"/>
      <c r="T20" s="714"/>
      <c r="U20" s="715"/>
      <c r="V20" s="714"/>
      <c r="W20" s="715"/>
      <c r="X20" s="1541"/>
      <c r="Y20" s="3385"/>
      <c r="Z20" s="1542"/>
      <c r="AA20" s="1539">
        <v>1</v>
      </c>
      <c r="AB20" s="1539">
        <v>1</v>
      </c>
      <c r="AC20" s="2150">
        <v>1</v>
      </c>
    </row>
    <row r="21" spans="1:29" ht="28.5">
      <c r="A21" s="387"/>
      <c r="B21" s="589" t="s">
        <v>2509</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453"/>
      <c r="Q21" s="1538" t="str">
        <f>B21</f>
        <v>基础设施水平</v>
      </c>
      <c r="R21" s="714" t="s">
        <v>17</v>
      </c>
      <c r="S21" s="715">
        <f>F21</f>
        <v>100</v>
      </c>
      <c r="T21" s="714" t="s">
        <v>17</v>
      </c>
      <c r="U21" s="715">
        <f>H21</f>
        <v>100</v>
      </c>
      <c r="V21" s="714" t="s">
        <v>17</v>
      </c>
      <c r="W21" s="715">
        <f>J21</f>
        <v>100</v>
      </c>
      <c r="X21" s="1541"/>
      <c r="Y21" s="3385"/>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453"/>
      <c r="Q22" s="1538"/>
      <c r="R22" s="714"/>
      <c r="S22" s="715"/>
      <c r="T22" s="714"/>
      <c r="U22" s="715"/>
      <c r="V22" s="714"/>
      <c r="W22" s="715"/>
      <c r="X22" s="1541"/>
      <c r="Y22" s="3385"/>
      <c r="Z22" s="1542"/>
      <c r="AA22" s="1539">
        <v>1</v>
      </c>
      <c r="AB22" s="1539">
        <v>1</v>
      </c>
      <c r="AC22" s="2150">
        <v>1</v>
      </c>
    </row>
    <row r="23" spans="1:29" ht="42.75">
      <c r="A23" s="387"/>
      <c r="B23" s="587" t="s">
        <v>2510</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453"/>
      <c r="Q23" s="1538" t="str">
        <f>B23</f>
        <v>环境质量</v>
      </c>
      <c r="R23" s="714" t="s">
        <v>17</v>
      </c>
      <c r="S23" s="715">
        <f>F23</f>
        <v>100</v>
      </c>
      <c r="T23" s="714" t="s">
        <v>17</v>
      </c>
      <c r="U23" s="715">
        <f>H23</f>
        <v>100</v>
      </c>
      <c r="V23" s="714" t="s">
        <v>17</v>
      </c>
      <c r="W23" s="715">
        <f>J23</f>
        <v>100</v>
      </c>
      <c r="X23" s="1541"/>
      <c r="Y23" s="3385"/>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453"/>
      <c r="Q24" s="1538"/>
      <c r="R24" s="714"/>
      <c r="S24" s="715"/>
      <c r="T24" s="714"/>
      <c r="U24" s="715"/>
      <c r="V24" s="714"/>
      <c r="W24" s="715"/>
      <c r="X24" s="1541"/>
      <c r="Y24" s="3385"/>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453"/>
      <c r="Q25" s="1538" t="str">
        <f>B25</f>
        <v>毗邻道路的类型与等级</v>
      </c>
      <c r="R25" s="714" t="s">
        <v>17</v>
      </c>
      <c r="S25" s="715">
        <f>F25</f>
        <v>100</v>
      </c>
      <c r="T25" s="714" t="s">
        <v>17</v>
      </c>
      <c r="U25" s="715">
        <f>H25</f>
        <v>100</v>
      </c>
      <c r="V25" s="714" t="s">
        <v>17</v>
      </c>
      <c r="W25" s="715">
        <f>J25</f>
        <v>100</v>
      </c>
      <c r="X25" s="1541"/>
      <c r="Y25" s="3385"/>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453"/>
      <c r="Q26" s="1538"/>
      <c r="R26" s="714"/>
      <c r="S26" s="715"/>
      <c r="T26" s="714"/>
      <c r="U26" s="715"/>
      <c r="V26" s="714"/>
      <c r="W26" s="715"/>
      <c r="X26" s="1541"/>
      <c r="Y26" s="3385"/>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453"/>
      <c r="Q27" s="1538" t="str">
        <f t="shared" ref="Q27:Q47" si="11">B27</f>
        <v>楼层</v>
      </c>
      <c r="R27" s="714" t="s">
        <v>17</v>
      </c>
      <c r="S27" s="715">
        <f>F27</f>
        <v>100</v>
      </c>
      <c r="T27" s="714" t="s">
        <v>17</v>
      </c>
      <c r="U27" s="715">
        <f>H27</f>
        <v>100</v>
      </c>
      <c r="V27" s="714" t="s">
        <v>17</v>
      </c>
      <c r="W27" s="715">
        <f>J27</f>
        <v>100</v>
      </c>
      <c r="X27" s="1541"/>
      <c r="Y27" s="3385"/>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453"/>
      <c r="Q28" s="1529" t="str">
        <f t="shared" si="11"/>
        <v>朝向</v>
      </c>
      <c r="R28" s="710" t="s">
        <v>17</v>
      </c>
      <c r="S28" s="711">
        <f>F28</f>
        <v>100</v>
      </c>
      <c r="T28" s="710" t="s">
        <v>17</v>
      </c>
      <c r="U28" s="711">
        <f>H28</f>
        <v>100</v>
      </c>
      <c r="V28" s="710" t="s">
        <v>17</v>
      </c>
      <c r="W28" s="711">
        <f>J28</f>
        <v>100</v>
      </c>
      <c r="X28" s="712"/>
      <c r="Y28" s="3385"/>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453"/>
      <c r="Q29" s="1538">
        <f t="shared" si="11"/>
        <v>111</v>
      </c>
      <c r="R29" s="714" t="s">
        <v>17</v>
      </c>
      <c r="S29" s="715">
        <f t="shared" ref="S29:S47" si="12">F29</f>
        <v>100</v>
      </c>
      <c r="T29" s="714" t="s">
        <v>17</v>
      </c>
      <c r="U29" s="715">
        <f t="shared" ref="U29:U47" si="13">H29</f>
        <v>100</v>
      </c>
      <c r="V29" s="714" t="s">
        <v>17</v>
      </c>
      <c r="W29" s="715">
        <f t="shared" ref="W29:W47" si="14">J29</f>
        <v>100</v>
      </c>
      <c r="X29" s="1541"/>
      <c r="Y29" s="3385"/>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453"/>
      <c r="Q30" s="1538">
        <f t="shared" si="11"/>
        <v>111</v>
      </c>
      <c r="R30" s="714" t="s">
        <v>17</v>
      </c>
      <c r="S30" s="715">
        <f t="shared" si="12"/>
        <v>100</v>
      </c>
      <c r="T30" s="714" t="s">
        <v>17</v>
      </c>
      <c r="U30" s="715">
        <f t="shared" si="13"/>
        <v>100</v>
      </c>
      <c r="V30" s="714" t="s">
        <v>17</v>
      </c>
      <c r="W30" s="715">
        <f t="shared" si="14"/>
        <v>100</v>
      </c>
      <c r="X30" s="1541"/>
      <c r="Y30" s="3385"/>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453"/>
      <c r="Q31" s="1538">
        <f t="shared" si="11"/>
        <v>111</v>
      </c>
      <c r="R31" s="714" t="s">
        <v>17</v>
      </c>
      <c r="S31" s="715">
        <f t="shared" si="12"/>
        <v>100</v>
      </c>
      <c r="T31" s="714" t="s">
        <v>17</v>
      </c>
      <c r="U31" s="715">
        <f t="shared" si="13"/>
        <v>100</v>
      </c>
      <c r="V31" s="714" t="s">
        <v>17</v>
      </c>
      <c r="W31" s="715">
        <f t="shared" si="14"/>
        <v>100</v>
      </c>
      <c r="X31" s="1541"/>
      <c r="Y31" s="3385"/>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453"/>
      <c r="Q32" s="1538">
        <f t="shared" si="11"/>
        <v>111</v>
      </c>
      <c r="R32" s="714" t="s">
        <v>17</v>
      </c>
      <c r="S32" s="715">
        <f t="shared" si="12"/>
        <v>100</v>
      </c>
      <c r="T32" s="714" t="s">
        <v>17</v>
      </c>
      <c r="U32" s="715">
        <f t="shared" si="13"/>
        <v>100</v>
      </c>
      <c r="V32" s="714" t="s">
        <v>17</v>
      </c>
      <c r="W32" s="715">
        <f t="shared" si="14"/>
        <v>100</v>
      </c>
      <c r="X32" s="1541"/>
      <c r="Y32" s="3385"/>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448" t="s">
        <v>2385</v>
      </c>
      <c r="Q33" s="1538" t="str">
        <f t="shared" si="11"/>
        <v>建筑类型</v>
      </c>
      <c r="R33" s="714" t="s">
        <v>17</v>
      </c>
      <c r="S33" s="715">
        <f t="shared" si="12"/>
        <v>100</v>
      </c>
      <c r="T33" s="714" t="s">
        <v>17</v>
      </c>
      <c r="U33" s="715">
        <f t="shared" si="13"/>
        <v>100</v>
      </c>
      <c r="V33" s="714" t="s">
        <v>17</v>
      </c>
      <c r="W33" s="715">
        <f t="shared" si="14"/>
        <v>100</v>
      </c>
      <c r="X33" s="1541"/>
      <c r="Y33" s="3387" t="s">
        <v>2385</v>
      </c>
      <c r="Z33" s="1542" t="str">
        <f t="shared" si="15"/>
        <v>建筑类型</v>
      </c>
      <c r="AA33" s="1539">
        <f t="shared" si="3"/>
        <v>1</v>
      </c>
      <c r="AB33" s="1539">
        <f t="shared" si="4"/>
        <v>1</v>
      </c>
      <c r="AC33" s="2150">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449"/>
      <c r="Q34" s="716" t="str">
        <f t="shared" si="11"/>
        <v>项目建筑规模</v>
      </c>
      <c r="R34" s="717" t="s">
        <v>17</v>
      </c>
      <c r="S34" s="718" t="e">
        <f t="shared" si="12"/>
        <v>#N/A</v>
      </c>
      <c r="T34" s="717" t="s">
        <v>17</v>
      </c>
      <c r="U34" s="718" t="e">
        <f t="shared" si="13"/>
        <v>#N/A</v>
      </c>
      <c r="V34" s="717" t="s">
        <v>17</v>
      </c>
      <c r="W34" s="718" t="e">
        <f t="shared" si="14"/>
        <v>#N/A</v>
      </c>
      <c r="X34" s="719"/>
      <c r="Y34" s="3387"/>
      <c r="Z34" s="720" t="str">
        <f t="shared" si="15"/>
        <v>项目建筑规模</v>
      </c>
      <c r="AA34" s="1539" t="e">
        <f t="shared" si="3"/>
        <v>#N/A</v>
      </c>
      <c r="AB34" s="1539" t="e">
        <f t="shared" si="4"/>
        <v>#N/A</v>
      </c>
      <c r="AC34" s="2150"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449"/>
      <c r="Q35" s="1538" t="str">
        <f t="shared" si="11"/>
        <v>建筑结构</v>
      </c>
      <c r="R35" s="714" t="s">
        <v>17</v>
      </c>
      <c r="S35" s="715">
        <f t="shared" si="12"/>
        <v>100</v>
      </c>
      <c r="T35" s="714" t="s">
        <v>17</v>
      </c>
      <c r="U35" s="715">
        <f t="shared" si="13"/>
        <v>100</v>
      </c>
      <c r="V35" s="714" t="s">
        <v>17</v>
      </c>
      <c r="W35" s="715">
        <f t="shared" si="14"/>
        <v>100</v>
      </c>
      <c r="X35" s="1541"/>
      <c r="Y35" s="3387"/>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449"/>
      <c r="Q36" s="1538" t="str">
        <f t="shared" si="11"/>
        <v>公共部分装修</v>
      </c>
      <c r="R36" s="714" t="s">
        <v>17</v>
      </c>
      <c r="S36" s="715">
        <f t="shared" si="12"/>
        <v>100</v>
      </c>
      <c r="T36" s="714" t="s">
        <v>17</v>
      </c>
      <c r="U36" s="715">
        <f t="shared" si="13"/>
        <v>100</v>
      </c>
      <c r="V36" s="714" t="s">
        <v>17</v>
      </c>
      <c r="W36" s="715">
        <f t="shared" si="14"/>
        <v>100</v>
      </c>
      <c r="X36" s="1541"/>
      <c r="Y36" s="3387"/>
      <c r="Z36" s="1542" t="str">
        <f t="shared" si="15"/>
        <v>公共部分装修</v>
      </c>
      <c r="AA36" s="1539">
        <f t="shared" si="3"/>
        <v>1</v>
      </c>
      <c r="AB36" s="1539">
        <f t="shared" si="4"/>
        <v>1</v>
      </c>
      <c r="AC36" s="2150">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449"/>
      <c r="Q37" s="1538" t="str">
        <f t="shared" si="11"/>
        <v>成新度</v>
      </c>
      <c r="R37" s="714" t="s">
        <v>17</v>
      </c>
      <c r="S37" s="715" t="e">
        <f t="shared" si="12"/>
        <v>#N/A</v>
      </c>
      <c r="T37" s="714" t="s">
        <v>17</v>
      </c>
      <c r="U37" s="715" t="e">
        <f t="shared" si="13"/>
        <v>#N/A</v>
      </c>
      <c r="V37" s="714" t="s">
        <v>17</v>
      </c>
      <c r="W37" s="715" t="e">
        <f t="shared" si="14"/>
        <v>#N/A</v>
      </c>
      <c r="X37" s="1541"/>
      <c r="Y37" s="3387"/>
      <c r="Z37" s="1542" t="str">
        <f t="shared" si="15"/>
        <v>成新度</v>
      </c>
      <c r="AA37" s="1539" t="e">
        <f t="shared" si="3"/>
        <v>#N/A</v>
      </c>
      <c r="AB37" s="1539" t="e">
        <f t="shared" si="4"/>
        <v>#N/A</v>
      </c>
      <c r="AC37" s="2150"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449"/>
      <c r="Q38" s="1529" t="str">
        <f t="shared" si="11"/>
        <v>写字楼等级</v>
      </c>
      <c r="R38" s="710" t="s">
        <v>17</v>
      </c>
      <c r="S38" s="711">
        <f t="shared" si="12"/>
        <v>100</v>
      </c>
      <c r="T38" s="710" t="s">
        <v>17</v>
      </c>
      <c r="U38" s="711">
        <f t="shared" si="13"/>
        <v>100</v>
      </c>
      <c r="V38" s="710" t="s">
        <v>17</v>
      </c>
      <c r="W38" s="711">
        <f t="shared" si="14"/>
        <v>100</v>
      </c>
      <c r="X38" s="712"/>
      <c r="Y38" s="3387"/>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449" t="s">
        <v>2385</v>
      </c>
      <c r="Q39" s="1538" t="str">
        <f t="shared" si="11"/>
        <v>物业管理</v>
      </c>
      <c r="R39" s="714" t="s">
        <v>17</v>
      </c>
      <c r="S39" s="715">
        <f t="shared" si="12"/>
        <v>100</v>
      </c>
      <c r="T39" s="714" t="s">
        <v>17</v>
      </c>
      <c r="U39" s="715">
        <f t="shared" si="13"/>
        <v>100</v>
      </c>
      <c r="V39" s="714" t="s">
        <v>17</v>
      </c>
      <c r="W39" s="715">
        <f t="shared" si="14"/>
        <v>100</v>
      </c>
      <c r="X39" s="1541"/>
      <c r="Y39" s="3387"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449"/>
      <c r="Q40" s="1538" t="str">
        <f t="shared" si="11"/>
        <v>市政基础设施</v>
      </c>
      <c r="R40" s="714" t="s">
        <v>17</v>
      </c>
      <c r="S40" s="715">
        <f t="shared" si="12"/>
        <v>100</v>
      </c>
      <c r="T40" s="714" t="s">
        <v>17</v>
      </c>
      <c r="U40" s="715">
        <f t="shared" si="13"/>
        <v>100</v>
      </c>
      <c r="V40" s="714" t="s">
        <v>17</v>
      </c>
      <c r="W40" s="715">
        <f t="shared" si="14"/>
        <v>100</v>
      </c>
      <c r="X40" s="1541"/>
      <c r="Y40" s="3387"/>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449"/>
      <c r="Q41" s="1538" t="str">
        <f t="shared" si="11"/>
        <v>层高</v>
      </c>
      <c r="R41" s="714" t="s">
        <v>17</v>
      </c>
      <c r="S41" s="715">
        <f t="shared" si="12"/>
        <v>100</v>
      </c>
      <c r="T41" s="714" t="s">
        <v>17</v>
      </c>
      <c r="U41" s="715">
        <f t="shared" si="13"/>
        <v>100</v>
      </c>
      <c r="V41" s="714" t="s">
        <v>17</v>
      </c>
      <c r="W41" s="715">
        <f t="shared" si="14"/>
        <v>100</v>
      </c>
      <c r="X41" s="1541"/>
      <c r="Y41" s="3387"/>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449"/>
      <c r="Q42" s="716" t="str">
        <f t="shared" si="11"/>
        <v>单套建筑面积</v>
      </c>
      <c r="R42" s="717" t="s">
        <v>17</v>
      </c>
      <c r="S42" s="718">
        <f t="shared" si="12"/>
        <v>100</v>
      </c>
      <c r="T42" s="717" t="s">
        <v>17</v>
      </c>
      <c r="U42" s="718">
        <f t="shared" si="13"/>
        <v>100</v>
      </c>
      <c r="V42" s="717" t="s">
        <v>17</v>
      </c>
      <c r="W42" s="718">
        <f t="shared" si="14"/>
        <v>100</v>
      </c>
      <c r="X42" s="719"/>
      <c r="Y42" s="3387"/>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449"/>
      <c r="Q43" s="1538" t="str">
        <f t="shared" si="11"/>
        <v>内部装修</v>
      </c>
      <c r="R43" s="714" t="s">
        <v>17</v>
      </c>
      <c r="S43" s="715">
        <f t="shared" si="12"/>
        <v>100</v>
      </c>
      <c r="T43" s="714" t="s">
        <v>17</v>
      </c>
      <c r="U43" s="715">
        <f t="shared" si="13"/>
        <v>100</v>
      </c>
      <c r="V43" s="714" t="s">
        <v>17</v>
      </c>
      <c r="W43" s="715">
        <f t="shared" si="14"/>
        <v>100</v>
      </c>
      <c r="X43" s="1541"/>
      <c r="Y43" s="3387"/>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449"/>
      <c r="Q44" s="1538" t="str">
        <f t="shared" si="11"/>
        <v>内部装修维护情况</v>
      </c>
      <c r="R44" s="714" t="s">
        <v>17</v>
      </c>
      <c r="S44" s="715">
        <f t="shared" si="12"/>
        <v>100</v>
      </c>
      <c r="T44" s="714" t="s">
        <v>17</v>
      </c>
      <c r="U44" s="715">
        <f t="shared" si="13"/>
        <v>100</v>
      </c>
      <c r="V44" s="714" t="s">
        <v>17</v>
      </c>
      <c r="W44" s="715">
        <f t="shared" si="14"/>
        <v>100</v>
      </c>
      <c r="X44" s="1541"/>
      <c r="Y44" s="3387"/>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449"/>
      <c r="Q45" s="1529">
        <f t="shared" si="11"/>
        <v>111</v>
      </c>
      <c r="R45" s="710" t="s">
        <v>17</v>
      </c>
      <c r="S45" s="711">
        <f t="shared" si="12"/>
        <v>100</v>
      </c>
      <c r="T45" s="710" t="s">
        <v>17</v>
      </c>
      <c r="U45" s="711">
        <f t="shared" si="13"/>
        <v>100</v>
      </c>
      <c r="V45" s="710" t="s">
        <v>17</v>
      </c>
      <c r="W45" s="711">
        <f t="shared" si="14"/>
        <v>100</v>
      </c>
      <c r="X45" s="712"/>
      <c r="Y45" s="3387"/>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449"/>
      <c r="Q46" s="1538">
        <f t="shared" si="11"/>
        <v>111</v>
      </c>
      <c r="R46" s="714" t="s">
        <v>17</v>
      </c>
      <c r="S46" s="715">
        <f t="shared" si="12"/>
        <v>100</v>
      </c>
      <c r="T46" s="714" t="s">
        <v>17</v>
      </c>
      <c r="U46" s="715">
        <f t="shared" si="13"/>
        <v>100</v>
      </c>
      <c r="V46" s="714" t="s">
        <v>17</v>
      </c>
      <c r="W46" s="715">
        <f t="shared" si="14"/>
        <v>100</v>
      </c>
      <c r="X46" s="1541"/>
      <c r="Y46" s="3387"/>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450"/>
      <c r="Q47" s="1538">
        <f t="shared" si="11"/>
        <v>111</v>
      </c>
      <c r="R47" s="714" t="s">
        <v>17</v>
      </c>
      <c r="S47" s="715">
        <f t="shared" si="12"/>
        <v>100</v>
      </c>
      <c r="T47" s="714" t="s">
        <v>17</v>
      </c>
      <c r="U47" s="715">
        <f t="shared" si="13"/>
        <v>100</v>
      </c>
      <c r="V47" s="714" t="s">
        <v>17</v>
      </c>
      <c r="W47" s="715">
        <f t="shared" si="14"/>
        <v>100</v>
      </c>
      <c r="X47" s="1541"/>
      <c r="Y47" s="3451"/>
      <c r="Z47" s="1542">
        <f t="shared" si="15"/>
        <v>111</v>
      </c>
      <c r="AA47" s="1539">
        <f t="shared" si="3"/>
        <v>1</v>
      </c>
      <c r="AB47" s="1539">
        <f t="shared" si="4"/>
        <v>1</v>
      </c>
      <c r="AC47" s="2150">
        <f t="shared" si="5"/>
        <v>1</v>
      </c>
    </row>
    <row r="48" spans="1:29" ht="15">
      <c r="A48" s="438" t="s">
        <v>2397</v>
      </c>
      <c r="B48" s="439"/>
      <c r="C48" s="1316" t="s">
        <v>1</v>
      </c>
      <c r="D48" s="1317"/>
      <c r="E48" s="1318"/>
      <c r="F48" s="1319"/>
      <c r="G48" s="1320"/>
      <c r="H48" s="1321"/>
      <c r="I48" s="1318"/>
      <c r="J48" s="444"/>
      <c r="K48" s="723"/>
      <c r="L48" s="2955"/>
      <c r="M48" s="2947"/>
      <c r="N48" s="2947"/>
      <c r="O48" s="2947"/>
      <c r="P48" s="3381" t="str">
        <f>A48</f>
        <v>成交单价（元/平方米）</v>
      </c>
      <c r="Q48" s="3382"/>
      <c r="R48" s="3447">
        <f>E48</f>
        <v>0</v>
      </c>
      <c r="S48" s="3447"/>
      <c r="T48" s="3447">
        <f>G48</f>
        <v>0</v>
      </c>
      <c r="U48" s="3447"/>
      <c r="V48" s="3447">
        <f>I48</f>
        <v>0</v>
      </c>
      <c r="W48" s="3447"/>
      <c r="X48" s="405"/>
      <c r="Y48" s="721"/>
      <c r="Z48" s="405"/>
      <c r="AA48" s="405"/>
      <c r="AB48" s="405"/>
      <c r="AC48" s="586"/>
    </row>
    <row r="49" spans="1:29" ht="15.75" thickBot="1">
      <c r="A49" s="445" t="s">
        <v>2489</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381" t="str">
        <f>A49</f>
        <v>比较价值（元/平方米）</v>
      </c>
      <c r="Q49" s="3382"/>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5"/>
      <c r="M50" s="2947"/>
      <c r="N50" s="2947"/>
      <c r="O50" s="2947"/>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2494</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2368</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2405</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2370</v>
      </c>
      <c r="B62" s="467"/>
      <c r="C62" s="479" t="s">
        <v>2472</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2408</v>
      </c>
      <c r="B64" s="485" t="s">
        <v>2374</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2379</v>
      </c>
      <c r="B77" s="485" t="s">
        <v>2517</v>
      </c>
      <c r="C77" s="530" t="s">
        <v>2417</v>
      </c>
      <c r="D77" s="530" t="s">
        <v>2418</v>
      </c>
      <c r="E77" s="530" t="s">
        <v>2419</v>
      </c>
      <c r="F77" s="530" t="s">
        <v>2420</v>
      </c>
      <c r="G77" s="530" t="s">
        <v>2421</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2422</v>
      </c>
      <c r="C79" s="535" t="s">
        <v>2417</v>
      </c>
      <c r="D79" s="535" t="s">
        <v>2418</v>
      </c>
      <c r="E79" s="535" t="s">
        <v>2419</v>
      </c>
      <c r="F79" s="535" t="s">
        <v>2420</v>
      </c>
      <c r="G79" s="535" t="s">
        <v>2421</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2423</v>
      </c>
      <c r="C81" s="535" t="s">
        <v>2417</v>
      </c>
      <c r="D81" s="535" t="s">
        <v>2418</v>
      </c>
      <c r="E81" s="535" t="s">
        <v>2419</v>
      </c>
      <c r="F81" s="535" t="s">
        <v>2420</v>
      </c>
      <c r="G81" s="535" t="s">
        <v>2421</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2509</v>
      </c>
      <c r="C83" s="616" t="s">
        <v>2495</v>
      </c>
      <c r="D83" s="616" t="s">
        <v>2496</v>
      </c>
      <c r="E83" s="616" t="s">
        <v>2497</v>
      </c>
      <c r="F83" s="616" t="s">
        <v>2498</v>
      </c>
      <c r="G83" s="616" t="s">
        <v>2499</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2518</v>
      </c>
      <c r="C85" s="535" t="s">
        <v>2417</v>
      </c>
      <c r="D85" s="535" t="s">
        <v>2418</v>
      </c>
      <c r="E85" s="535" t="s">
        <v>2419</v>
      </c>
      <c r="F85" s="535" t="s">
        <v>2420</v>
      </c>
      <c r="G85" s="535" t="s">
        <v>2421</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2519</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2383</v>
      </c>
      <c r="B101" s="485" t="s">
        <v>2432</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2434</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2436</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1877</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2520</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2437</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2438</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2521</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2504</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2440</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IF(C2="——",ROUND(C43*D3/10000,0),ROUND(C43*D3/10000,0)-D2)</f>
        <v>#DIV/0!</v>
      </c>
      <c r="C2" s="2069"/>
      <c r="D2" s="1038" t="e">
        <f ca="1">SUMIF(INDIRECT("'"&amp;F2&amp;"'"&amp;"!A:A"),"承租人权益价值",INDIRECT("'"&amp;F2&amp;"'"&amp;"!c:c"))</f>
        <v>#REF!</v>
      </c>
      <c r="E2" s="2070" t="s">
        <v>2151</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2152</v>
      </c>
      <c r="B3" s="566" t="e">
        <f ca="1">IF(C2="——",C43,ROUND(B2*10000/D3,0))</f>
        <v>#DIV/0!</v>
      </c>
      <c r="C3" s="360" t="s">
        <v>2464</v>
      </c>
      <c r="D3" s="359">
        <f>IF(D1="",'数据-汇总表'!E3,SUMIF('数据-汇总表'!$C19:$C33,D1,'数据-汇总表'!$E19:$E33))</f>
        <v>11531.84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79" t="s">
        <v>2466</v>
      </c>
      <c r="D4" s="3392"/>
      <c r="E4" s="3393" t="s">
        <v>2467</v>
      </c>
      <c r="F4" s="3394"/>
      <c r="G4" s="3379" t="s">
        <v>2468</v>
      </c>
      <c r="H4" s="3392"/>
      <c r="I4" s="3379" t="s">
        <v>2469</v>
      </c>
      <c r="J4" s="3392"/>
      <c r="K4" s="567" t="s">
        <v>2470</v>
      </c>
      <c r="L4" s="1044"/>
      <c r="M4" s="1045"/>
      <c r="N4" s="1045"/>
      <c r="O4" s="1045"/>
      <c r="P4" s="3395" t="s">
        <v>2471</v>
      </c>
      <c r="Q4" s="3396"/>
      <c r="R4" s="3401" t="s">
        <v>2467</v>
      </c>
      <c r="S4" s="3402"/>
      <c r="T4" s="3401" t="s">
        <v>2468</v>
      </c>
      <c r="U4" s="3402"/>
      <c r="V4" s="3388" t="s">
        <v>2469</v>
      </c>
      <c r="W4" s="3388"/>
      <c r="X4" s="1541"/>
      <c r="Y4" s="3401" t="s">
        <v>2471</v>
      </c>
      <c r="Z4" s="3402"/>
      <c r="AA4" s="3389" t="s">
        <v>2467</v>
      </c>
      <c r="AB4" s="3390" t="s">
        <v>2468</v>
      </c>
      <c r="AC4" s="3389" t="s">
        <v>2469</v>
      </c>
    </row>
    <row r="5" spans="1:29" ht="15">
      <c r="A5" s="364"/>
      <c r="B5" s="365"/>
      <c r="C5" s="3409" t="s">
        <v>2362</v>
      </c>
      <c r="D5" s="3410"/>
      <c r="E5" s="3416" t="s">
        <v>2363</v>
      </c>
      <c r="F5" s="3417"/>
      <c r="G5" s="3409" t="s">
        <v>2364</v>
      </c>
      <c r="H5" s="3410"/>
      <c r="I5" s="3409" t="s">
        <v>2365</v>
      </c>
      <c r="J5" s="3410"/>
      <c r="K5" s="567"/>
      <c r="L5" s="1044"/>
      <c r="M5" s="1045"/>
      <c r="N5" s="1045"/>
      <c r="O5" s="1045"/>
      <c r="P5" s="3397"/>
      <c r="Q5" s="3398"/>
      <c r="R5" s="3403"/>
      <c r="S5" s="3404"/>
      <c r="T5" s="3403"/>
      <c r="U5" s="3404"/>
      <c r="V5" s="3388"/>
      <c r="W5" s="3388"/>
      <c r="X5" s="1541"/>
      <c r="Y5" s="3403"/>
      <c r="Z5" s="3404"/>
      <c r="AA5" s="3390"/>
      <c r="AB5" s="3390"/>
      <c r="AC5" s="3390"/>
    </row>
    <row r="6" spans="1:29" ht="15.75" thickBot="1">
      <c r="A6" s="366"/>
      <c r="B6" s="367"/>
      <c r="C6" s="3407" t="s">
        <v>2366</v>
      </c>
      <c r="D6" s="3408"/>
      <c r="E6" s="3414" t="s">
        <v>2366</v>
      </c>
      <c r="F6" s="3415"/>
      <c r="G6" s="3407" t="s">
        <v>2366</v>
      </c>
      <c r="H6" s="3408"/>
      <c r="I6" s="3407" t="s">
        <v>2366</v>
      </c>
      <c r="J6" s="3408"/>
      <c r="K6" s="567" t="s">
        <v>2367</v>
      </c>
      <c r="L6" s="1044"/>
      <c r="M6" s="1045"/>
      <c r="N6" s="1045"/>
      <c r="O6" s="1045"/>
      <c r="P6" s="3399"/>
      <c r="Q6" s="3400"/>
      <c r="R6" s="3403"/>
      <c r="S6" s="3404"/>
      <c r="T6" s="3405"/>
      <c r="U6" s="3406"/>
      <c r="V6" s="3388"/>
      <c r="W6" s="3388"/>
      <c r="X6" s="1541"/>
      <c r="Y6" s="3405"/>
      <c r="Z6" s="3406"/>
      <c r="AA6" s="3391"/>
      <c r="AB6" s="3391"/>
      <c r="AC6" s="3391"/>
    </row>
    <row r="7" spans="1:29" s="113" customFormat="1" ht="15.75" thickBot="1">
      <c r="A7" s="368" t="s">
        <v>2368</v>
      </c>
      <c r="B7" s="369"/>
      <c r="C7" s="370">
        <f>'数据-取费表'!B2</f>
        <v>44203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1" t="s">
        <v>2369</v>
      </c>
      <c r="Q7" s="3413"/>
      <c r="R7" s="710" t="s">
        <v>17</v>
      </c>
      <c r="S7" s="711">
        <f t="shared" ref="S7:S15" si="0">F7</f>
        <v>0</v>
      </c>
      <c r="T7" s="710" t="s">
        <v>17</v>
      </c>
      <c r="U7" s="711">
        <f t="shared" ref="U7:U15" si="1">H7</f>
        <v>0</v>
      </c>
      <c r="V7" s="710" t="s">
        <v>17</v>
      </c>
      <c r="W7" s="711">
        <f t="shared" ref="W7:W15" si="2">J7</f>
        <v>0</v>
      </c>
      <c r="X7" s="712"/>
      <c r="Y7" s="3411" t="s">
        <v>2369</v>
      </c>
      <c r="Z7" s="3412"/>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1" t="s">
        <v>2372</v>
      </c>
      <c r="Q8" s="3412"/>
      <c r="R8" s="710" t="s">
        <v>17</v>
      </c>
      <c r="S8" s="711">
        <f t="shared" si="0"/>
        <v>0</v>
      </c>
      <c r="T8" s="710" t="s">
        <v>17</v>
      </c>
      <c r="U8" s="711">
        <f t="shared" si="1"/>
        <v>0</v>
      </c>
      <c r="V8" s="710" t="s">
        <v>17</v>
      </c>
      <c r="W8" s="711">
        <f t="shared" si="2"/>
        <v>0</v>
      </c>
      <c r="X8" s="712"/>
      <c r="Y8" s="3411" t="s">
        <v>2372</v>
      </c>
      <c r="Z8" s="3412"/>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82" t="s">
        <v>2375</v>
      </c>
      <c r="Q9" s="1529" t="str">
        <f t="shared" ref="Q9:Q15" si="6">B9</f>
        <v>用途</v>
      </c>
      <c r="R9" s="710" t="s">
        <v>17</v>
      </c>
      <c r="S9" s="711">
        <f t="shared" si="0"/>
        <v>100</v>
      </c>
      <c r="T9" s="710" t="s">
        <v>17</v>
      </c>
      <c r="U9" s="711">
        <f t="shared" si="1"/>
        <v>100</v>
      </c>
      <c r="V9" s="710" t="s">
        <v>17</v>
      </c>
      <c r="W9" s="711">
        <f t="shared" si="2"/>
        <v>100</v>
      </c>
      <c r="X9" s="712"/>
      <c r="Y9" s="3276"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82"/>
      <c r="Q10" s="1529"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82"/>
      <c r="Q11" s="1529"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82"/>
      <c r="Q12" s="1529">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82"/>
      <c r="Q13" s="1529">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82"/>
      <c r="Q14" s="1529">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57">
      <c r="A15" s="399" t="s">
        <v>2379</v>
      </c>
      <c r="B15" s="65" t="s">
        <v>2523</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84" t="s">
        <v>2380</v>
      </c>
      <c r="Q15" s="1538" t="str">
        <f t="shared" si="6"/>
        <v>产业集聚程度</v>
      </c>
      <c r="R15" s="714" t="s">
        <v>17</v>
      </c>
      <c r="S15" s="715">
        <f t="shared" si="0"/>
        <v>100</v>
      </c>
      <c r="T15" s="714" t="s">
        <v>17</v>
      </c>
      <c r="U15" s="715">
        <f t="shared" si="1"/>
        <v>100</v>
      </c>
      <c r="V15" s="714" t="s">
        <v>17</v>
      </c>
      <c r="W15" s="715">
        <f t="shared" si="2"/>
        <v>100</v>
      </c>
      <c r="X15" s="1541"/>
      <c r="Y15" s="3384"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85"/>
      <c r="Q16" s="1538"/>
      <c r="R16" s="714"/>
      <c r="S16" s="715"/>
      <c r="T16" s="714"/>
      <c r="U16" s="715"/>
      <c r="V16" s="714"/>
      <c r="W16" s="715"/>
      <c r="X16" s="1541"/>
      <c r="Y16" s="3385"/>
      <c r="Z16" s="1542"/>
      <c r="AA16" s="1539">
        <v>1</v>
      </c>
      <c r="AB16" s="1539">
        <v>1</v>
      </c>
      <c r="AC16" s="1539">
        <v>1</v>
      </c>
    </row>
    <row r="17" spans="1:29" ht="85.5">
      <c r="A17" s="387"/>
      <c r="B17" s="410" t="s">
        <v>1947</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85"/>
      <c r="Q17" s="1538" t="str">
        <f>B17</f>
        <v>交通便捷度</v>
      </c>
      <c r="R17" s="714" t="s">
        <v>17</v>
      </c>
      <c r="S17" s="715">
        <f>F17</f>
        <v>100</v>
      </c>
      <c r="T17" s="714" t="s">
        <v>17</v>
      </c>
      <c r="U17" s="715">
        <f>H17</f>
        <v>100</v>
      </c>
      <c r="V17" s="714" t="s">
        <v>17</v>
      </c>
      <c r="W17" s="715">
        <f>J17</f>
        <v>100</v>
      </c>
      <c r="X17" s="1541"/>
      <c r="Y17" s="3385"/>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85"/>
      <c r="Q18" s="1538"/>
      <c r="R18" s="714"/>
      <c r="S18" s="715"/>
      <c r="T18" s="714"/>
      <c r="U18" s="715"/>
      <c r="V18" s="714"/>
      <c r="W18" s="715"/>
      <c r="X18" s="1541"/>
      <c r="Y18" s="3385"/>
      <c r="Z18" s="1542"/>
      <c r="AA18" s="1539">
        <v>1</v>
      </c>
      <c r="AB18" s="1539">
        <v>1</v>
      </c>
      <c r="AC18" s="1539">
        <v>1</v>
      </c>
    </row>
    <row r="19" spans="1:29" ht="42.75">
      <c r="A19" s="387"/>
      <c r="B19" s="410" t="s">
        <v>2508</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85"/>
      <c r="Q19" s="1538" t="str">
        <f>B19</f>
        <v>公共配套设施</v>
      </c>
      <c r="R19" s="714" t="s">
        <v>17</v>
      </c>
      <c r="S19" s="715">
        <f>F19</f>
        <v>100</v>
      </c>
      <c r="T19" s="714" t="s">
        <v>17</v>
      </c>
      <c r="U19" s="715">
        <f>H19</f>
        <v>100</v>
      </c>
      <c r="V19" s="714" t="s">
        <v>17</v>
      </c>
      <c r="W19" s="715">
        <f>J19</f>
        <v>100</v>
      </c>
      <c r="X19" s="1541"/>
      <c r="Y19" s="3385"/>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85"/>
      <c r="Q20" s="1538"/>
      <c r="R20" s="714"/>
      <c r="S20" s="715"/>
      <c r="T20" s="714"/>
      <c r="U20" s="715"/>
      <c r="V20" s="714"/>
      <c r="W20" s="715"/>
      <c r="X20" s="1541"/>
      <c r="Y20" s="3385"/>
      <c r="Z20" s="1542"/>
      <c r="AA20" s="1539">
        <v>1</v>
      </c>
      <c r="AB20" s="1539">
        <v>1</v>
      </c>
      <c r="AC20" s="1539">
        <v>1</v>
      </c>
    </row>
    <row r="21" spans="1:29" ht="28.5">
      <c r="A21" s="387"/>
      <c r="B21" s="1293" t="s">
        <v>2509</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85"/>
      <c r="Q21" s="1538" t="str">
        <f>B21</f>
        <v>基础设施水平</v>
      </c>
      <c r="R21" s="714" t="s">
        <v>17</v>
      </c>
      <c r="S21" s="715">
        <f>F21</f>
        <v>100</v>
      </c>
      <c r="T21" s="714" t="s">
        <v>17</v>
      </c>
      <c r="U21" s="715">
        <f>H21</f>
        <v>100</v>
      </c>
      <c r="V21" s="714" t="s">
        <v>17</v>
      </c>
      <c r="W21" s="715">
        <f>J21</f>
        <v>100</v>
      </c>
      <c r="X21" s="1541"/>
      <c r="Y21" s="3385"/>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85"/>
      <c r="Q22" s="1538"/>
      <c r="R22" s="714"/>
      <c r="S22" s="715"/>
      <c r="T22" s="714"/>
      <c r="U22" s="715"/>
      <c r="V22" s="714"/>
      <c r="W22" s="715"/>
      <c r="X22" s="1541"/>
      <c r="Y22" s="3385"/>
      <c r="Z22" s="1542"/>
      <c r="AA22" s="1539">
        <v>1</v>
      </c>
      <c r="AB22" s="1539">
        <v>1</v>
      </c>
      <c r="AC22" s="1539">
        <v>1</v>
      </c>
    </row>
    <row r="23" spans="1:29" ht="71.25">
      <c r="A23" s="387"/>
      <c r="B23" s="410" t="s">
        <v>2510</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85"/>
      <c r="Q23" s="1538" t="str">
        <f>B23</f>
        <v>环境质量</v>
      </c>
      <c r="R23" s="714" t="s">
        <v>17</v>
      </c>
      <c r="S23" s="715">
        <f>F23</f>
        <v>100</v>
      </c>
      <c r="T23" s="714" t="s">
        <v>17</v>
      </c>
      <c r="U23" s="715">
        <f>H23</f>
        <v>100</v>
      </c>
      <c r="V23" s="714" t="s">
        <v>17</v>
      </c>
      <c r="W23" s="715">
        <f>J23</f>
        <v>100</v>
      </c>
      <c r="X23" s="1541"/>
      <c r="Y23" s="3385"/>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85"/>
      <c r="Q24" s="1538"/>
      <c r="R24" s="714"/>
      <c r="S24" s="715"/>
      <c r="T24" s="714"/>
      <c r="U24" s="715"/>
      <c r="V24" s="714"/>
      <c r="W24" s="715"/>
      <c r="X24" s="1541"/>
      <c r="Y24" s="3385"/>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85"/>
      <c r="Q25" s="1538">
        <f>B25</f>
        <v>111</v>
      </c>
      <c r="R25" s="714" t="s">
        <v>17</v>
      </c>
      <c r="S25" s="715">
        <f>F25</f>
        <v>100</v>
      </c>
      <c r="T25" s="714" t="s">
        <v>17</v>
      </c>
      <c r="U25" s="715">
        <f>H25</f>
        <v>100</v>
      </c>
      <c r="V25" s="714" t="s">
        <v>17</v>
      </c>
      <c r="W25" s="715">
        <f>J25</f>
        <v>100</v>
      </c>
      <c r="X25" s="1541"/>
      <c r="Y25" s="3385"/>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85"/>
      <c r="Q26" s="1538">
        <f t="shared" ref="Q26:Q40" si="11">B26</f>
        <v>111</v>
      </c>
      <c r="R26" s="714" t="s">
        <v>17</v>
      </c>
      <c r="S26" s="715">
        <f>F26</f>
        <v>100</v>
      </c>
      <c r="T26" s="714" t="s">
        <v>17</v>
      </c>
      <c r="U26" s="715">
        <f>H26</f>
        <v>100</v>
      </c>
      <c r="V26" s="714" t="s">
        <v>17</v>
      </c>
      <c r="W26" s="715">
        <f>J26</f>
        <v>100</v>
      </c>
      <c r="X26" s="1541"/>
      <c r="Y26" s="3385"/>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85"/>
      <c r="Q27" s="1529">
        <f t="shared" si="11"/>
        <v>111</v>
      </c>
      <c r="R27" s="710" t="s">
        <v>17</v>
      </c>
      <c r="S27" s="711">
        <f>F27</f>
        <v>100</v>
      </c>
      <c r="T27" s="710" t="s">
        <v>17</v>
      </c>
      <c r="U27" s="711">
        <f>H27</f>
        <v>100</v>
      </c>
      <c r="V27" s="710" t="s">
        <v>17</v>
      </c>
      <c r="W27" s="711">
        <f>J27</f>
        <v>100</v>
      </c>
      <c r="X27" s="712"/>
      <c r="Y27" s="3385"/>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85"/>
      <c r="Q28" s="1538">
        <f t="shared" si="11"/>
        <v>111</v>
      </c>
      <c r="R28" s="714" t="s">
        <v>17</v>
      </c>
      <c r="S28" s="715">
        <f t="shared" ref="S28:S40" si="12">F28</f>
        <v>100</v>
      </c>
      <c r="T28" s="714" t="s">
        <v>17</v>
      </c>
      <c r="U28" s="715">
        <f t="shared" ref="U28:U40" si="13">H28</f>
        <v>100</v>
      </c>
      <c r="V28" s="714" t="s">
        <v>17</v>
      </c>
      <c r="W28" s="715">
        <f t="shared" ref="W28:W40" si="14">J28</f>
        <v>100</v>
      </c>
      <c r="X28" s="1541"/>
      <c r="Y28" s="3385"/>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6" t="s">
        <v>2385</v>
      </c>
      <c r="Q29" s="1538" t="str">
        <f t="shared" si="11"/>
        <v>建筑类型</v>
      </c>
      <c r="R29" s="714" t="s">
        <v>17</v>
      </c>
      <c r="S29" s="715">
        <f t="shared" si="12"/>
        <v>100</v>
      </c>
      <c r="T29" s="714" t="s">
        <v>17</v>
      </c>
      <c r="U29" s="715">
        <f t="shared" si="13"/>
        <v>100</v>
      </c>
      <c r="V29" s="714" t="s">
        <v>17</v>
      </c>
      <c r="W29" s="715">
        <f t="shared" si="14"/>
        <v>100</v>
      </c>
      <c r="X29" s="1541"/>
      <c r="Y29" s="3387"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87"/>
      <c r="Q30" s="716" t="str">
        <f t="shared" si="11"/>
        <v>项目建筑规模</v>
      </c>
      <c r="R30" s="717" t="s">
        <v>17</v>
      </c>
      <c r="S30" s="718" t="e">
        <f t="shared" si="12"/>
        <v>#N/A</v>
      </c>
      <c r="T30" s="717" t="s">
        <v>17</v>
      </c>
      <c r="U30" s="718" t="e">
        <f t="shared" si="13"/>
        <v>#N/A</v>
      </c>
      <c r="V30" s="717" t="s">
        <v>17</v>
      </c>
      <c r="W30" s="718" t="e">
        <f t="shared" si="14"/>
        <v>#N/A</v>
      </c>
      <c r="X30" s="719"/>
      <c r="Y30" s="3387"/>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87"/>
      <c r="Q31" s="1538" t="str">
        <f t="shared" si="11"/>
        <v>建筑结构</v>
      </c>
      <c r="R31" s="714" t="s">
        <v>17</v>
      </c>
      <c r="S31" s="715">
        <f t="shared" si="12"/>
        <v>100</v>
      </c>
      <c r="T31" s="714" t="s">
        <v>17</v>
      </c>
      <c r="U31" s="715">
        <f t="shared" si="13"/>
        <v>100</v>
      </c>
      <c r="V31" s="714" t="s">
        <v>17</v>
      </c>
      <c r="W31" s="715">
        <f t="shared" si="14"/>
        <v>100</v>
      </c>
      <c r="X31" s="1541"/>
      <c r="Y31" s="3387"/>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87"/>
      <c r="Q32" s="1538" t="str">
        <f t="shared" si="11"/>
        <v>公共部分装修</v>
      </c>
      <c r="R32" s="714" t="s">
        <v>17</v>
      </c>
      <c r="S32" s="715">
        <f t="shared" si="12"/>
        <v>100</v>
      </c>
      <c r="T32" s="714" t="s">
        <v>17</v>
      </c>
      <c r="U32" s="715">
        <f t="shared" si="13"/>
        <v>100</v>
      </c>
      <c r="V32" s="714" t="s">
        <v>17</v>
      </c>
      <c r="W32" s="715">
        <f t="shared" si="14"/>
        <v>100</v>
      </c>
      <c r="X32" s="1541"/>
      <c r="Y32" s="3387"/>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87"/>
      <c r="Q33" s="1538" t="str">
        <f t="shared" si="11"/>
        <v>成新度</v>
      </c>
      <c r="R33" s="714" t="s">
        <v>17</v>
      </c>
      <c r="S33" s="715" t="e">
        <f t="shared" si="12"/>
        <v>#N/A</v>
      </c>
      <c r="T33" s="714" t="s">
        <v>17</v>
      </c>
      <c r="U33" s="715" t="e">
        <f t="shared" si="13"/>
        <v>#N/A</v>
      </c>
      <c r="V33" s="714" t="s">
        <v>17</v>
      </c>
      <c r="W33" s="715" t="e">
        <f t="shared" si="14"/>
        <v>#N/A</v>
      </c>
      <c r="X33" s="1541"/>
      <c r="Y33" s="3387"/>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87"/>
      <c r="Q34" s="1529" t="str">
        <f t="shared" si="11"/>
        <v>物业管理</v>
      </c>
      <c r="R34" s="710" t="s">
        <v>17</v>
      </c>
      <c r="S34" s="711">
        <f t="shared" si="12"/>
        <v>100</v>
      </c>
      <c r="T34" s="710" t="s">
        <v>17</v>
      </c>
      <c r="U34" s="711">
        <f t="shared" si="13"/>
        <v>100</v>
      </c>
      <c r="V34" s="710" t="s">
        <v>17</v>
      </c>
      <c r="W34" s="711">
        <f t="shared" si="14"/>
        <v>100</v>
      </c>
      <c r="X34" s="712"/>
      <c r="Y34" s="338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87" t="s">
        <v>2385</v>
      </c>
      <c r="Q35" s="1538" t="str">
        <f t="shared" si="11"/>
        <v>市政基础设施</v>
      </c>
      <c r="R35" s="714" t="s">
        <v>17</v>
      </c>
      <c r="S35" s="715">
        <f t="shared" si="12"/>
        <v>100</v>
      </c>
      <c r="T35" s="714" t="s">
        <v>17</v>
      </c>
      <c r="U35" s="715">
        <f t="shared" si="13"/>
        <v>100</v>
      </c>
      <c r="V35" s="714" t="s">
        <v>17</v>
      </c>
      <c r="W35" s="715">
        <f t="shared" si="14"/>
        <v>100</v>
      </c>
      <c r="X35" s="1541"/>
      <c r="Y35" s="3387"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87"/>
      <c r="Q36" s="1538" t="str">
        <f t="shared" si="11"/>
        <v>内部装修</v>
      </c>
      <c r="R36" s="714" t="s">
        <v>17</v>
      </c>
      <c r="S36" s="715">
        <f t="shared" si="12"/>
        <v>100</v>
      </c>
      <c r="T36" s="714" t="s">
        <v>17</v>
      </c>
      <c r="U36" s="715">
        <f t="shared" si="13"/>
        <v>100</v>
      </c>
      <c r="V36" s="714" t="s">
        <v>17</v>
      </c>
      <c r="W36" s="715">
        <f t="shared" si="14"/>
        <v>100</v>
      </c>
      <c r="X36" s="1541"/>
      <c r="Y36" s="3387"/>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87"/>
      <c r="Q37" s="1538" t="str">
        <f t="shared" si="11"/>
        <v>内部装修状况</v>
      </c>
      <c r="R37" s="714" t="s">
        <v>17</v>
      </c>
      <c r="S37" s="715">
        <f t="shared" si="12"/>
        <v>100</v>
      </c>
      <c r="T37" s="714" t="s">
        <v>17</v>
      </c>
      <c r="U37" s="715">
        <f t="shared" si="13"/>
        <v>100</v>
      </c>
      <c r="V37" s="714" t="s">
        <v>17</v>
      </c>
      <c r="W37" s="715">
        <f t="shared" si="14"/>
        <v>100</v>
      </c>
      <c r="X37" s="1541"/>
      <c r="Y37" s="3387"/>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87"/>
      <c r="Q38" s="716">
        <f t="shared" si="11"/>
        <v>111</v>
      </c>
      <c r="R38" s="717" t="s">
        <v>17</v>
      </c>
      <c r="S38" s="718">
        <f t="shared" si="12"/>
        <v>100</v>
      </c>
      <c r="T38" s="717" t="s">
        <v>17</v>
      </c>
      <c r="U38" s="718">
        <f t="shared" si="13"/>
        <v>100</v>
      </c>
      <c r="V38" s="717" t="s">
        <v>17</v>
      </c>
      <c r="W38" s="718">
        <f t="shared" si="14"/>
        <v>100</v>
      </c>
      <c r="X38" s="719"/>
      <c r="Y38" s="3387"/>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87"/>
      <c r="Q39" s="1538">
        <f t="shared" si="11"/>
        <v>111</v>
      </c>
      <c r="R39" s="714" t="s">
        <v>17</v>
      </c>
      <c r="S39" s="715">
        <f t="shared" si="12"/>
        <v>100</v>
      </c>
      <c r="T39" s="714" t="s">
        <v>17</v>
      </c>
      <c r="U39" s="715">
        <f t="shared" si="13"/>
        <v>100</v>
      </c>
      <c r="V39" s="714" t="s">
        <v>17</v>
      </c>
      <c r="W39" s="715">
        <f t="shared" si="14"/>
        <v>100</v>
      </c>
      <c r="X39" s="1541"/>
      <c r="Y39" s="3387"/>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51"/>
      <c r="Q40" s="1538">
        <f t="shared" si="11"/>
        <v>111</v>
      </c>
      <c r="R40" s="714" t="s">
        <v>17</v>
      </c>
      <c r="S40" s="715">
        <f t="shared" si="12"/>
        <v>100</v>
      </c>
      <c r="T40" s="714" t="s">
        <v>17</v>
      </c>
      <c r="U40" s="715">
        <f t="shared" si="13"/>
        <v>100</v>
      </c>
      <c r="V40" s="714" t="s">
        <v>17</v>
      </c>
      <c r="W40" s="715">
        <f t="shared" si="14"/>
        <v>100</v>
      </c>
      <c r="X40" s="1541"/>
      <c r="Y40" s="3451"/>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382" t="str">
        <f>A41</f>
        <v>成交单价（元/平方米）</v>
      </c>
      <c r="Q41" s="3382"/>
      <c r="R41" s="3447">
        <f>E41</f>
        <v>0</v>
      </c>
      <c r="S41" s="3447"/>
      <c r="T41" s="3447">
        <f>G41</f>
        <v>0</v>
      </c>
      <c r="U41" s="3447"/>
      <c r="V41" s="3447">
        <f>I41</f>
        <v>0</v>
      </c>
      <c r="W41" s="3447"/>
      <c r="X41" s="699"/>
      <c r="Y41" s="721"/>
      <c r="Z41" s="699"/>
      <c r="AA41" s="699"/>
      <c r="AB41" s="699"/>
      <c r="AC41" s="699"/>
    </row>
    <row r="42" spans="1:29" ht="15.75" thickBot="1">
      <c r="A42" s="445" t="s">
        <v>2489</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82" t="str">
        <f>A42</f>
        <v>比较价值（元/平方米）</v>
      </c>
      <c r="Q42" s="3382"/>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76" t="str">
        <f>A43</f>
        <v>估价对象XX用房的比较价值（楼面单价，元/平方米）</v>
      </c>
      <c r="Q43" s="3377"/>
      <c r="R43" s="3446" t="e">
        <f>IF(F1="售价",ROUND(IF(D42="简单平均",AVERAGE(R42:V42),R42*F42+T42*H42+V42*J42),0),ROUND(IF(D42="简单平均",AVERAGE(R42:V42),R42*F42+T42*H42+V42*J42),1))</f>
        <v>#DIV/0!</v>
      </c>
      <c r="S43" s="3446"/>
      <c r="T43" s="3446"/>
      <c r="U43" s="3446"/>
      <c r="V43" s="3446"/>
      <c r="W43" s="3446"/>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1"/>
      <c r="O54" s="3002"/>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1877</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2150</v>
      </c>
      <c r="B2" s="1326" t="e">
        <f ca="1">IF(C2="——",IF(B37="元/平方米",ROUND(C39*D3/10000,0),ROUND(F3*C39/10000,0)),IF(B37="元/平方米",ROUND(C39*D3/10000,0),ROUND(F3*C39/10000,0))-D2)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2152</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2465</v>
      </c>
      <c r="B4" s="362"/>
      <c r="C4" s="3379" t="s">
        <v>2466</v>
      </c>
      <c r="D4" s="3392"/>
      <c r="E4" s="3393" t="s">
        <v>2467</v>
      </c>
      <c r="F4" s="3394"/>
      <c r="G4" s="3379" t="s">
        <v>2468</v>
      </c>
      <c r="H4" s="3392"/>
      <c r="I4" s="3379" t="s">
        <v>2469</v>
      </c>
      <c r="J4" s="3392"/>
      <c r="K4" s="567" t="s">
        <v>2470</v>
      </c>
      <c r="L4" s="2946"/>
      <c r="M4" s="2947"/>
      <c r="N4" s="2947"/>
      <c r="O4" s="2947"/>
      <c r="P4" s="3395" t="s">
        <v>2471</v>
      </c>
      <c r="Q4" s="3396"/>
      <c r="R4" s="3401" t="s">
        <v>2467</v>
      </c>
      <c r="S4" s="3402"/>
      <c r="T4" s="3401" t="s">
        <v>2468</v>
      </c>
      <c r="U4" s="3402"/>
      <c r="V4" s="3388" t="s">
        <v>2469</v>
      </c>
      <c r="W4" s="3388"/>
      <c r="X4" s="1541"/>
      <c r="Y4" s="3401" t="s">
        <v>2471</v>
      </c>
      <c r="Z4" s="3402"/>
      <c r="AA4" s="3389" t="s">
        <v>2467</v>
      </c>
      <c r="AB4" s="3390" t="s">
        <v>2468</v>
      </c>
      <c r="AC4" s="3389" t="s">
        <v>2469</v>
      </c>
    </row>
    <row r="5" spans="1:29" ht="15">
      <c r="A5" s="364"/>
      <c r="B5" s="365"/>
      <c r="C5" s="3409" t="s">
        <v>2362</v>
      </c>
      <c r="D5" s="3410"/>
      <c r="E5" s="3416" t="s">
        <v>2363</v>
      </c>
      <c r="F5" s="3417"/>
      <c r="G5" s="3409" t="s">
        <v>2364</v>
      </c>
      <c r="H5" s="3410"/>
      <c r="I5" s="3409" t="s">
        <v>2365</v>
      </c>
      <c r="J5" s="3410"/>
      <c r="K5" s="567"/>
      <c r="L5" s="2946"/>
      <c r="M5" s="2947"/>
      <c r="N5" s="2947"/>
      <c r="O5" s="2947"/>
      <c r="P5" s="3397"/>
      <c r="Q5" s="3398"/>
      <c r="R5" s="3403"/>
      <c r="S5" s="3404"/>
      <c r="T5" s="3403"/>
      <c r="U5" s="3404"/>
      <c r="V5" s="3388"/>
      <c r="W5" s="3388"/>
      <c r="X5" s="1541"/>
      <c r="Y5" s="3403"/>
      <c r="Z5" s="3404"/>
      <c r="AA5" s="3390"/>
      <c r="AB5" s="3390"/>
      <c r="AC5" s="3390"/>
    </row>
    <row r="6" spans="1:29" ht="15.75" thickBot="1">
      <c r="A6" s="366"/>
      <c r="B6" s="367"/>
      <c r="C6" s="3407" t="s">
        <v>2366</v>
      </c>
      <c r="D6" s="3408"/>
      <c r="E6" s="3414" t="s">
        <v>2366</v>
      </c>
      <c r="F6" s="3415"/>
      <c r="G6" s="3407" t="s">
        <v>2366</v>
      </c>
      <c r="H6" s="3408"/>
      <c r="I6" s="3407" t="s">
        <v>2366</v>
      </c>
      <c r="J6" s="3408"/>
      <c r="K6" s="567" t="s">
        <v>2367</v>
      </c>
      <c r="L6" s="2946"/>
      <c r="M6" s="2947"/>
      <c r="N6" s="2947"/>
      <c r="O6" s="2947"/>
      <c r="P6" s="3399"/>
      <c r="Q6" s="3400"/>
      <c r="R6" s="3403"/>
      <c r="S6" s="3404"/>
      <c r="T6" s="3405"/>
      <c r="U6" s="3406"/>
      <c r="V6" s="3388"/>
      <c r="W6" s="3388"/>
      <c r="X6" s="1541"/>
      <c r="Y6" s="3405"/>
      <c r="Z6" s="3406"/>
      <c r="AA6" s="3391"/>
      <c r="AB6" s="3391"/>
      <c r="AC6" s="3391"/>
    </row>
    <row r="7" spans="1:29" s="113" customFormat="1" ht="15.75" thickBot="1">
      <c r="A7" s="368" t="s">
        <v>2368</v>
      </c>
      <c r="B7" s="369"/>
      <c r="C7" s="370">
        <f>'数据-取费表'!B2</f>
        <v>44203</v>
      </c>
      <c r="D7" s="371">
        <v>100</v>
      </c>
      <c r="E7" s="372"/>
      <c r="F7" s="373">
        <f>SUMIF(48:48,YEAR(E7)&amp;"-"&amp;MONTH(E7),49:49)</f>
        <v>0</v>
      </c>
      <c r="G7" s="372"/>
      <c r="H7" s="371">
        <f>SUMIF(48:48,YEAR(G7)&amp;"-"&amp;MONTH(G7),49:49)</f>
        <v>0</v>
      </c>
      <c r="I7" s="372"/>
      <c r="J7" s="371">
        <f>SUMIF(48:48,YEAR(I7)&amp;"-"&amp;MONTH(I7),49:49)</f>
        <v>0</v>
      </c>
      <c r="K7" s="568"/>
      <c r="L7" s="2948"/>
      <c r="M7" s="2949"/>
      <c r="N7" s="2949"/>
      <c r="O7" s="2949"/>
      <c r="P7" s="3411" t="s">
        <v>2369</v>
      </c>
      <c r="Q7" s="3413"/>
      <c r="R7" s="710" t="s">
        <v>17</v>
      </c>
      <c r="S7" s="711">
        <f t="shared" ref="S7:S14" si="0">F7</f>
        <v>0</v>
      </c>
      <c r="T7" s="710" t="s">
        <v>17</v>
      </c>
      <c r="U7" s="711">
        <f t="shared" ref="U7:U14" si="1">H7</f>
        <v>0</v>
      </c>
      <c r="V7" s="710" t="s">
        <v>17</v>
      </c>
      <c r="W7" s="711">
        <f t="shared" ref="W7:W14" si="2">J7</f>
        <v>0</v>
      </c>
      <c r="X7" s="712"/>
      <c r="Y7" s="3411" t="s">
        <v>2369</v>
      </c>
      <c r="Z7" s="3412"/>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411" t="s">
        <v>2372</v>
      </c>
      <c r="Q8" s="3412"/>
      <c r="R8" s="710" t="s">
        <v>17</v>
      </c>
      <c r="S8" s="711">
        <f t="shared" si="0"/>
        <v>0</v>
      </c>
      <c r="T8" s="710" t="s">
        <v>17</v>
      </c>
      <c r="U8" s="711">
        <f t="shared" si="1"/>
        <v>0</v>
      </c>
      <c r="V8" s="710" t="s">
        <v>17</v>
      </c>
      <c r="W8" s="711">
        <f t="shared" si="2"/>
        <v>0</v>
      </c>
      <c r="X8" s="712"/>
      <c r="Y8" s="3411" t="s">
        <v>2372</v>
      </c>
      <c r="Z8" s="3412"/>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82" t="s">
        <v>2375</v>
      </c>
      <c r="Q9" s="1529" t="str">
        <f t="shared" ref="Q9:Q14" si="6">B9</f>
        <v>用途</v>
      </c>
      <c r="R9" s="710" t="s">
        <v>17</v>
      </c>
      <c r="S9" s="711">
        <f t="shared" si="0"/>
        <v>100</v>
      </c>
      <c r="T9" s="710" t="s">
        <v>17</v>
      </c>
      <c r="U9" s="711">
        <f t="shared" si="1"/>
        <v>100</v>
      </c>
      <c r="V9" s="710" t="s">
        <v>17</v>
      </c>
      <c r="W9" s="711">
        <f t="shared" si="2"/>
        <v>100</v>
      </c>
      <c r="X9" s="712"/>
      <c r="Y9" s="3276"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82"/>
      <c r="Q10" s="1529"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82"/>
      <c r="Q11" s="1529">
        <f t="shared" si="6"/>
        <v>111</v>
      </c>
      <c r="R11" s="710" t="s">
        <v>17</v>
      </c>
      <c r="S11" s="711">
        <f t="shared" si="0"/>
        <v>100</v>
      </c>
      <c r="T11" s="710" t="s">
        <v>17</v>
      </c>
      <c r="U11" s="711">
        <f t="shared" si="1"/>
        <v>100</v>
      </c>
      <c r="V11" s="710" t="s">
        <v>17</v>
      </c>
      <c r="W11" s="711">
        <f t="shared" si="2"/>
        <v>100</v>
      </c>
      <c r="X11" s="712"/>
      <c r="Y11" s="327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82"/>
      <c r="Q12" s="1529">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82"/>
      <c r="Q13" s="1529">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85.5">
      <c r="A14" s="361" t="s">
        <v>2379</v>
      </c>
      <c r="B14" s="585" t="s">
        <v>2529</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84" t="s">
        <v>2380</v>
      </c>
      <c r="Q14" s="1538" t="str">
        <f t="shared" si="6"/>
        <v>交通便捷度</v>
      </c>
      <c r="R14" s="714" t="s">
        <v>17</v>
      </c>
      <c r="S14" s="715">
        <f t="shared" si="0"/>
        <v>100</v>
      </c>
      <c r="T14" s="714" t="s">
        <v>17</v>
      </c>
      <c r="U14" s="715">
        <f t="shared" si="1"/>
        <v>100</v>
      </c>
      <c r="V14" s="714" t="s">
        <v>17</v>
      </c>
      <c r="W14" s="715">
        <f t="shared" si="2"/>
        <v>100</v>
      </c>
      <c r="X14" s="1541"/>
      <c r="Y14" s="3384"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85"/>
      <c r="Q15" s="1538"/>
      <c r="R15" s="714"/>
      <c r="S15" s="715"/>
      <c r="T15" s="714"/>
      <c r="U15" s="715"/>
      <c r="V15" s="714"/>
      <c r="W15" s="715"/>
      <c r="X15" s="1541"/>
      <c r="Y15" s="3385"/>
      <c r="Z15" s="1542"/>
      <c r="AA15" s="1539">
        <v>1</v>
      </c>
      <c r="AB15" s="1539">
        <v>1</v>
      </c>
      <c r="AC15" s="1539">
        <v>1</v>
      </c>
    </row>
    <row r="16" spans="1:29" ht="42.75">
      <c r="A16" s="364"/>
      <c r="B16" s="587" t="s">
        <v>2508</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85"/>
      <c r="Q16" s="1538" t="str">
        <f>B16</f>
        <v>公共配套设施</v>
      </c>
      <c r="R16" s="714" t="s">
        <v>17</v>
      </c>
      <c r="S16" s="715">
        <f>F16</f>
        <v>100</v>
      </c>
      <c r="T16" s="714" t="s">
        <v>17</v>
      </c>
      <c r="U16" s="715">
        <f>H16</f>
        <v>100</v>
      </c>
      <c r="V16" s="714" t="s">
        <v>17</v>
      </c>
      <c r="W16" s="715">
        <f>J16</f>
        <v>100</v>
      </c>
      <c r="X16" s="1541"/>
      <c r="Y16" s="3385"/>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85"/>
      <c r="Q17" s="1538"/>
      <c r="R17" s="714"/>
      <c r="S17" s="715"/>
      <c r="T17" s="714"/>
      <c r="U17" s="715"/>
      <c r="V17" s="714"/>
      <c r="W17" s="715"/>
      <c r="X17" s="1541"/>
      <c r="Y17" s="3385"/>
      <c r="Z17" s="1542"/>
      <c r="AA17" s="1539">
        <v>1</v>
      </c>
      <c r="AB17" s="1539">
        <v>1</v>
      </c>
      <c r="AC17" s="1539">
        <v>1</v>
      </c>
    </row>
    <row r="18" spans="1:29" ht="28.5">
      <c r="A18" s="364"/>
      <c r="B18" s="589" t="s">
        <v>2509</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85"/>
      <c r="Q18" s="1538" t="str">
        <f>B18</f>
        <v>基础设施水平</v>
      </c>
      <c r="R18" s="714" t="s">
        <v>17</v>
      </c>
      <c r="S18" s="715">
        <f>F18</f>
        <v>100</v>
      </c>
      <c r="T18" s="714" t="s">
        <v>17</v>
      </c>
      <c r="U18" s="715">
        <f>H18</f>
        <v>100</v>
      </c>
      <c r="V18" s="714" t="s">
        <v>17</v>
      </c>
      <c r="W18" s="715">
        <f>J18</f>
        <v>100</v>
      </c>
      <c r="X18" s="1541"/>
      <c r="Y18" s="3385"/>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85"/>
      <c r="Q19" s="1538"/>
      <c r="R19" s="714"/>
      <c r="S19" s="715"/>
      <c r="T19" s="714"/>
      <c r="U19" s="715"/>
      <c r="V19" s="714"/>
      <c r="W19" s="715"/>
      <c r="X19" s="1541"/>
      <c r="Y19" s="3385"/>
      <c r="Z19" s="1542"/>
      <c r="AA19" s="1539">
        <v>1</v>
      </c>
      <c r="AB19" s="1539">
        <v>1</v>
      </c>
      <c r="AC19" s="1539">
        <v>1</v>
      </c>
    </row>
    <row r="20" spans="1:29" ht="57">
      <c r="A20" s="364"/>
      <c r="B20" s="587" t="s">
        <v>2530</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85"/>
      <c r="Q20" s="1538" t="str">
        <f>B20</f>
        <v>自然及人文环境</v>
      </c>
      <c r="R20" s="714" t="s">
        <v>17</v>
      </c>
      <c r="S20" s="715">
        <f>F20</f>
        <v>100</v>
      </c>
      <c r="T20" s="714" t="s">
        <v>17</v>
      </c>
      <c r="U20" s="715">
        <f>H20</f>
        <v>100</v>
      </c>
      <c r="V20" s="714" t="s">
        <v>17</v>
      </c>
      <c r="W20" s="715">
        <f>J20</f>
        <v>100</v>
      </c>
      <c r="X20" s="1541"/>
      <c r="Y20" s="3385"/>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85"/>
      <c r="Q21" s="1538"/>
      <c r="R21" s="714"/>
      <c r="S21" s="715"/>
      <c r="T21" s="714"/>
      <c r="U21" s="715"/>
      <c r="V21" s="714"/>
      <c r="W21" s="715"/>
      <c r="X21" s="1541"/>
      <c r="Y21" s="3385"/>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85"/>
      <c r="Q22" s="1538" t="str">
        <f>B22</f>
        <v>楼层</v>
      </c>
      <c r="R22" s="714" t="s">
        <v>17</v>
      </c>
      <c r="S22" s="715">
        <f>F22</f>
        <v>100</v>
      </c>
      <c r="T22" s="714" t="s">
        <v>17</v>
      </c>
      <c r="U22" s="715">
        <f>H22</f>
        <v>100</v>
      </c>
      <c r="V22" s="714" t="s">
        <v>17</v>
      </c>
      <c r="W22" s="715">
        <f>J22</f>
        <v>100</v>
      </c>
      <c r="X22" s="1541"/>
      <c r="Y22" s="3385"/>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85"/>
      <c r="Q23" s="1538">
        <f>B23</f>
        <v>111</v>
      </c>
      <c r="R23" s="714" t="s">
        <v>17</v>
      </c>
      <c r="S23" s="715">
        <f>F23</f>
        <v>100</v>
      </c>
      <c r="T23" s="714" t="s">
        <v>17</v>
      </c>
      <c r="U23" s="715">
        <f>H23</f>
        <v>100</v>
      </c>
      <c r="V23" s="714" t="s">
        <v>17</v>
      </c>
      <c r="W23" s="715">
        <f>J23</f>
        <v>100</v>
      </c>
      <c r="X23" s="1541"/>
      <c r="Y23" s="3385"/>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85"/>
      <c r="Q24" s="1538">
        <f t="shared" ref="Q24:Q36" si="11">B24</f>
        <v>111</v>
      </c>
      <c r="R24" s="714" t="s">
        <v>17</v>
      </c>
      <c r="S24" s="715">
        <f>F24</f>
        <v>100</v>
      </c>
      <c r="T24" s="714" t="s">
        <v>17</v>
      </c>
      <c r="U24" s="715">
        <f>H24</f>
        <v>100</v>
      </c>
      <c r="V24" s="714" t="s">
        <v>17</v>
      </c>
      <c r="W24" s="715">
        <f>J24</f>
        <v>100</v>
      </c>
      <c r="X24" s="1541"/>
      <c r="Y24" s="3385"/>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85"/>
      <c r="Q25" s="1529">
        <f t="shared" si="11"/>
        <v>111</v>
      </c>
      <c r="R25" s="710" t="s">
        <v>17</v>
      </c>
      <c r="S25" s="711">
        <f>F25</f>
        <v>100</v>
      </c>
      <c r="T25" s="710" t="s">
        <v>17</v>
      </c>
      <c r="U25" s="711">
        <f>H25</f>
        <v>100</v>
      </c>
      <c r="V25" s="710" t="s">
        <v>17</v>
      </c>
      <c r="W25" s="711">
        <f>J25</f>
        <v>100</v>
      </c>
      <c r="X25" s="712"/>
      <c r="Y25" s="3385"/>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86"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87"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87"/>
      <c r="Q27" s="716" t="str">
        <f t="shared" si="11"/>
        <v>项目停车位配比</v>
      </c>
      <c r="R27" s="717" t="s">
        <v>17</v>
      </c>
      <c r="S27" s="718">
        <f t="shared" si="12"/>
        <v>100</v>
      </c>
      <c r="T27" s="717" t="s">
        <v>17</v>
      </c>
      <c r="U27" s="718">
        <f t="shared" si="13"/>
        <v>100</v>
      </c>
      <c r="V27" s="717" t="s">
        <v>17</v>
      </c>
      <c r="W27" s="718">
        <f t="shared" si="14"/>
        <v>100</v>
      </c>
      <c r="X27" s="719"/>
      <c r="Y27" s="3387"/>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87"/>
      <c r="Q28" s="1538" t="str">
        <f t="shared" si="11"/>
        <v>公共部分装修</v>
      </c>
      <c r="R28" s="714" t="s">
        <v>17</v>
      </c>
      <c r="S28" s="715">
        <f t="shared" si="12"/>
        <v>100</v>
      </c>
      <c r="T28" s="714" t="s">
        <v>17</v>
      </c>
      <c r="U28" s="715">
        <f t="shared" si="13"/>
        <v>100</v>
      </c>
      <c r="V28" s="714" t="s">
        <v>17</v>
      </c>
      <c r="W28" s="715">
        <f t="shared" si="14"/>
        <v>100</v>
      </c>
      <c r="X28" s="1541"/>
      <c r="Y28" s="3387"/>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87"/>
      <c r="Q29" s="1538" t="str">
        <f t="shared" si="11"/>
        <v>成新率</v>
      </c>
      <c r="R29" s="714" t="s">
        <v>17</v>
      </c>
      <c r="S29" s="715" t="e">
        <f t="shared" si="12"/>
        <v>#N/A</v>
      </c>
      <c r="T29" s="714" t="s">
        <v>17</v>
      </c>
      <c r="U29" s="715" t="e">
        <f t="shared" si="13"/>
        <v>#N/A</v>
      </c>
      <c r="V29" s="714" t="s">
        <v>17</v>
      </c>
      <c r="W29" s="715" t="e">
        <f t="shared" si="14"/>
        <v>#N/A</v>
      </c>
      <c r="X29" s="1541"/>
      <c r="Y29" s="3387"/>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87"/>
      <c r="Q30" s="1538" t="str">
        <f t="shared" si="11"/>
        <v>物业等级</v>
      </c>
      <c r="R30" s="714" t="s">
        <v>17</v>
      </c>
      <c r="S30" s="715">
        <f t="shared" si="12"/>
        <v>100</v>
      </c>
      <c r="T30" s="714" t="s">
        <v>17</v>
      </c>
      <c r="U30" s="715">
        <f t="shared" si="13"/>
        <v>100</v>
      </c>
      <c r="V30" s="714" t="s">
        <v>17</v>
      </c>
      <c r="W30" s="715">
        <f t="shared" si="14"/>
        <v>100</v>
      </c>
      <c r="X30" s="1541"/>
      <c r="Y30" s="3387"/>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87"/>
      <c r="Q31" s="1529" t="str">
        <f t="shared" si="11"/>
        <v>停车位面积</v>
      </c>
      <c r="R31" s="710" t="s">
        <v>17</v>
      </c>
      <c r="S31" s="711" t="e">
        <f t="shared" si="12"/>
        <v>#N/A</v>
      </c>
      <c r="T31" s="710" t="s">
        <v>17</v>
      </c>
      <c r="U31" s="711" t="e">
        <f t="shared" si="13"/>
        <v>#N/A</v>
      </c>
      <c r="V31" s="710" t="s">
        <v>17</v>
      </c>
      <c r="W31" s="711" t="e">
        <f t="shared" si="14"/>
        <v>#N/A</v>
      </c>
      <c r="X31" s="712"/>
      <c r="Y31" s="338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87" t="s">
        <v>2385</v>
      </c>
      <c r="Q32" s="1538" t="str">
        <f t="shared" si="11"/>
        <v>车位类型</v>
      </c>
      <c r="R32" s="714" t="s">
        <v>17</v>
      </c>
      <c r="S32" s="715">
        <f t="shared" si="12"/>
        <v>100</v>
      </c>
      <c r="T32" s="714" t="s">
        <v>17</v>
      </c>
      <c r="U32" s="715">
        <f t="shared" si="13"/>
        <v>100</v>
      </c>
      <c r="V32" s="714" t="s">
        <v>17</v>
      </c>
      <c r="W32" s="715">
        <f t="shared" si="14"/>
        <v>100</v>
      </c>
      <c r="X32" s="1541"/>
      <c r="Y32" s="3387"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87"/>
      <c r="Q33" s="1538" t="str">
        <f t="shared" si="11"/>
        <v>是否直接入户</v>
      </c>
      <c r="R33" s="714" t="s">
        <v>17</v>
      </c>
      <c r="S33" s="715">
        <f t="shared" si="12"/>
        <v>100</v>
      </c>
      <c r="T33" s="714" t="s">
        <v>17</v>
      </c>
      <c r="U33" s="715">
        <f t="shared" si="13"/>
        <v>100</v>
      </c>
      <c r="V33" s="714" t="s">
        <v>17</v>
      </c>
      <c r="W33" s="715">
        <f t="shared" si="14"/>
        <v>100</v>
      </c>
      <c r="X33" s="1541"/>
      <c r="Y33" s="3387"/>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87"/>
      <c r="Q34" s="1538">
        <f t="shared" si="11"/>
        <v>111</v>
      </c>
      <c r="R34" s="714" t="s">
        <v>17</v>
      </c>
      <c r="S34" s="715">
        <f t="shared" si="12"/>
        <v>100</v>
      </c>
      <c r="T34" s="714" t="s">
        <v>17</v>
      </c>
      <c r="U34" s="715">
        <f t="shared" si="13"/>
        <v>100</v>
      </c>
      <c r="V34" s="714" t="s">
        <v>17</v>
      </c>
      <c r="W34" s="715">
        <f t="shared" si="14"/>
        <v>100</v>
      </c>
      <c r="X34" s="1541"/>
      <c r="Y34" s="3387"/>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87"/>
      <c r="Q35" s="716">
        <f t="shared" si="11"/>
        <v>111</v>
      </c>
      <c r="R35" s="717" t="s">
        <v>17</v>
      </c>
      <c r="S35" s="718">
        <f t="shared" si="12"/>
        <v>100</v>
      </c>
      <c r="T35" s="717" t="s">
        <v>17</v>
      </c>
      <c r="U35" s="718">
        <f t="shared" si="13"/>
        <v>100</v>
      </c>
      <c r="V35" s="717" t="s">
        <v>17</v>
      </c>
      <c r="W35" s="718">
        <f t="shared" si="14"/>
        <v>100</v>
      </c>
      <c r="X35" s="719"/>
      <c r="Y35" s="3387"/>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87"/>
      <c r="Q36" s="1538">
        <f t="shared" si="11"/>
        <v>111</v>
      </c>
      <c r="R36" s="714" t="s">
        <v>17</v>
      </c>
      <c r="S36" s="715">
        <f t="shared" si="12"/>
        <v>100</v>
      </c>
      <c r="T36" s="714" t="s">
        <v>17</v>
      </c>
      <c r="U36" s="715">
        <f t="shared" si="13"/>
        <v>100</v>
      </c>
      <c r="V36" s="714" t="s">
        <v>17</v>
      </c>
      <c r="W36" s="715">
        <f t="shared" si="14"/>
        <v>100</v>
      </c>
      <c r="X36" s="1541"/>
      <c r="Y36" s="3387"/>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5"/>
      <c r="M37" s="2956"/>
      <c r="N37" s="2947"/>
      <c r="O37" s="2956"/>
      <c r="P37" s="3382" t="str">
        <f>A37</f>
        <v>成交单价</v>
      </c>
      <c r="Q37" s="3382"/>
      <c r="R37" s="3447">
        <f>E37</f>
        <v>0</v>
      </c>
      <c r="S37" s="3447"/>
      <c r="T37" s="3447">
        <f>G37</f>
        <v>0</v>
      </c>
      <c r="U37" s="3447"/>
      <c r="V37" s="3447">
        <f>I37</f>
        <v>0</v>
      </c>
      <c r="W37" s="3447"/>
      <c r="X37" s="699"/>
      <c r="Y37" s="721"/>
      <c r="Z37" s="699"/>
      <c r="AA37" s="699"/>
      <c r="AB37" s="699"/>
      <c r="AC37" s="699"/>
    </row>
    <row r="38" spans="1:29" ht="15.75" thickBot="1">
      <c r="A38" s="445" t="s">
        <v>2542</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382" t="str">
        <f>A38</f>
        <v>比较价值（元/平方米）</v>
      </c>
      <c r="Q38" s="3382"/>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5"/>
      <c r="M39" s="2956"/>
      <c r="N39" s="2956"/>
      <c r="O39" s="2956"/>
      <c r="P39" s="3376" t="str">
        <f>A39</f>
        <v>估价对象XX用房的比较价值（楼面单价，元/平方米）</v>
      </c>
      <c r="Q39" s="3377"/>
      <c r="R39" s="3469" t="e">
        <f>IF(F1="售价",ROUND(IF(D38="简单平均",AVERAGE(R38:W38),R38*F38+T38*H38+V38*J38),0),ROUND(IF(D38="简单平均",AVERAGE(R38:V38),R38*F38+T38*H38+V38*J38),1))</f>
        <v>#DIV/0!</v>
      </c>
      <c r="S39" s="3469"/>
      <c r="T39" s="3469"/>
      <c r="U39" s="3469"/>
      <c r="V39" s="3469"/>
      <c r="W39" s="3469"/>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2547</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2548</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2405</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2370</v>
      </c>
      <c r="B51" s="467"/>
      <c r="C51" s="479" t="s">
        <v>2472</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2408</v>
      </c>
      <c r="B53" s="485" t="s">
        <v>2374</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2423</v>
      </c>
      <c r="C65" s="535" t="s">
        <v>2417</v>
      </c>
      <c r="D65" s="535" t="s">
        <v>2418</v>
      </c>
      <c r="E65" s="535" t="s">
        <v>2419</v>
      </c>
      <c r="F65" s="535" t="s">
        <v>2420</v>
      </c>
      <c r="G65" s="535" t="s">
        <v>2421</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2509</v>
      </c>
      <c r="C67" s="616" t="s">
        <v>2495</v>
      </c>
      <c r="D67" s="616" t="s">
        <v>2496</v>
      </c>
      <c r="E67" s="616" t="s">
        <v>2497</v>
      </c>
      <c r="F67" s="616" t="s">
        <v>2498</v>
      </c>
      <c r="G67" s="616" t="s">
        <v>2499</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2429</v>
      </c>
      <c r="C69" s="535" t="s">
        <v>2417</v>
      </c>
      <c r="D69" s="535" t="s">
        <v>2418</v>
      </c>
      <c r="E69" s="535" t="s">
        <v>2419</v>
      </c>
      <c r="F69" s="535" t="s">
        <v>2420</v>
      </c>
      <c r="G69" s="535" t="s">
        <v>2421</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2549</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2383</v>
      </c>
      <c r="B79" s="485" t="s">
        <v>2550</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2551</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2436</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2553</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2555</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2556</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2150</v>
      </c>
      <c r="B2" s="1326" t="e">
        <f ca="1">IF(C2="——",ROUND(C37*D3/10000,0),ROUND(C37*D3/10000,0)-D2)</f>
        <v>#DIV/0!</v>
      </c>
      <c r="C2" s="2069"/>
      <c r="D2" s="1038" t="e">
        <f ca="1">SUMIF(INDIRECT("'"&amp;F2&amp;"'"&amp;"!A:A"),"承租人权益价值",INDIRECT("'"&amp;F2&amp;"'"&amp;"!c:c"))</f>
        <v>#REF!</v>
      </c>
      <c r="E2" s="2070" t="s">
        <v>2151</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 ca="1">IF(C2="——",C37,ROUND(B2*10000/D3,0))</f>
        <v>#DIV/0!</v>
      </c>
      <c r="C3" s="360" t="s">
        <v>2464</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379" t="s">
        <v>2466</v>
      </c>
      <c r="D4" s="3392"/>
      <c r="E4" s="3393" t="s">
        <v>2467</v>
      </c>
      <c r="F4" s="3394"/>
      <c r="G4" s="3379" t="s">
        <v>2468</v>
      </c>
      <c r="H4" s="3392"/>
      <c r="I4" s="3379" t="s">
        <v>2469</v>
      </c>
      <c r="J4" s="3392"/>
      <c r="K4" s="567" t="s">
        <v>2470</v>
      </c>
      <c r="L4" s="2946"/>
      <c r="M4" s="2947"/>
      <c r="N4" s="2947"/>
      <c r="O4" s="2947"/>
      <c r="P4" s="3395" t="s">
        <v>2471</v>
      </c>
      <c r="Q4" s="3396"/>
      <c r="R4" s="3401" t="s">
        <v>2467</v>
      </c>
      <c r="S4" s="3402"/>
      <c r="T4" s="3401" t="s">
        <v>2468</v>
      </c>
      <c r="U4" s="3402"/>
      <c r="V4" s="3388" t="s">
        <v>2469</v>
      </c>
      <c r="W4" s="3388"/>
      <c r="X4" s="1541"/>
      <c r="Y4" s="3401" t="s">
        <v>2471</v>
      </c>
      <c r="Z4" s="3402"/>
      <c r="AA4" s="3389" t="s">
        <v>2467</v>
      </c>
      <c r="AB4" s="3390" t="s">
        <v>2468</v>
      </c>
      <c r="AC4" s="3389" t="s">
        <v>2469</v>
      </c>
    </row>
    <row r="5" spans="1:29" ht="15">
      <c r="A5" s="364"/>
      <c r="B5" s="365"/>
      <c r="C5" s="3409" t="s">
        <v>2362</v>
      </c>
      <c r="D5" s="3410"/>
      <c r="E5" s="3416" t="s">
        <v>2363</v>
      </c>
      <c r="F5" s="3417"/>
      <c r="G5" s="3409" t="s">
        <v>2364</v>
      </c>
      <c r="H5" s="3410"/>
      <c r="I5" s="3409" t="s">
        <v>2365</v>
      </c>
      <c r="J5" s="3410"/>
      <c r="K5" s="567"/>
      <c r="L5" s="2946"/>
      <c r="M5" s="2947"/>
      <c r="N5" s="2947"/>
      <c r="O5" s="2947"/>
      <c r="P5" s="3397"/>
      <c r="Q5" s="3398"/>
      <c r="R5" s="3403"/>
      <c r="S5" s="3404"/>
      <c r="T5" s="3403"/>
      <c r="U5" s="3404"/>
      <c r="V5" s="3388"/>
      <c r="W5" s="3388"/>
      <c r="X5" s="1541"/>
      <c r="Y5" s="3403"/>
      <c r="Z5" s="3404"/>
      <c r="AA5" s="3390"/>
      <c r="AB5" s="3390"/>
      <c r="AC5" s="3390"/>
    </row>
    <row r="6" spans="1:29" ht="15.75" thickBot="1">
      <c r="A6" s="366"/>
      <c r="B6" s="367"/>
      <c r="C6" s="3407" t="s">
        <v>2366</v>
      </c>
      <c r="D6" s="3408"/>
      <c r="E6" s="3414" t="s">
        <v>2366</v>
      </c>
      <c r="F6" s="3415"/>
      <c r="G6" s="3407" t="s">
        <v>2366</v>
      </c>
      <c r="H6" s="3408"/>
      <c r="I6" s="3407" t="s">
        <v>2366</v>
      </c>
      <c r="J6" s="3408"/>
      <c r="K6" s="567" t="s">
        <v>2367</v>
      </c>
      <c r="L6" s="2946"/>
      <c r="M6" s="2947"/>
      <c r="N6" s="2947"/>
      <c r="O6" s="2947"/>
      <c r="P6" s="3399"/>
      <c r="Q6" s="3400"/>
      <c r="R6" s="3403"/>
      <c r="S6" s="3404"/>
      <c r="T6" s="3405"/>
      <c r="U6" s="3406"/>
      <c r="V6" s="3388"/>
      <c r="W6" s="3388"/>
      <c r="X6" s="1541"/>
      <c r="Y6" s="3405"/>
      <c r="Z6" s="3406"/>
      <c r="AA6" s="3391"/>
      <c r="AB6" s="3391"/>
      <c r="AC6" s="3391"/>
    </row>
    <row r="7" spans="1:29" s="113" customFormat="1" ht="15.75" thickBot="1">
      <c r="A7" s="368" t="s">
        <v>2368</v>
      </c>
      <c r="B7" s="369"/>
      <c r="C7" s="370">
        <f>'数据-取费表'!B2</f>
        <v>44203</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411" t="s">
        <v>2369</v>
      </c>
      <c r="Q7" s="3413"/>
      <c r="R7" s="710" t="s">
        <v>17</v>
      </c>
      <c r="S7" s="711">
        <f t="shared" ref="S7:S14" si="0">F7</f>
        <v>0</v>
      </c>
      <c r="T7" s="710" t="s">
        <v>17</v>
      </c>
      <c r="U7" s="711">
        <f t="shared" ref="U7:U14" si="1">H7</f>
        <v>0</v>
      </c>
      <c r="V7" s="710" t="s">
        <v>17</v>
      </c>
      <c r="W7" s="711">
        <f t="shared" ref="W7:W14" si="2">J7</f>
        <v>0</v>
      </c>
      <c r="X7" s="712"/>
      <c r="Y7" s="3411" t="s">
        <v>2369</v>
      </c>
      <c r="Z7" s="3412"/>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411" t="s">
        <v>2372</v>
      </c>
      <c r="Q8" s="3412"/>
      <c r="R8" s="710" t="s">
        <v>17</v>
      </c>
      <c r="S8" s="711">
        <f t="shared" si="0"/>
        <v>0</v>
      </c>
      <c r="T8" s="710" t="s">
        <v>17</v>
      </c>
      <c r="U8" s="711">
        <f t="shared" si="1"/>
        <v>0</v>
      </c>
      <c r="V8" s="710" t="s">
        <v>17</v>
      </c>
      <c r="W8" s="711">
        <f t="shared" si="2"/>
        <v>0</v>
      </c>
      <c r="X8" s="712"/>
      <c r="Y8" s="3411" t="s">
        <v>2372</v>
      </c>
      <c r="Z8" s="3412"/>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82" t="s">
        <v>2375</v>
      </c>
      <c r="Q9" s="1529" t="str">
        <f t="shared" ref="Q9:Q14" si="6">B9</f>
        <v>用途</v>
      </c>
      <c r="R9" s="710" t="s">
        <v>17</v>
      </c>
      <c r="S9" s="711">
        <f t="shared" si="0"/>
        <v>100</v>
      </c>
      <c r="T9" s="710" t="s">
        <v>17</v>
      </c>
      <c r="U9" s="711">
        <f t="shared" si="1"/>
        <v>100</v>
      </c>
      <c r="V9" s="710" t="s">
        <v>17</v>
      </c>
      <c r="W9" s="711">
        <f t="shared" si="2"/>
        <v>100</v>
      </c>
      <c r="X9" s="712"/>
      <c r="Y9" s="3276"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82"/>
      <c r="Q10" s="1529" t="str">
        <f t="shared" si="6"/>
        <v>土地使用年限（年）</v>
      </c>
      <c r="R10" s="710" t="s">
        <v>17</v>
      </c>
      <c r="S10" s="711">
        <f t="shared" si="0"/>
        <v>100</v>
      </c>
      <c r="T10" s="710" t="s">
        <v>17</v>
      </c>
      <c r="U10" s="711">
        <f t="shared" si="1"/>
        <v>100</v>
      </c>
      <c r="V10" s="710" t="s">
        <v>17</v>
      </c>
      <c r="W10" s="711">
        <f t="shared" si="2"/>
        <v>100</v>
      </c>
      <c r="X10" s="712"/>
      <c r="Y10" s="3276"/>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82"/>
      <c r="Q11" s="1529">
        <f t="shared" si="6"/>
        <v>111</v>
      </c>
      <c r="R11" s="710" t="s">
        <v>17</v>
      </c>
      <c r="S11" s="711">
        <f t="shared" si="0"/>
        <v>100</v>
      </c>
      <c r="T11" s="710" t="s">
        <v>17</v>
      </c>
      <c r="U11" s="711">
        <f t="shared" si="1"/>
        <v>100</v>
      </c>
      <c r="V11" s="710" t="s">
        <v>17</v>
      </c>
      <c r="W11" s="711">
        <f t="shared" si="2"/>
        <v>100</v>
      </c>
      <c r="X11" s="712"/>
      <c r="Y11" s="3276"/>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82"/>
      <c r="Q12" s="1529">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82"/>
      <c r="Q13" s="1529">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85.5">
      <c r="A14" s="399" t="s">
        <v>2379</v>
      </c>
      <c r="B14" s="65" t="s">
        <v>2529</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84" t="s">
        <v>2380</v>
      </c>
      <c r="Q14" s="1538" t="str">
        <f t="shared" si="6"/>
        <v>交通便捷度</v>
      </c>
      <c r="R14" s="714" t="s">
        <v>17</v>
      </c>
      <c r="S14" s="715">
        <f t="shared" si="0"/>
        <v>100</v>
      </c>
      <c r="T14" s="714" t="s">
        <v>17</v>
      </c>
      <c r="U14" s="715">
        <f t="shared" si="1"/>
        <v>100</v>
      </c>
      <c r="V14" s="714" t="s">
        <v>17</v>
      </c>
      <c r="W14" s="715">
        <f t="shared" si="2"/>
        <v>100</v>
      </c>
      <c r="X14" s="1541"/>
      <c r="Y14" s="3384"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85"/>
      <c r="Q15" s="1538"/>
      <c r="R15" s="714"/>
      <c r="S15" s="715"/>
      <c r="T15" s="714"/>
      <c r="U15" s="715"/>
      <c r="V15" s="714"/>
      <c r="W15" s="715"/>
      <c r="X15" s="1541"/>
      <c r="Y15" s="3385"/>
      <c r="Z15" s="1542"/>
      <c r="AA15" s="1539">
        <v>1</v>
      </c>
      <c r="AB15" s="1539">
        <v>1</v>
      </c>
      <c r="AC15" s="1539">
        <v>1</v>
      </c>
    </row>
    <row r="16" spans="1:29" ht="42.75">
      <c r="A16" s="387"/>
      <c r="B16" s="410" t="s">
        <v>2508</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85"/>
      <c r="Q16" s="1538" t="str">
        <f>B16</f>
        <v>公共配套设施</v>
      </c>
      <c r="R16" s="714" t="s">
        <v>17</v>
      </c>
      <c r="S16" s="715">
        <f>F16</f>
        <v>100</v>
      </c>
      <c r="T16" s="714" t="s">
        <v>17</v>
      </c>
      <c r="U16" s="715">
        <f>H16</f>
        <v>100</v>
      </c>
      <c r="V16" s="714" t="s">
        <v>17</v>
      </c>
      <c r="W16" s="715">
        <f>J16</f>
        <v>100</v>
      </c>
      <c r="X16" s="1541"/>
      <c r="Y16" s="3385"/>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85"/>
      <c r="Q17" s="1538"/>
      <c r="R17" s="714"/>
      <c r="S17" s="715"/>
      <c r="T17" s="714"/>
      <c r="U17" s="715"/>
      <c r="V17" s="714"/>
      <c r="W17" s="715"/>
      <c r="X17" s="1541"/>
      <c r="Y17" s="3385"/>
      <c r="Z17" s="1542"/>
      <c r="AA17" s="1539">
        <v>1</v>
      </c>
      <c r="AB17" s="1539">
        <v>1</v>
      </c>
      <c r="AC17" s="1539">
        <v>1</v>
      </c>
    </row>
    <row r="18" spans="1:29" ht="28.5">
      <c r="A18" s="387"/>
      <c r="B18" s="1293" t="s">
        <v>2509</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85"/>
      <c r="Q18" s="1538" t="str">
        <f>B18</f>
        <v>基础设施水平</v>
      </c>
      <c r="R18" s="714" t="s">
        <v>17</v>
      </c>
      <c r="S18" s="715">
        <f>F18</f>
        <v>100</v>
      </c>
      <c r="T18" s="714" t="s">
        <v>17</v>
      </c>
      <c r="U18" s="715">
        <f>H18</f>
        <v>100</v>
      </c>
      <c r="V18" s="714" t="s">
        <v>17</v>
      </c>
      <c r="W18" s="715">
        <f>J18</f>
        <v>100</v>
      </c>
      <c r="X18" s="1541"/>
      <c r="Y18" s="3385"/>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85"/>
      <c r="Q19" s="1538"/>
      <c r="R19" s="714"/>
      <c r="S19" s="715"/>
      <c r="T19" s="714"/>
      <c r="U19" s="715"/>
      <c r="V19" s="714"/>
      <c r="W19" s="715"/>
      <c r="X19" s="1541"/>
      <c r="Y19" s="3385"/>
      <c r="Z19" s="1542"/>
      <c r="AA19" s="1539">
        <v>1</v>
      </c>
      <c r="AB19" s="1539">
        <v>1</v>
      </c>
      <c r="AC19" s="1539">
        <v>1</v>
      </c>
    </row>
    <row r="20" spans="1:29" ht="57">
      <c r="A20" s="387"/>
      <c r="B20" s="410" t="s">
        <v>2530</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85"/>
      <c r="Q20" s="1538" t="str">
        <f>B20</f>
        <v>自然及人文环境</v>
      </c>
      <c r="R20" s="714" t="s">
        <v>17</v>
      </c>
      <c r="S20" s="715">
        <f>F20</f>
        <v>100</v>
      </c>
      <c r="T20" s="714" t="s">
        <v>17</v>
      </c>
      <c r="U20" s="715">
        <f>H20</f>
        <v>100</v>
      </c>
      <c r="V20" s="714" t="s">
        <v>17</v>
      </c>
      <c r="W20" s="715">
        <f>J20</f>
        <v>100</v>
      </c>
      <c r="X20" s="1541"/>
      <c r="Y20" s="3385"/>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85"/>
      <c r="Q21" s="1538"/>
      <c r="R21" s="714"/>
      <c r="S21" s="715"/>
      <c r="T21" s="714"/>
      <c r="U21" s="715"/>
      <c r="V21" s="714"/>
      <c r="W21" s="715"/>
      <c r="X21" s="1541"/>
      <c r="Y21" s="3385"/>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85"/>
      <c r="Q22" s="1538" t="str">
        <f>B22</f>
        <v>楼层</v>
      </c>
      <c r="R22" s="714" t="s">
        <v>17</v>
      </c>
      <c r="S22" s="715">
        <f>F22</f>
        <v>100</v>
      </c>
      <c r="T22" s="714" t="s">
        <v>17</v>
      </c>
      <c r="U22" s="715">
        <f>H22</f>
        <v>100</v>
      </c>
      <c r="V22" s="714" t="s">
        <v>17</v>
      </c>
      <c r="W22" s="715">
        <f>J22</f>
        <v>100</v>
      </c>
      <c r="X22" s="1541"/>
      <c r="Y22" s="3385"/>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85"/>
      <c r="Q23" s="1538">
        <f>B23</f>
        <v>111</v>
      </c>
      <c r="R23" s="714" t="s">
        <v>17</v>
      </c>
      <c r="S23" s="715">
        <f>F23</f>
        <v>100</v>
      </c>
      <c r="T23" s="714" t="s">
        <v>17</v>
      </c>
      <c r="U23" s="715">
        <f>H23</f>
        <v>100</v>
      </c>
      <c r="V23" s="714" t="s">
        <v>17</v>
      </c>
      <c r="W23" s="715">
        <f>J23</f>
        <v>100</v>
      </c>
      <c r="X23" s="1541"/>
      <c r="Y23" s="3385"/>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85"/>
      <c r="Q24" s="1538">
        <f t="shared" ref="Q24:Q34" si="11">B24</f>
        <v>111</v>
      </c>
      <c r="R24" s="714" t="s">
        <v>17</v>
      </c>
      <c r="S24" s="715">
        <f>F24</f>
        <v>100</v>
      </c>
      <c r="T24" s="714" t="s">
        <v>17</v>
      </c>
      <c r="U24" s="715">
        <f>H24</f>
        <v>100</v>
      </c>
      <c r="V24" s="714" t="s">
        <v>17</v>
      </c>
      <c r="W24" s="715">
        <f>J24</f>
        <v>100</v>
      </c>
      <c r="X24" s="1541"/>
      <c r="Y24" s="3385"/>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85"/>
      <c r="Q25" s="1529">
        <f t="shared" si="11"/>
        <v>111</v>
      </c>
      <c r="R25" s="710" t="s">
        <v>17</v>
      </c>
      <c r="S25" s="711">
        <f>F25</f>
        <v>100</v>
      </c>
      <c r="T25" s="710" t="s">
        <v>17</v>
      </c>
      <c r="U25" s="711">
        <f>H25</f>
        <v>100</v>
      </c>
      <c r="V25" s="710" t="s">
        <v>17</v>
      </c>
      <c r="W25" s="711">
        <f>J25</f>
        <v>100</v>
      </c>
      <c r="X25" s="712"/>
      <c r="Y25" s="3385"/>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86"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87"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87"/>
      <c r="Q27" s="716" t="str">
        <f t="shared" si="11"/>
        <v>成新率</v>
      </c>
      <c r="R27" s="717" t="s">
        <v>17</v>
      </c>
      <c r="S27" s="718" t="e">
        <f t="shared" si="12"/>
        <v>#N/A</v>
      </c>
      <c r="T27" s="717" t="s">
        <v>17</v>
      </c>
      <c r="U27" s="718" t="e">
        <f t="shared" si="13"/>
        <v>#N/A</v>
      </c>
      <c r="V27" s="717" t="s">
        <v>17</v>
      </c>
      <c r="W27" s="718" t="e">
        <f t="shared" si="14"/>
        <v>#N/A</v>
      </c>
      <c r="X27" s="719"/>
      <c r="Y27" s="3387"/>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87"/>
      <c r="Q28" s="1538" t="str">
        <f t="shared" si="11"/>
        <v>物业等级</v>
      </c>
      <c r="R28" s="714" t="s">
        <v>17</v>
      </c>
      <c r="S28" s="715">
        <f t="shared" si="12"/>
        <v>100</v>
      </c>
      <c r="T28" s="714" t="s">
        <v>17</v>
      </c>
      <c r="U28" s="715">
        <f t="shared" si="13"/>
        <v>100</v>
      </c>
      <c r="V28" s="714" t="s">
        <v>17</v>
      </c>
      <c r="W28" s="715">
        <f t="shared" si="14"/>
        <v>100</v>
      </c>
      <c r="X28" s="1541"/>
      <c r="Y28" s="3387"/>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87"/>
      <c r="Q29" s="1538" t="str">
        <f t="shared" si="11"/>
        <v>有无电梯</v>
      </c>
      <c r="R29" s="714" t="s">
        <v>17</v>
      </c>
      <c r="S29" s="715">
        <f t="shared" si="12"/>
        <v>100</v>
      </c>
      <c r="T29" s="714" t="s">
        <v>17</v>
      </c>
      <c r="U29" s="715">
        <f t="shared" si="13"/>
        <v>100</v>
      </c>
      <c r="V29" s="714" t="s">
        <v>17</v>
      </c>
      <c r="W29" s="715">
        <f t="shared" si="14"/>
        <v>100</v>
      </c>
      <c r="X29" s="1541"/>
      <c r="Y29" s="3387"/>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87"/>
      <c r="Q30" s="1538" t="str">
        <f t="shared" si="11"/>
        <v>建筑面积</v>
      </c>
      <c r="R30" s="714" t="s">
        <v>17</v>
      </c>
      <c r="S30" s="715" t="e">
        <f t="shared" si="12"/>
        <v>#N/A</v>
      </c>
      <c r="T30" s="714" t="s">
        <v>17</v>
      </c>
      <c r="U30" s="715" t="e">
        <f t="shared" si="13"/>
        <v>#N/A</v>
      </c>
      <c r="V30" s="714" t="s">
        <v>17</v>
      </c>
      <c r="W30" s="715" t="e">
        <f t="shared" si="14"/>
        <v>#N/A</v>
      </c>
      <c r="X30" s="1541"/>
      <c r="Y30" s="3387"/>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87"/>
      <c r="Q31" s="1529" t="str">
        <f t="shared" si="11"/>
        <v>是否封闭</v>
      </c>
      <c r="R31" s="710" t="s">
        <v>17</v>
      </c>
      <c r="S31" s="711">
        <f t="shared" si="12"/>
        <v>100</v>
      </c>
      <c r="T31" s="710" t="s">
        <v>17</v>
      </c>
      <c r="U31" s="711">
        <f t="shared" si="13"/>
        <v>100</v>
      </c>
      <c r="V31" s="710" t="s">
        <v>17</v>
      </c>
      <c r="W31" s="711">
        <f t="shared" si="14"/>
        <v>100</v>
      </c>
      <c r="X31" s="712"/>
      <c r="Y31" s="3387"/>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87" t="s">
        <v>2385</v>
      </c>
      <c r="Q32" s="1538">
        <f t="shared" si="11"/>
        <v>111</v>
      </c>
      <c r="R32" s="714" t="s">
        <v>17</v>
      </c>
      <c r="S32" s="715">
        <f t="shared" si="12"/>
        <v>100</v>
      </c>
      <c r="T32" s="714" t="s">
        <v>17</v>
      </c>
      <c r="U32" s="715">
        <f t="shared" si="13"/>
        <v>100</v>
      </c>
      <c r="V32" s="714" t="s">
        <v>17</v>
      </c>
      <c r="W32" s="715">
        <f t="shared" si="14"/>
        <v>100</v>
      </c>
      <c r="X32" s="1541"/>
      <c r="Y32" s="3387"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87"/>
      <c r="Q33" s="1538">
        <f t="shared" si="11"/>
        <v>111</v>
      </c>
      <c r="R33" s="714" t="s">
        <v>17</v>
      </c>
      <c r="S33" s="715">
        <f t="shared" si="12"/>
        <v>100</v>
      </c>
      <c r="T33" s="714" t="s">
        <v>17</v>
      </c>
      <c r="U33" s="715">
        <f t="shared" si="13"/>
        <v>100</v>
      </c>
      <c r="V33" s="714" t="s">
        <v>17</v>
      </c>
      <c r="W33" s="715">
        <f t="shared" si="14"/>
        <v>100</v>
      </c>
      <c r="X33" s="1541"/>
      <c r="Y33" s="3387"/>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87"/>
      <c r="Q34" s="1538">
        <f t="shared" si="11"/>
        <v>111</v>
      </c>
      <c r="R34" s="714" t="s">
        <v>17</v>
      </c>
      <c r="S34" s="715">
        <f t="shared" si="12"/>
        <v>100</v>
      </c>
      <c r="T34" s="714" t="s">
        <v>17</v>
      </c>
      <c r="U34" s="715">
        <f t="shared" si="13"/>
        <v>100</v>
      </c>
      <c r="V34" s="714" t="s">
        <v>17</v>
      </c>
      <c r="W34" s="715">
        <f t="shared" si="14"/>
        <v>100</v>
      </c>
      <c r="X34" s="1541"/>
      <c r="Y34" s="3387"/>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5"/>
      <c r="M35" s="2956"/>
      <c r="N35" s="2947"/>
      <c r="O35" s="2956"/>
      <c r="P35" s="3382" t="str">
        <f>A35</f>
        <v>成交单价（元/平方米）</v>
      </c>
      <c r="Q35" s="3382"/>
      <c r="R35" s="3447">
        <f>E35</f>
        <v>0</v>
      </c>
      <c r="S35" s="3447"/>
      <c r="T35" s="3447">
        <f>G35</f>
        <v>0</v>
      </c>
      <c r="U35" s="3447"/>
      <c r="V35" s="3447">
        <f>I35</f>
        <v>0</v>
      </c>
      <c r="W35" s="3447"/>
      <c r="X35" s="699"/>
      <c r="Y35" s="721"/>
      <c r="Z35" s="699"/>
      <c r="AA35" s="699"/>
      <c r="AB35" s="699"/>
      <c r="AC35" s="699"/>
    </row>
    <row r="36" spans="1:30" ht="15.75" thickBot="1">
      <c r="A36" s="445" t="s">
        <v>2489</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382" t="str">
        <f>A36</f>
        <v>比较价值（元/平方米）</v>
      </c>
      <c r="Q36" s="3382"/>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5"/>
      <c r="M37" s="2956"/>
      <c r="N37" s="2956"/>
      <c r="O37" s="2956"/>
      <c r="P37" s="3376" t="str">
        <f>A37</f>
        <v>估价对象XX用房的比较价值（楼面单价，元/平方米）</v>
      </c>
      <c r="Q37" s="3377"/>
      <c r="R37" s="3469" t="e">
        <f>IF(F1="售价",ROUND(IF(D36="简单平均",AVERAGE(R36:W36),R36*F36+T36*H36+V36*J36),0),ROUND(IF(D36="简单平均",AVERAGE(R36:V36),R36*F36+T36*H36+V36*J36),1))</f>
        <v>#DIV/0!</v>
      </c>
      <c r="S37" s="3469"/>
      <c r="T37" s="3469"/>
      <c r="U37" s="3469"/>
      <c r="V37" s="3469"/>
      <c r="W37" s="3469"/>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2494</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2368</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2405</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2370</v>
      </c>
      <c r="B49" s="467"/>
      <c r="C49" s="479" t="s">
        <v>2472</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2408</v>
      </c>
      <c r="B51" s="485" t="s">
        <v>2374</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2560</v>
      </c>
      <c r="C63" s="535" t="s">
        <v>2417</v>
      </c>
      <c r="D63" s="535" t="s">
        <v>2418</v>
      </c>
      <c r="E63" s="535" t="s">
        <v>2419</v>
      </c>
      <c r="F63" s="535" t="s">
        <v>2420</v>
      </c>
      <c r="G63" s="535" t="s">
        <v>2421</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2509</v>
      </c>
      <c r="C65" s="616" t="s">
        <v>2495</v>
      </c>
      <c r="D65" s="616" t="s">
        <v>2496</v>
      </c>
      <c r="E65" s="616" t="s">
        <v>2497</v>
      </c>
      <c r="F65" s="616" t="s">
        <v>2498</v>
      </c>
      <c r="G65" s="616" t="s">
        <v>2499</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2429</v>
      </c>
      <c r="C67" s="535" t="s">
        <v>2417</v>
      </c>
      <c r="D67" s="535" t="s">
        <v>2418</v>
      </c>
      <c r="E67" s="535" t="s">
        <v>2419</v>
      </c>
      <c r="F67" s="535" t="s">
        <v>2420</v>
      </c>
      <c r="G67" s="535" t="s">
        <v>2421</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2549</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2383</v>
      </c>
      <c r="B77" s="485" t="s">
        <v>2436</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2553</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2561</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2563</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2150</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2152</v>
      </c>
      <c r="B3" s="566" t="e">
        <f>ROUND(IF(D3="",B2*10000/'数据-汇总表'!E3,B2*10000/D3),0)</f>
        <v>#DIV/0!</v>
      </c>
      <c r="C3" s="209" t="s">
        <v>2566</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2465</v>
      </c>
      <c r="B4" s="362"/>
      <c r="C4" s="3379" t="s">
        <v>2466</v>
      </c>
      <c r="D4" s="3392"/>
      <c r="E4" s="3393" t="s">
        <v>2467</v>
      </c>
      <c r="F4" s="3394"/>
      <c r="G4" s="3379" t="s">
        <v>2468</v>
      </c>
      <c r="H4" s="3392"/>
      <c r="I4" s="3379" t="s">
        <v>2469</v>
      </c>
      <c r="J4" s="3392"/>
      <c r="K4" s="567" t="s">
        <v>2470</v>
      </c>
      <c r="L4" s="2946"/>
      <c r="M4" s="2947"/>
      <c r="N4" s="2947"/>
      <c r="O4" s="2947"/>
      <c r="P4" s="3395" t="s">
        <v>2471</v>
      </c>
      <c r="Q4" s="3396"/>
      <c r="R4" s="3401" t="s">
        <v>2467</v>
      </c>
      <c r="S4" s="3402"/>
      <c r="T4" s="3401" t="s">
        <v>2468</v>
      </c>
      <c r="U4" s="3402"/>
      <c r="V4" s="3388" t="s">
        <v>2469</v>
      </c>
      <c r="W4" s="3388"/>
      <c r="X4" s="1541"/>
      <c r="Y4" s="3401" t="s">
        <v>2471</v>
      </c>
      <c r="Z4" s="3402"/>
      <c r="AA4" s="3389" t="s">
        <v>2467</v>
      </c>
      <c r="AB4" s="3390" t="s">
        <v>2468</v>
      </c>
      <c r="AC4" s="3389" t="s">
        <v>2469</v>
      </c>
    </row>
    <row r="5" spans="1:29" ht="15">
      <c r="A5" s="364"/>
      <c r="B5" s="365"/>
      <c r="C5" s="3409" t="s">
        <v>2362</v>
      </c>
      <c r="D5" s="3410"/>
      <c r="E5" s="3416" t="s">
        <v>2363</v>
      </c>
      <c r="F5" s="3417"/>
      <c r="G5" s="3409" t="s">
        <v>2364</v>
      </c>
      <c r="H5" s="3410"/>
      <c r="I5" s="3409" t="s">
        <v>2365</v>
      </c>
      <c r="J5" s="3410"/>
      <c r="K5" s="567"/>
      <c r="L5" s="2946"/>
      <c r="M5" s="2947"/>
      <c r="N5" s="2947"/>
      <c r="O5" s="2947"/>
      <c r="P5" s="3397"/>
      <c r="Q5" s="3398"/>
      <c r="R5" s="3403"/>
      <c r="S5" s="3404"/>
      <c r="T5" s="3403"/>
      <c r="U5" s="3404"/>
      <c r="V5" s="3388"/>
      <c r="W5" s="3388"/>
      <c r="X5" s="1541"/>
      <c r="Y5" s="3403"/>
      <c r="Z5" s="3404"/>
      <c r="AA5" s="3390"/>
      <c r="AB5" s="3390"/>
      <c r="AC5" s="3390"/>
    </row>
    <row r="6" spans="1:29" ht="15.75" thickBot="1">
      <c r="A6" s="366"/>
      <c r="B6" s="367"/>
      <c r="C6" s="3470" t="s">
        <v>2616</v>
      </c>
      <c r="D6" s="3471"/>
      <c r="E6" s="3472" t="s">
        <v>2616</v>
      </c>
      <c r="F6" s="3473"/>
      <c r="G6" s="3470" t="s">
        <v>2616</v>
      </c>
      <c r="H6" s="3471"/>
      <c r="I6" s="3470" t="s">
        <v>2616</v>
      </c>
      <c r="J6" s="3471"/>
      <c r="K6" s="567" t="s">
        <v>2367</v>
      </c>
      <c r="L6" s="2946"/>
      <c r="M6" s="2947"/>
      <c r="N6" s="2947"/>
      <c r="O6" s="2947"/>
      <c r="P6" s="3399"/>
      <c r="Q6" s="3400"/>
      <c r="R6" s="3403"/>
      <c r="S6" s="3404"/>
      <c r="T6" s="3405"/>
      <c r="U6" s="3406"/>
      <c r="V6" s="3388"/>
      <c r="W6" s="3388"/>
      <c r="X6" s="1541"/>
      <c r="Y6" s="3405"/>
      <c r="Z6" s="3406"/>
      <c r="AA6" s="3391"/>
      <c r="AB6" s="3391"/>
      <c r="AC6" s="3391"/>
    </row>
    <row r="7" spans="1:29" s="113" customFormat="1" ht="15.75" thickBot="1">
      <c r="A7" s="368" t="s">
        <v>2368</v>
      </c>
      <c r="B7" s="369"/>
      <c r="C7" s="370">
        <f>'数据-取费表'!B2</f>
        <v>44203</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411" t="s">
        <v>2369</v>
      </c>
      <c r="Q7" s="3413"/>
      <c r="R7" s="710" t="s">
        <v>17</v>
      </c>
      <c r="S7" s="711">
        <f t="shared" ref="S7:S15" si="0">F7</f>
        <v>0</v>
      </c>
      <c r="T7" s="710" t="s">
        <v>17</v>
      </c>
      <c r="U7" s="711">
        <f t="shared" ref="U7:U15" si="1">H7</f>
        <v>0</v>
      </c>
      <c r="V7" s="710" t="s">
        <v>17</v>
      </c>
      <c r="W7" s="711">
        <f t="shared" ref="W7:W15" si="2">J7</f>
        <v>0</v>
      </c>
      <c r="X7" s="712"/>
      <c r="Y7" s="3411" t="s">
        <v>2369</v>
      </c>
      <c r="Z7" s="3412"/>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411" t="s">
        <v>2372</v>
      </c>
      <c r="Q8" s="3412"/>
      <c r="R8" s="710" t="s">
        <v>17</v>
      </c>
      <c r="S8" s="711">
        <f t="shared" si="0"/>
        <v>0</v>
      </c>
      <c r="T8" s="710" t="s">
        <v>17</v>
      </c>
      <c r="U8" s="711">
        <f t="shared" si="1"/>
        <v>0</v>
      </c>
      <c r="V8" s="710" t="s">
        <v>17</v>
      </c>
      <c r="W8" s="711">
        <f t="shared" si="2"/>
        <v>0</v>
      </c>
      <c r="X8" s="712"/>
      <c r="Y8" s="3411" t="s">
        <v>2372</v>
      </c>
      <c r="Z8" s="3412"/>
      <c r="AA8" s="713" t="e">
        <f t="shared" ref="AA8:AA40" si="3">D8/F8</f>
        <v>#DIV/0!</v>
      </c>
      <c r="AB8" s="713" t="e">
        <f t="shared" ref="AB8:AB40" si="4">D8/H8</f>
        <v>#DIV/0!</v>
      </c>
      <c r="AC8" s="713" t="e">
        <f t="shared" ref="AC8:AC40" si="5">D8/J8</f>
        <v>#DIV/0!</v>
      </c>
    </row>
    <row r="9" spans="1:29" s="113" customFormat="1">
      <c r="A9" s="375" t="s">
        <v>2373</v>
      </c>
      <c r="B9" s="67" t="s">
        <v>2374</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82" t="s">
        <v>2375</v>
      </c>
      <c r="Q9" s="1529" t="str">
        <f t="shared" ref="Q9:Q15" si="6">B9</f>
        <v>用途</v>
      </c>
      <c r="R9" s="710" t="s">
        <v>17</v>
      </c>
      <c r="S9" s="711">
        <f t="shared" si="0"/>
        <v>100</v>
      </c>
      <c r="T9" s="710" t="s">
        <v>17</v>
      </c>
      <c r="U9" s="711">
        <f t="shared" si="1"/>
        <v>100</v>
      </c>
      <c r="V9" s="710" t="s">
        <v>17</v>
      </c>
      <c r="W9" s="711">
        <f t="shared" si="2"/>
        <v>100</v>
      </c>
      <c r="X9" s="712"/>
      <c r="Y9" s="3276"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118</v>
      </c>
      <c r="G10" s="391"/>
      <c r="H10" s="132">
        <f>ROUND(100/'数据-取费表'!G16,0)</f>
        <v>118</v>
      </c>
      <c r="I10" s="391"/>
      <c r="J10" s="132">
        <f>ROUND(100/'数据-取费表'!G16,0)</f>
        <v>118</v>
      </c>
      <c r="K10" s="628"/>
      <c r="L10" s="2950"/>
      <c r="M10" s="2951"/>
      <c r="N10" s="2951"/>
      <c r="O10" s="3004"/>
      <c r="P10" s="3382"/>
      <c r="Q10" s="1529" t="str">
        <f t="shared" si="6"/>
        <v>土地使用年限（年）</v>
      </c>
      <c r="R10" s="710" t="s">
        <v>17</v>
      </c>
      <c r="S10" s="711">
        <f t="shared" si="0"/>
        <v>118</v>
      </c>
      <c r="T10" s="710" t="s">
        <v>17</v>
      </c>
      <c r="U10" s="711">
        <f t="shared" si="1"/>
        <v>118</v>
      </c>
      <c r="V10" s="710" t="s">
        <v>17</v>
      </c>
      <c r="W10" s="711">
        <f t="shared" si="2"/>
        <v>118</v>
      </c>
      <c r="X10" s="712"/>
      <c r="Y10" s="3276"/>
      <c r="Z10" s="55" t="str">
        <f t="shared" si="7"/>
        <v>土地使用年限（年）</v>
      </c>
      <c r="AA10" s="713">
        <f t="shared" si="3"/>
        <v>0.84745762711864403</v>
      </c>
      <c r="AB10" s="713">
        <f t="shared" si="4"/>
        <v>0.84745762711864403</v>
      </c>
      <c r="AC10" s="713">
        <f t="shared" si="5"/>
        <v>0.84745762711864403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82"/>
      <c r="Q11" s="1529" t="str">
        <f t="shared" si="6"/>
        <v>容积率</v>
      </c>
      <c r="R11" s="710" t="s">
        <v>17</v>
      </c>
      <c r="S11" s="711" t="e">
        <f t="shared" si="0"/>
        <v>#N/A</v>
      </c>
      <c r="T11" s="710" t="s">
        <v>17</v>
      </c>
      <c r="U11" s="711" t="e">
        <f t="shared" si="1"/>
        <v>#N/A</v>
      </c>
      <c r="V11" s="710" t="s">
        <v>17</v>
      </c>
      <c r="W11" s="711" t="e">
        <f t="shared" si="2"/>
        <v>#N/A</v>
      </c>
      <c r="X11" s="712"/>
      <c r="Y11" s="3276"/>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82"/>
      <c r="Q12" s="1529">
        <f t="shared" si="6"/>
        <v>111</v>
      </c>
      <c r="R12" s="710" t="s">
        <v>17</v>
      </c>
      <c r="S12" s="711">
        <f t="shared" si="0"/>
        <v>100</v>
      </c>
      <c r="T12" s="710" t="s">
        <v>17</v>
      </c>
      <c r="U12" s="711">
        <f t="shared" si="1"/>
        <v>100</v>
      </c>
      <c r="V12" s="710" t="s">
        <v>17</v>
      </c>
      <c r="W12" s="711">
        <f t="shared" si="2"/>
        <v>100</v>
      </c>
      <c r="X12" s="712"/>
      <c r="Y12" s="3276"/>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82"/>
      <c r="Q13" s="1529">
        <f t="shared" si="6"/>
        <v>111</v>
      </c>
      <c r="R13" s="710" t="s">
        <v>17</v>
      </c>
      <c r="S13" s="711">
        <f t="shared" si="0"/>
        <v>100</v>
      </c>
      <c r="T13" s="710" t="s">
        <v>17</v>
      </c>
      <c r="U13" s="711">
        <f t="shared" si="1"/>
        <v>100</v>
      </c>
      <c r="V13" s="710" t="s">
        <v>17</v>
      </c>
      <c r="W13" s="711">
        <f t="shared" si="2"/>
        <v>100</v>
      </c>
      <c r="X13" s="712"/>
      <c r="Y13" s="3276"/>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82"/>
      <c r="Q14" s="1529">
        <f t="shared" si="6"/>
        <v>111</v>
      </c>
      <c r="R14" s="710" t="s">
        <v>17</v>
      </c>
      <c r="S14" s="711">
        <f t="shared" si="0"/>
        <v>100</v>
      </c>
      <c r="T14" s="710" t="s">
        <v>17</v>
      </c>
      <c r="U14" s="711">
        <f t="shared" si="1"/>
        <v>100</v>
      </c>
      <c r="V14" s="710" t="s">
        <v>17</v>
      </c>
      <c r="W14" s="711">
        <f t="shared" si="2"/>
        <v>100</v>
      </c>
      <c r="X14" s="712"/>
      <c r="Y14" s="3276"/>
      <c r="Z14" s="55">
        <f t="shared" si="7"/>
        <v>111</v>
      </c>
      <c r="AA14" s="713">
        <f t="shared" si="3"/>
        <v>1</v>
      </c>
      <c r="AB14" s="713">
        <f t="shared" si="4"/>
        <v>1</v>
      </c>
      <c r="AC14" s="713">
        <f t="shared" si="5"/>
        <v>1</v>
      </c>
    </row>
    <row r="15" spans="1:29" ht="57">
      <c r="A15" s="399" t="s">
        <v>2379</v>
      </c>
      <c r="B15" s="585" t="s">
        <v>2617</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84" t="s">
        <v>2380</v>
      </c>
      <c r="Q15" s="1538" t="str">
        <f t="shared" si="6"/>
        <v>产业集聚程度</v>
      </c>
      <c r="R15" s="714" t="s">
        <v>17</v>
      </c>
      <c r="S15" s="715">
        <f t="shared" si="0"/>
        <v>100</v>
      </c>
      <c r="T15" s="714" t="s">
        <v>17</v>
      </c>
      <c r="U15" s="715">
        <f t="shared" si="1"/>
        <v>100</v>
      </c>
      <c r="V15" s="714" t="s">
        <v>17</v>
      </c>
      <c r="W15" s="715">
        <f t="shared" si="2"/>
        <v>100</v>
      </c>
      <c r="X15" s="1541"/>
      <c r="Y15" s="3384" t="s">
        <v>2380</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85"/>
      <c r="Q16" s="1538"/>
      <c r="R16" s="714"/>
      <c r="S16" s="715"/>
      <c r="T16" s="714"/>
      <c r="U16" s="715"/>
      <c r="V16" s="714"/>
      <c r="W16" s="715"/>
      <c r="X16" s="1541"/>
      <c r="Y16" s="3385"/>
      <c r="Z16" s="1542"/>
      <c r="AA16" s="1539">
        <v>1</v>
      </c>
      <c r="AB16" s="1539">
        <v>1</v>
      </c>
      <c r="AC16" s="1539">
        <v>1</v>
      </c>
    </row>
    <row r="17" spans="1:29" ht="85.5">
      <c r="A17" s="387"/>
      <c r="B17" s="587" t="s">
        <v>2529</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85"/>
      <c r="Q17" s="1538" t="str">
        <f>B17</f>
        <v>交通便捷度</v>
      </c>
      <c r="R17" s="714" t="s">
        <v>17</v>
      </c>
      <c r="S17" s="715">
        <f>F17</f>
        <v>100</v>
      </c>
      <c r="T17" s="714" t="s">
        <v>17</v>
      </c>
      <c r="U17" s="715">
        <f>H17</f>
        <v>100</v>
      </c>
      <c r="V17" s="714" t="s">
        <v>17</v>
      </c>
      <c r="W17" s="715">
        <f>J17</f>
        <v>100</v>
      </c>
      <c r="X17" s="1541"/>
      <c r="Y17" s="3385"/>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85"/>
      <c r="Q18" s="1538"/>
      <c r="R18" s="714"/>
      <c r="S18" s="715"/>
      <c r="T18" s="714"/>
      <c r="U18" s="715"/>
      <c r="V18" s="714"/>
      <c r="W18" s="715"/>
      <c r="X18" s="1541"/>
      <c r="Y18" s="3385"/>
      <c r="Z18" s="1542"/>
      <c r="AA18" s="1539">
        <v>1</v>
      </c>
      <c r="AB18" s="1539">
        <v>1</v>
      </c>
      <c r="AC18" s="1539">
        <v>1</v>
      </c>
    </row>
    <row r="19" spans="1:29" ht="15">
      <c r="A19" s="387"/>
      <c r="B19" s="587" t="s">
        <v>2568</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85"/>
      <c r="Q19" s="1538" t="str">
        <f t="shared" ref="Q19:Q33" si="8">B19</f>
        <v>区域土地利用方向</v>
      </c>
      <c r="R19" s="714" t="s">
        <v>17</v>
      </c>
      <c r="S19" s="715">
        <f>F19</f>
        <v>100</v>
      </c>
      <c r="T19" s="714" t="s">
        <v>17</v>
      </c>
      <c r="U19" s="715">
        <f>H19</f>
        <v>100</v>
      </c>
      <c r="V19" s="714" t="s">
        <v>17</v>
      </c>
      <c r="W19" s="715">
        <f>J19</f>
        <v>100</v>
      </c>
      <c r="X19" s="1541"/>
      <c r="Y19" s="3385"/>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85"/>
      <c r="Q20" s="1538"/>
      <c r="R20" s="714"/>
      <c r="S20" s="715"/>
      <c r="T20" s="714"/>
      <c r="U20" s="715"/>
      <c r="V20" s="714"/>
      <c r="W20" s="715"/>
      <c r="X20" s="1541"/>
      <c r="Y20" s="3385"/>
      <c r="Z20" s="1542"/>
      <c r="AA20" s="1539"/>
      <c r="AB20" s="1539"/>
      <c r="AC20" s="1539"/>
    </row>
    <row r="21" spans="1:29" ht="71.25">
      <c r="A21" s="364"/>
      <c r="B21" s="587" t="s">
        <v>2618</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85"/>
      <c r="Q21" s="1538" t="str">
        <f t="shared" si="8"/>
        <v>环境状况</v>
      </c>
      <c r="R21" s="714" t="s">
        <v>17</v>
      </c>
      <c r="S21" s="715">
        <f>F21</f>
        <v>100</v>
      </c>
      <c r="T21" s="714" t="s">
        <v>17</v>
      </c>
      <c r="U21" s="715">
        <f>H21</f>
        <v>100</v>
      </c>
      <c r="V21" s="714" t="s">
        <v>17</v>
      </c>
      <c r="W21" s="715">
        <f>J21</f>
        <v>100</v>
      </c>
      <c r="X21" s="1541"/>
      <c r="Y21" s="3385"/>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85"/>
      <c r="Q22" s="1538"/>
      <c r="R22" s="714"/>
      <c r="S22" s="715"/>
      <c r="T22" s="714"/>
      <c r="U22" s="715"/>
      <c r="V22" s="714"/>
      <c r="W22" s="715"/>
      <c r="X22" s="1541"/>
      <c r="Y22" s="3385"/>
      <c r="Z22" s="1542"/>
      <c r="AA22" s="1539">
        <v>1</v>
      </c>
      <c r="AB22" s="1539">
        <v>1</v>
      </c>
      <c r="AC22" s="1539">
        <v>1</v>
      </c>
    </row>
    <row r="23" spans="1:29" s="113" customFormat="1" ht="42.75">
      <c r="A23" s="605"/>
      <c r="B23" s="589" t="s">
        <v>2474</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85"/>
      <c r="Q23" s="1529" t="str">
        <f t="shared" si="8"/>
        <v>公共配套设施</v>
      </c>
      <c r="R23" s="710" t="s">
        <v>17</v>
      </c>
      <c r="S23" s="711">
        <f>F23</f>
        <v>100</v>
      </c>
      <c r="T23" s="710" t="s">
        <v>17</v>
      </c>
      <c r="U23" s="711">
        <f>H23</f>
        <v>100</v>
      </c>
      <c r="V23" s="710" t="s">
        <v>17</v>
      </c>
      <c r="W23" s="711">
        <f>J23</f>
        <v>100</v>
      </c>
      <c r="X23" s="712"/>
      <c r="Y23" s="3385"/>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85"/>
      <c r="Q24" s="1529"/>
      <c r="R24" s="710"/>
      <c r="S24" s="711"/>
      <c r="T24" s="710"/>
      <c r="U24" s="711"/>
      <c r="V24" s="710"/>
      <c r="W24" s="711"/>
      <c r="X24" s="712"/>
      <c r="Y24" s="3385"/>
      <c r="Z24" s="55"/>
      <c r="AA24" s="713">
        <v>1</v>
      </c>
      <c r="AB24" s="713">
        <v>1</v>
      </c>
      <c r="AC24" s="713">
        <v>1</v>
      </c>
    </row>
    <row r="25" spans="1:29" s="113" customFormat="1" ht="28.5">
      <c r="A25" s="605"/>
      <c r="B25" s="589" t="s">
        <v>2475</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85"/>
      <c r="Q25" s="1529" t="str">
        <f t="shared" ref="Q25" si="9">B25</f>
        <v>基础设施水平</v>
      </c>
      <c r="R25" s="710" t="s">
        <v>17</v>
      </c>
      <c r="S25" s="711">
        <f>F25</f>
        <v>100</v>
      </c>
      <c r="T25" s="710" t="s">
        <v>17</v>
      </c>
      <c r="U25" s="711">
        <f>H25</f>
        <v>100</v>
      </c>
      <c r="V25" s="710" t="s">
        <v>17</v>
      </c>
      <c r="W25" s="711">
        <f>J25</f>
        <v>100</v>
      </c>
      <c r="X25" s="712"/>
      <c r="Y25" s="3385"/>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85"/>
      <c r="Q26" s="1529"/>
      <c r="R26" s="710"/>
      <c r="S26" s="711"/>
      <c r="T26" s="710"/>
      <c r="U26" s="711"/>
      <c r="V26" s="710"/>
      <c r="W26" s="711"/>
      <c r="X26" s="712"/>
      <c r="Y26" s="3385"/>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85"/>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85"/>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85"/>
      <c r="Q28" s="1538" t="str">
        <f t="shared" si="8"/>
        <v>毗邻道路的类型与等级</v>
      </c>
      <c r="R28" s="714" t="s">
        <v>17</v>
      </c>
      <c r="S28" s="715">
        <f t="shared" si="10"/>
        <v>100</v>
      </c>
      <c r="T28" s="714" t="s">
        <v>17</v>
      </c>
      <c r="U28" s="715">
        <f t="shared" si="11"/>
        <v>100</v>
      </c>
      <c r="V28" s="714" t="s">
        <v>17</v>
      </c>
      <c r="W28" s="715">
        <f t="shared" si="12"/>
        <v>100</v>
      </c>
      <c r="X28" s="1541"/>
      <c r="Y28" s="3385"/>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85"/>
      <c r="Q29" s="1538"/>
      <c r="R29" s="714"/>
      <c r="S29" s="715"/>
      <c r="T29" s="714"/>
      <c r="U29" s="715"/>
      <c r="V29" s="714"/>
      <c r="W29" s="715"/>
      <c r="X29" s="1541"/>
      <c r="Y29" s="3385"/>
      <c r="Z29" s="1542"/>
      <c r="AA29" s="1539">
        <v>1</v>
      </c>
      <c r="AB29" s="1539">
        <v>1</v>
      </c>
      <c r="AC29" s="1539">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85"/>
      <c r="Q30" s="1538" t="str">
        <f t="shared" si="8"/>
        <v>土地级别</v>
      </c>
      <c r="R30" s="714" t="s">
        <v>17</v>
      </c>
      <c r="S30" s="715">
        <f t="shared" si="10"/>
        <v>100</v>
      </c>
      <c r="T30" s="714" t="s">
        <v>17</v>
      </c>
      <c r="U30" s="715">
        <f t="shared" si="11"/>
        <v>100</v>
      </c>
      <c r="V30" s="714" t="s">
        <v>17</v>
      </c>
      <c r="W30" s="715">
        <f t="shared" si="12"/>
        <v>100</v>
      </c>
      <c r="X30" s="1541"/>
      <c r="Y30" s="3385"/>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85"/>
      <c r="Q31" s="1538">
        <f t="shared" si="8"/>
        <v>111</v>
      </c>
      <c r="R31" s="714" t="s">
        <v>17</v>
      </c>
      <c r="S31" s="715">
        <f t="shared" si="10"/>
        <v>100</v>
      </c>
      <c r="T31" s="714" t="s">
        <v>17</v>
      </c>
      <c r="U31" s="715">
        <f t="shared" si="11"/>
        <v>100</v>
      </c>
      <c r="V31" s="714" t="s">
        <v>17</v>
      </c>
      <c r="W31" s="715">
        <f t="shared" si="12"/>
        <v>100</v>
      </c>
      <c r="X31" s="1541"/>
      <c r="Y31" s="3385"/>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86" t="s">
        <v>2385</v>
      </c>
      <c r="Q32" s="1538">
        <f t="shared" si="8"/>
        <v>111</v>
      </c>
      <c r="R32" s="714" t="s">
        <v>17</v>
      </c>
      <c r="S32" s="715">
        <f t="shared" si="10"/>
        <v>100</v>
      </c>
      <c r="T32" s="714" t="s">
        <v>17</v>
      </c>
      <c r="U32" s="715">
        <f t="shared" si="11"/>
        <v>100</v>
      </c>
      <c r="V32" s="714" t="s">
        <v>17</v>
      </c>
      <c r="W32" s="715">
        <f t="shared" si="12"/>
        <v>100</v>
      </c>
      <c r="X32" s="1541"/>
      <c r="Y32" s="3387" t="s">
        <v>2385</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87"/>
      <c r="Q33" s="1538">
        <f t="shared" si="8"/>
        <v>111</v>
      </c>
      <c r="R33" s="717" t="s">
        <v>17</v>
      </c>
      <c r="S33" s="718">
        <f t="shared" si="10"/>
        <v>100</v>
      </c>
      <c r="T33" s="717" t="s">
        <v>17</v>
      </c>
      <c r="U33" s="718">
        <f t="shared" si="11"/>
        <v>100</v>
      </c>
      <c r="V33" s="717" t="s">
        <v>17</v>
      </c>
      <c r="W33" s="718">
        <f t="shared" si="12"/>
        <v>100</v>
      </c>
      <c r="X33" s="719"/>
      <c r="Y33" s="3387"/>
      <c r="Z33" s="720">
        <f t="shared" si="13"/>
        <v>111</v>
      </c>
      <c r="AA33" s="1539">
        <f t="shared" si="3"/>
        <v>1</v>
      </c>
      <c r="AB33" s="1539">
        <f t="shared" si="4"/>
        <v>1</v>
      </c>
      <c r="AC33" s="1539">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87"/>
      <c r="Q34" s="1538" t="str">
        <f>B34</f>
        <v>宗地面积</v>
      </c>
      <c r="R34" s="714" t="s">
        <v>17</v>
      </c>
      <c r="S34" s="715" t="e">
        <f t="shared" si="10"/>
        <v>#N/A</v>
      </c>
      <c r="T34" s="714" t="s">
        <v>17</v>
      </c>
      <c r="U34" s="715" t="e">
        <f t="shared" si="11"/>
        <v>#N/A</v>
      </c>
      <c r="V34" s="714" t="s">
        <v>17</v>
      </c>
      <c r="W34" s="715" t="e">
        <f t="shared" si="12"/>
        <v>#N/A</v>
      </c>
      <c r="X34" s="1541"/>
      <c r="Y34" s="3387"/>
      <c r="Z34" s="1542" t="str">
        <f t="shared" si="13"/>
        <v>宗地面积</v>
      </c>
      <c r="AA34" s="1539" t="e">
        <f t="shared" si="3"/>
        <v>#N/A</v>
      </c>
      <c r="AB34" s="1539" t="e">
        <f t="shared" si="4"/>
        <v>#N/A</v>
      </c>
      <c r="AC34" s="1539" t="e">
        <f t="shared" si="5"/>
        <v>#N/A</v>
      </c>
    </row>
    <row r="35" spans="1:31" ht="15">
      <c r="A35" s="431"/>
      <c r="B35" s="381" t="s">
        <v>2572</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87"/>
      <c r="Q35" s="1538" t="str">
        <f t="shared" ref="Q35:Q40" si="14">B35</f>
        <v>宗地形状</v>
      </c>
      <c r="R35" s="714" t="s">
        <v>17</v>
      </c>
      <c r="S35" s="715">
        <f t="shared" si="10"/>
        <v>100</v>
      </c>
      <c r="T35" s="714" t="s">
        <v>17</v>
      </c>
      <c r="U35" s="715">
        <f t="shared" si="11"/>
        <v>100</v>
      </c>
      <c r="V35" s="714" t="s">
        <v>17</v>
      </c>
      <c r="W35" s="715">
        <f t="shared" si="12"/>
        <v>100</v>
      </c>
      <c r="X35" s="1541"/>
      <c r="Y35" s="3387"/>
      <c r="Z35" s="1542" t="str">
        <f t="shared" si="13"/>
        <v>宗地形状</v>
      </c>
      <c r="AA35" s="1539">
        <f t="shared" si="3"/>
        <v>1</v>
      </c>
      <c r="AB35" s="1539">
        <f t="shared" si="4"/>
        <v>1</v>
      </c>
      <c r="AC35" s="1539">
        <f t="shared" si="5"/>
        <v>1</v>
      </c>
    </row>
    <row r="36" spans="1:31" s="113" customFormat="1" ht="15">
      <c r="A36" s="432"/>
      <c r="B36" s="381" t="s">
        <v>2574</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87"/>
      <c r="Q36" s="1538" t="str">
        <f t="shared" si="14"/>
        <v>宗地开发程度</v>
      </c>
      <c r="R36" s="710" t="s">
        <v>17</v>
      </c>
      <c r="S36" s="711">
        <f t="shared" si="10"/>
        <v>100</v>
      </c>
      <c r="T36" s="710" t="s">
        <v>17</v>
      </c>
      <c r="U36" s="711">
        <f t="shared" si="11"/>
        <v>100</v>
      </c>
      <c r="V36" s="710" t="s">
        <v>17</v>
      </c>
      <c r="W36" s="711">
        <f t="shared" si="12"/>
        <v>100</v>
      </c>
      <c r="X36" s="712"/>
      <c r="Y36" s="3387"/>
      <c r="Z36" s="55" t="str">
        <f t="shared" si="13"/>
        <v>宗地开发程度</v>
      </c>
      <c r="AA36" s="713">
        <f t="shared" si="3"/>
        <v>1</v>
      </c>
      <c r="AB36" s="713">
        <f t="shared" si="4"/>
        <v>1</v>
      </c>
      <c r="AC36" s="713">
        <f t="shared" si="5"/>
        <v>1</v>
      </c>
    </row>
    <row r="37" spans="1:31" ht="15">
      <c r="A37" s="431"/>
      <c r="B37" s="381" t="s">
        <v>2575</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87" t="s">
        <v>2385</v>
      </c>
      <c r="Q37" s="1538" t="str">
        <f t="shared" si="14"/>
        <v>工程地质条件</v>
      </c>
      <c r="R37" s="714" t="s">
        <v>17</v>
      </c>
      <c r="S37" s="715">
        <f t="shared" si="10"/>
        <v>100</v>
      </c>
      <c r="T37" s="714" t="s">
        <v>17</v>
      </c>
      <c r="U37" s="715">
        <f t="shared" si="11"/>
        <v>100</v>
      </c>
      <c r="V37" s="714" t="s">
        <v>17</v>
      </c>
      <c r="W37" s="715">
        <f t="shared" si="12"/>
        <v>100</v>
      </c>
      <c r="X37" s="1541"/>
      <c r="Y37" s="3387" t="s">
        <v>2385</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87"/>
      <c r="Q38" s="1538">
        <f t="shared" si="14"/>
        <v>111</v>
      </c>
      <c r="R38" s="714" t="s">
        <v>17</v>
      </c>
      <c r="S38" s="715">
        <f t="shared" si="10"/>
        <v>100</v>
      </c>
      <c r="T38" s="714" t="s">
        <v>17</v>
      </c>
      <c r="U38" s="715">
        <f t="shared" si="11"/>
        <v>100</v>
      </c>
      <c r="V38" s="714" t="s">
        <v>17</v>
      </c>
      <c r="W38" s="715">
        <f t="shared" si="12"/>
        <v>100</v>
      </c>
      <c r="X38" s="1541"/>
      <c r="Y38" s="3387"/>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87"/>
      <c r="Q39" s="1538">
        <f t="shared" si="14"/>
        <v>111</v>
      </c>
      <c r="R39" s="714" t="s">
        <v>17</v>
      </c>
      <c r="S39" s="715">
        <f t="shared" si="10"/>
        <v>100</v>
      </c>
      <c r="T39" s="714" t="s">
        <v>17</v>
      </c>
      <c r="U39" s="715">
        <f t="shared" si="11"/>
        <v>100</v>
      </c>
      <c r="V39" s="714" t="s">
        <v>17</v>
      </c>
      <c r="W39" s="715">
        <f t="shared" si="12"/>
        <v>100</v>
      </c>
      <c r="X39" s="1541"/>
      <c r="Y39" s="3387"/>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87"/>
      <c r="Q40" s="1538">
        <f t="shared" si="14"/>
        <v>111</v>
      </c>
      <c r="R40" s="717" t="s">
        <v>17</v>
      </c>
      <c r="S40" s="718">
        <f t="shared" si="10"/>
        <v>100</v>
      </c>
      <c r="T40" s="717" t="s">
        <v>17</v>
      </c>
      <c r="U40" s="718">
        <f t="shared" si="11"/>
        <v>100</v>
      </c>
      <c r="V40" s="717" t="s">
        <v>17</v>
      </c>
      <c r="W40" s="718">
        <f t="shared" si="12"/>
        <v>100</v>
      </c>
      <c r="X40" s="719"/>
      <c r="Y40" s="3387"/>
      <c r="Z40" s="720">
        <f t="shared" si="13"/>
        <v>111</v>
      </c>
      <c r="AA40" s="1539">
        <f t="shared" si="3"/>
        <v>1</v>
      </c>
      <c r="AB40" s="1539">
        <f t="shared" si="4"/>
        <v>1</v>
      </c>
      <c r="AC40" s="1539">
        <f t="shared" si="5"/>
        <v>1</v>
      </c>
    </row>
    <row r="41" spans="1:31" ht="15">
      <c r="A41" s="438" t="s">
        <v>2540</v>
      </c>
      <c r="B41" s="2170" t="s">
        <v>2619</v>
      </c>
      <c r="C41" s="638" t="s">
        <v>1</v>
      </c>
      <c r="D41" s="440"/>
      <c r="E41" s="441"/>
      <c r="F41" s="442"/>
      <c r="G41" s="443"/>
      <c r="H41" s="444"/>
      <c r="I41" s="441"/>
      <c r="J41" s="444"/>
      <c r="K41" s="723"/>
      <c r="L41" s="2955"/>
      <c r="M41" s="2947"/>
      <c r="N41" s="2947"/>
      <c r="O41" s="2956"/>
      <c r="P41" s="3382" t="str">
        <f>A41</f>
        <v>成交单价</v>
      </c>
      <c r="Q41" s="3382"/>
      <c r="R41" s="3388">
        <f>E41</f>
        <v>0</v>
      </c>
      <c r="S41" s="3388"/>
      <c r="T41" s="3388">
        <f>G41</f>
        <v>0</v>
      </c>
      <c r="U41" s="3388"/>
      <c r="V41" s="3388">
        <f>I41</f>
        <v>0</v>
      </c>
      <c r="W41" s="3388"/>
      <c r="X41" s="699"/>
      <c r="Y41" s="721"/>
      <c r="Z41" s="699"/>
      <c r="AA41" s="699"/>
      <c r="AB41" s="699"/>
      <c r="AC41" s="699"/>
    </row>
    <row r="42" spans="1:31" ht="15.75" thickBot="1">
      <c r="A42" s="445" t="s">
        <v>2489</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382" t="str">
        <f>A42</f>
        <v>比较价值（元/平方米）</v>
      </c>
      <c r="Q42" s="3382"/>
      <c r="R42" s="3375" t="e">
        <f>ROUND(PRODUCT(R41,AA7:AA40),0)</f>
        <v>#DIV/0!</v>
      </c>
      <c r="S42" s="3375"/>
      <c r="T42" s="3375" t="e">
        <f>ROUND(PRODUCT(T41,AB7:AB40),0)</f>
        <v>#DIV/0!</v>
      </c>
      <c r="U42" s="3375"/>
      <c r="V42" s="3375" t="e">
        <f>ROUND(PRODUCT(V41,AC7:AC40),0)</f>
        <v>#DIV/0!</v>
      </c>
      <c r="W42" s="3375"/>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5"/>
      <c r="M43" s="2947"/>
      <c r="N43" s="2947"/>
      <c r="O43" s="2956"/>
      <c r="P43" s="3376" t="str">
        <f>A43</f>
        <v>估价对象XX用房的比较价值（楼面单价，元/平方米）</v>
      </c>
      <c r="Q43" s="3377"/>
      <c r="R43" s="3378" t="e">
        <f>ROUND(IF(D42="简单平均",AVERAGE(R42:W42),R42*F42+T42*H42+V42*J42),0)</f>
        <v>#DIV/0!</v>
      </c>
      <c r="S43" s="3378"/>
      <c r="T43" s="3378"/>
      <c r="U43" s="3378"/>
      <c r="V43" s="3378"/>
      <c r="W43" s="3378"/>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2577</v>
      </c>
      <c r="B50" s="641" t="s">
        <v>2578</v>
      </c>
      <c r="C50" s="2171" t="s">
        <v>2579</v>
      </c>
      <c r="D50" s="2172" t="s">
        <v>2580</v>
      </c>
      <c r="E50" s="642" t="s">
        <v>2581</v>
      </c>
      <c r="F50" s="643" t="s">
        <v>2582</v>
      </c>
      <c r="G50" s="3379" t="s">
        <v>2583</v>
      </c>
      <c r="H50" s="3380"/>
      <c r="I50" s="1542" t="s">
        <v>2620</v>
      </c>
      <c r="J50" s="1542">
        <f>项目基本情况!F35</f>
        <v>0</v>
      </c>
      <c r="K50" s="2174" t="s">
        <v>2585</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2586</v>
      </c>
      <c r="B51" s="645" t="e">
        <f>C43</f>
        <v>#DIV/0!</v>
      </c>
      <c r="C51" s="646">
        <v>1</v>
      </c>
      <c r="D51" s="1075">
        <v>1</v>
      </c>
      <c r="E51" s="646">
        <f>'数据-汇总表'!E8+'数据-汇总表'!E9</f>
        <v>5790.6600000000008</v>
      </c>
      <c r="F51" s="647" t="e">
        <f t="shared" ref="F51:F60" si="15">ROUND(B51*E51/10000,0)</f>
        <v>#DIV/0!</v>
      </c>
      <c r="G51" s="3381"/>
      <c r="H51" s="3382"/>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2587</v>
      </c>
      <c r="B52" s="224" t="e">
        <f>ROUND($C$43*C52*D52,0)</f>
        <v>#DIV/0!</v>
      </c>
      <c r="C52" s="176">
        <f t="shared" ref="C52:C60" si="16">IF($C$50="北京市系数",I52,J52)</f>
        <v>0</v>
      </c>
      <c r="D52" s="1076">
        <v>0.25</v>
      </c>
      <c r="E52" s="650"/>
      <c r="F52" s="647" t="e">
        <f t="shared" si="15"/>
        <v>#DIV/0!</v>
      </c>
      <c r="G52" s="3383" t="s">
        <v>2588</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2589</v>
      </c>
      <c r="B53" s="224" t="e">
        <f t="shared" ref="B53:B60" si="17">ROUND($C$43*C53*D53,0)</f>
        <v>#DIV/0!</v>
      </c>
      <c r="C53" s="176">
        <f t="shared" si="16"/>
        <v>0</v>
      </c>
      <c r="D53" s="1076">
        <v>0.25</v>
      </c>
      <c r="E53" s="650"/>
      <c r="F53" s="647" t="e">
        <f t="shared" si="15"/>
        <v>#DIV/0!</v>
      </c>
      <c r="G53" s="3383"/>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2590</v>
      </c>
      <c r="B54" s="224" t="e">
        <f t="shared" si="17"/>
        <v>#DIV/0!</v>
      </c>
      <c r="C54" s="176">
        <f t="shared" si="16"/>
        <v>0</v>
      </c>
      <c r="D54" s="1076">
        <v>0.25</v>
      </c>
      <c r="E54" s="650"/>
      <c r="F54" s="647" t="e">
        <f t="shared" si="15"/>
        <v>#DIV/0!</v>
      </c>
      <c r="G54" s="3383"/>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2591</v>
      </c>
      <c r="B55" s="224" t="e">
        <f t="shared" si="17"/>
        <v>#DIV/0!</v>
      </c>
      <c r="C55" s="176">
        <f t="shared" si="16"/>
        <v>0</v>
      </c>
      <c r="D55" s="1076">
        <v>0.25</v>
      </c>
      <c r="E55" s="650"/>
      <c r="F55" s="647" t="e">
        <f t="shared" si="15"/>
        <v>#DIV/0!</v>
      </c>
      <c r="G55" s="3383"/>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2592</v>
      </c>
      <c r="B56" s="224" t="e">
        <f t="shared" si="17"/>
        <v>#DIV/0!</v>
      </c>
      <c r="C56" s="176">
        <f t="shared" si="16"/>
        <v>0</v>
      </c>
      <c r="D56" s="1076">
        <v>0.25</v>
      </c>
      <c r="E56" s="223">
        <f>'数据-汇总表'!E11</f>
        <v>0</v>
      </c>
      <c r="F56" s="647" t="e">
        <f t="shared" si="15"/>
        <v>#DIV/0!</v>
      </c>
      <c r="G56" s="2175" t="s">
        <v>2593</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2598</v>
      </c>
      <c r="B59" s="224" t="e">
        <f t="shared" si="17"/>
        <v>#DIV/0!</v>
      </c>
      <c r="C59" s="176">
        <f t="shared" si="16"/>
        <v>0</v>
      </c>
      <c r="D59" s="1076">
        <v>0.25</v>
      </c>
      <c r="E59" s="223">
        <f>'数据-汇总表'!E14</f>
        <v>0</v>
      </c>
      <c r="F59" s="647" t="e">
        <f t="shared" si="15"/>
        <v>#DIV/0!</v>
      </c>
      <c r="G59" s="2175" t="s">
        <v>2588</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2599</v>
      </c>
      <c r="B60" s="224" t="e">
        <f t="shared" si="17"/>
        <v>#DIV/0!</v>
      </c>
      <c r="C60" s="176">
        <f t="shared" si="16"/>
        <v>0</v>
      </c>
      <c r="D60" s="1076">
        <v>0.25</v>
      </c>
      <c r="E60" s="223">
        <f>'数据-汇总表'!E15</f>
        <v>0</v>
      </c>
      <c r="F60" s="647" t="e">
        <f t="shared" si="15"/>
        <v>#DIV/0!</v>
      </c>
      <c r="G60" s="2176" t="s">
        <v>2593</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2600</v>
      </c>
      <c r="B61" s="652" t="s">
        <v>28</v>
      </c>
      <c r="C61" s="652" t="s">
        <v>29</v>
      </c>
      <c r="D61" s="652" t="s">
        <v>997</v>
      </c>
      <c r="E61" s="652">
        <f>IF(B41="楼面地价",SUM(E51:E60),'数据-汇总表'!D3)</f>
        <v>10684.47</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6"/>
      <c r="Q63" s="2956"/>
      <c r="R63" s="2956"/>
      <c r="S63" s="2956"/>
      <c r="T63" s="2956"/>
      <c r="U63" s="2956"/>
      <c r="V63" s="2956"/>
      <c r="W63" s="2956"/>
      <c r="X63" s="2956"/>
      <c r="Y63" s="2956"/>
      <c r="Z63" s="2956"/>
      <c r="AA63" s="2956"/>
      <c r="AB63" s="2956"/>
      <c r="AC63" s="2956"/>
      <c r="AD63" s="2956"/>
      <c r="AE63" s="2956"/>
    </row>
    <row r="64" spans="1:31" ht="21.75" thickBot="1">
      <c r="A64" s="703" t="s">
        <v>2494</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2601</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2621</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2405</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2370</v>
      </c>
      <c r="B68" s="467"/>
      <c r="C68" s="479" t="s">
        <v>2472</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2408</v>
      </c>
      <c r="B70" s="485" t="s">
        <v>2374</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2377</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2379</v>
      </c>
      <c r="B83" s="485" t="s">
        <v>2525</v>
      </c>
      <c r="C83" s="530" t="s">
        <v>2417</v>
      </c>
      <c r="D83" s="530" t="s">
        <v>2418</v>
      </c>
      <c r="E83" s="530" t="s">
        <v>2419</v>
      </c>
      <c r="F83" s="530" t="s">
        <v>2420</v>
      </c>
      <c r="G83" s="530" t="s">
        <v>2421</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2422</v>
      </c>
      <c r="C85" s="535" t="s">
        <v>2417</v>
      </c>
      <c r="D85" s="535" t="s">
        <v>2418</v>
      </c>
      <c r="E85" s="535" t="s">
        <v>2419</v>
      </c>
      <c r="F85" s="535" t="s">
        <v>2420</v>
      </c>
      <c r="G85" s="535" t="s">
        <v>2421</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2604</v>
      </c>
      <c r="C87" s="530" t="s">
        <v>2417</v>
      </c>
      <c r="D87" s="530" t="s">
        <v>2418</v>
      </c>
      <c r="E87" s="530" t="s">
        <v>2419</v>
      </c>
      <c r="F87" s="530" t="s">
        <v>2420</v>
      </c>
      <c r="G87" s="530" t="s">
        <v>2421</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2605</v>
      </c>
      <c r="C89" s="530" t="s">
        <v>2417</v>
      </c>
      <c r="D89" s="530" t="s">
        <v>2418</v>
      </c>
      <c r="E89" s="530" t="s">
        <v>2419</v>
      </c>
      <c r="F89" s="530" t="s">
        <v>2420</v>
      </c>
      <c r="G89" s="530" t="s">
        <v>2421</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2622</v>
      </c>
      <c r="C93" s="616" t="s">
        <v>2495</v>
      </c>
      <c r="D93" s="616" t="s">
        <v>2496</v>
      </c>
      <c r="E93" s="616" t="s">
        <v>2497</v>
      </c>
      <c r="F93" s="616" t="s">
        <v>2498</v>
      </c>
      <c r="G93" s="616" t="s">
        <v>2499</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2511</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2570</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2383</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2611</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2613</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2614</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U518" sqref="U518"/>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2623</v>
      </c>
      <c r="B1" s="203"/>
      <c r="C1" s="207" t="s">
        <v>2624</v>
      </c>
      <c r="D1" s="348">
        <f>SUM(D29:D30,D33:D39)</f>
        <v>0</v>
      </c>
      <c r="E1" s="2183"/>
      <c r="F1" s="2183"/>
      <c r="G1" s="2183"/>
      <c r="H1" s="2183"/>
      <c r="I1" s="2183"/>
      <c r="J1" s="2183"/>
      <c r="K1" s="1280"/>
      <c r="L1" s="2184" t="s">
        <v>2625</v>
      </c>
      <c r="M1" s="994">
        <f>SUMPRODUCT((区片价!B5:B9=I2)*(区片价!C3:F3=E2)*(区片价!C5:F9))</f>
        <v>0</v>
      </c>
      <c r="N1" s="997">
        <f>SUMPRODUCT((因素修正幅度!B5:B9=I2)*(因素修正幅度!C3:F3=E2)*(因素修正幅度!C5:F9))</f>
        <v>0</v>
      </c>
      <c r="O1" s="2185"/>
      <c r="P1" s="2185"/>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t="e">
        <f>C26</f>
        <v>#DIV/0!</v>
      </c>
      <c r="C2" s="2187" t="s">
        <v>2632</v>
      </c>
      <c r="D2" s="2188" t="s">
        <v>2633</v>
      </c>
      <c r="E2" s="2189"/>
      <c r="F2" s="2188" t="s">
        <v>2634</v>
      </c>
      <c r="G2" s="2190">
        <f>IF(E2="商业",项目基本情况!B37,IF(E2="办公",项目基本情况!C37,IF(E2="住宅",项目基本情况!D37,项目基本情况!E37)))</f>
        <v>0</v>
      </c>
      <c r="H2" s="2188" t="s">
        <v>2635</v>
      </c>
      <c r="I2" s="2190">
        <f>IF(E2="商业",项目基本情况!B38,IF(E2="办公",项目基本情况!C38,IF(E2="住宅",项目基本情况!D38,项目基本情况!E38)))</f>
        <v>0</v>
      </c>
      <c r="J2" s="2191"/>
      <c r="K2" s="1280"/>
      <c r="L2" s="2192"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2637</v>
      </c>
      <c r="B3" s="210" t="e">
        <f>ROUND(B2*10000/D1,0)</f>
        <v>#DIV/0!</v>
      </c>
      <c r="C3" s="2187" t="s">
        <v>2638</v>
      </c>
      <c r="D3" s="2188" t="s">
        <v>2639</v>
      </c>
      <c r="E3" s="2193"/>
      <c r="F3" s="2194" t="s">
        <v>2640</v>
      </c>
      <c r="G3" s="855">
        <f>IF(F3="宗地容积率",'数据-汇总表'!I4,IF(F3="估价对象容积率",'数据-汇总表'!I6,'数据-汇总表'!I7))</f>
        <v>0.6</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77"/>
      <c r="B4" s="3478"/>
      <c r="C4" s="3478"/>
      <c r="D4" s="3479"/>
      <c r="E4" s="3479"/>
      <c r="F4" s="3479"/>
      <c r="G4" s="3479"/>
      <c r="H4" s="3479"/>
      <c r="I4" s="3479"/>
      <c r="J4" s="3480"/>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t="e">
        <f>ROUND(IF(E2="商业",C6*C7+C16,(IF(E2="住宅",C6*C12+C16,C6+C16))),0)</f>
        <v>#DIV/0!</v>
      </c>
      <c r="D5" s="1525" t="e">
        <f>ROUND(C6+C16,0)</f>
        <v>#DIV/0!</v>
      </c>
      <c r="E5" s="1525"/>
      <c r="F5" s="2197"/>
      <c r="G5" s="2198"/>
      <c r="H5" s="2198"/>
      <c r="I5" s="2198"/>
      <c r="J5" s="2199"/>
      <c r="K5" s="2200"/>
      <c r="L5" s="2192"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481" t="str">
        <f>IF(E2="商业",IF(C8="不临58条商业街","",2),"")</f>
        <v/>
      </c>
      <c r="B7" s="2211" t="s">
        <v>2651</v>
      </c>
      <c r="C7" s="858" t="e">
        <f>IF(C8="不临58条商业街",1,ROUND(1+(1.6*E8+1.2*E9+0.8*E10+0.4*E11)*C9,4))</f>
        <v>#DIV/0!</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2654</v>
      </c>
      <c r="X7" s="1376">
        <f>G2</f>
        <v>0</v>
      </c>
      <c r="Y7" s="1376" t="s">
        <v>2655</v>
      </c>
      <c r="Z7" s="1377">
        <f>G3</f>
        <v>0.6</v>
      </c>
      <c r="AA7" s="1378"/>
      <c r="AB7" s="1378"/>
      <c r="AC7" s="1379"/>
      <c r="AD7" s="1380"/>
      <c r="AE7" s="1380"/>
      <c r="AF7" s="1380"/>
      <c r="AG7" s="1380"/>
      <c r="AH7" s="1380"/>
      <c r="AI7" s="1380"/>
      <c r="AJ7" s="1381"/>
    </row>
    <row r="8" spans="1:36" ht="15">
      <c r="A8" s="3482"/>
      <c r="B8" s="175" t="s">
        <v>2656</v>
      </c>
      <c r="C8" s="2216"/>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74" t="s">
        <v>2659</v>
      </c>
      <c r="X8" s="3475"/>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482"/>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76"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82"/>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76"/>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82"/>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76" t="s">
        <v>2683</v>
      </c>
      <c r="X11" s="1386" t="s">
        <v>2684</v>
      </c>
      <c r="Y11" s="1387">
        <f>$G$3</f>
        <v>0.6</v>
      </c>
      <c r="Z11" s="1387">
        <f t="shared" ref="Z11:AJ11" si="3">$G$3</f>
        <v>0.6</v>
      </c>
      <c r="AA11" s="1387">
        <f t="shared" si="3"/>
        <v>0.6</v>
      </c>
      <c r="AB11" s="1387">
        <f t="shared" si="3"/>
        <v>0.6</v>
      </c>
      <c r="AC11" s="1387">
        <f t="shared" si="3"/>
        <v>0.6</v>
      </c>
      <c r="AD11" s="1387">
        <f t="shared" si="3"/>
        <v>0.6</v>
      </c>
      <c r="AE11" s="1387">
        <f t="shared" si="3"/>
        <v>0.6</v>
      </c>
      <c r="AF11" s="1387">
        <f t="shared" si="3"/>
        <v>0.6</v>
      </c>
      <c r="AG11" s="1387">
        <f t="shared" si="3"/>
        <v>0.6</v>
      </c>
      <c r="AH11" s="1387">
        <f t="shared" si="3"/>
        <v>0.6</v>
      </c>
      <c r="AI11" s="1387">
        <f t="shared" si="3"/>
        <v>0.6</v>
      </c>
      <c r="AJ11" s="1387">
        <f t="shared" si="3"/>
        <v>0.6</v>
      </c>
    </row>
    <row r="12" spans="1:36" ht="25.5" thickBot="1">
      <c r="A12" s="3481"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76"/>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83"/>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t="e">
        <f t="shared" si="0"/>
        <v>#DIV/0!</v>
      </c>
      <c r="U13" s="1375"/>
      <c r="V13" s="1374" t="e">
        <f t="shared" si="1"/>
        <v>#DIV/0!</v>
      </c>
      <c r="W13" s="3476"/>
      <c r="X13" s="1388"/>
      <c r="Y13" s="1385">
        <f>(-0.163*(Y12^2)-0.59*Y12+7617)*(10^(-4))/Y11</f>
        <v>1.2695000000000001</v>
      </c>
      <c r="Z13" s="1385">
        <f t="shared" ref="Z13:AJ13" si="5">(-0.163*(Z12^2)-0.59*Z12+7617)*(10^(-4))/Z11</f>
        <v>1.2695000000000001</v>
      </c>
      <c r="AA13" s="1385">
        <f t="shared" si="5"/>
        <v>1.2695000000000001</v>
      </c>
      <c r="AB13" s="1385">
        <f t="shared" si="5"/>
        <v>1.2695000000000001</v>
      </c>
      <c r="AC13" s="1385">
        <f t="shared" si="5"/>
        <v>1.2695000000000001</v>
      </c>
      <c r="AD13" s="1385">
        <f t="shared" si="5"/>
        <v>1.2695000000000001</v>
      </c>
      <c r="AE13" s="1385">
        <f t="shared" si="5"/>
        <v>1.2695000000000001</v>
      </c>
      <c r="AF13" s="1385">
        <f t="shared" si="5"/>
        <v>1.2695000000000001</v>
      </c>
      <c r="AG13" s="1385">
        <f t="shared" si="5"/>
        <v>1.2695000000000001</v>
      </c>
      <c r="AH13" s="1385">
        <f t="shared" si="5"/>
        <v>1.2695000000000001</v>
      </c>
      <c r="AI13" s="1385">
        <f t="shared" si="5"/>
        <v>1.2695000000000001</v>
      </c>
      <c r="AJ13" s="1385">
        <f t="shared" si="5"/>
        <v>1.2695000000000001</v>
      </c>
    </row>
    <row r="14" spans="1:36" ht="15">
      <c r="A14" s="3483"/>
      <c r="B14" s="2234"/>
      <c r="C14" s="2235"/>
      <c r="D14" s="2236"/>
      <c r="E14" s="2236"/>
      <c r="F14" s="2237"/>
      <c r="G14" s="2238" t="s">
        <v>2696</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484"/>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481" t="s">
        <v>2702</v>
      </c>
      <c r="B16" s="2211" t="s">
        <v>2703</v>
      </c>
      <c r="C16" s="2373" t="e">
        <f>ROUND(IF(F17="与级别开发程度一致",0,(G17-E17)/C17),0)</f>
        <v>#DIV/0!</v>
      </c>
      <c r="D16" s="3497" t="s">
        <v>2707</v>
      </c>
      <c r="E16" s="3498"/>
      <c r="F16" s="3497" t="s">
        <v>2704</v>
      </c>
      <c r="G16" s="3498"/>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485"/>
      <c r="B17" s="2384" t="s">
        <v>2706</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2710</v>
      </c>
      <c r="C19" s="863" t="e">
        <f>ROUND(IF(H19="按公示增长率计算",SUMPRODUCT((地价!A3:A33=YEAR(G19)&amp;"-"&amp;ROUNDUP(MONTH(G19)/3,0))*(地价!X2:AB2=E2)*(地价!X3:AB33)),IF(H19="地价指数",M20/M19,(1+I19)^O19)),4)</f>
        <v>#VALUE!</v>
      </c>
      <c r="D19" s="2253" t="s">
        <v>2711</v>
      </c>
      <c r="E19" s="864">
        <v>41640</v>
      </c>
      <c r="F19" s="2253" t="s">
        <v>2712</v>
      </c>
      <c r="G19" s="865">
        <f>'数据-取费表'!B2</f>
        <v>44203</v>
      </c>
      <c r="H19" s="2254"/>
      <c r="I19" s="866" t="str">
        <f>IF(H19="季度增幅（自定义）",SUMIF(N21:N24,E2,O21:O24),"")</f>
        <v/>
      </c>
      <c r="J19" s="2251"/>
      <c r="K19" s="1287"/>
      <c r="L19" s="2255" t="s">
        <v>2713</v>
      </c>
      <c r="M19" s="1498">
        <f>ROUND(SUMIF(地价!B2:F2,E2,地价!B33:F33),0)</f>
        <v>0</v>
      </c>
      <c r="N19" s="2256" t="s">
        <v>2714</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2715</v>
      </c>
      <c r="C20" s="868" t="e">
        <f>ROUND(POWER(1+G20,J20-I20)*(POWER(1+G20,I20)-1)/(POWER(1+G20,J20)-1),4)</f>
        <v>#DIV/0!</v>
      </c>
      <c r="D20" s="2260" t="s">
        <v>2716</v>
      </c>
      <c r="E20" s="1507">
        <f ca="1">存贷款利率!D4/100</f>
        <v>4.3499999999999997E-2</v>
      </c>
      <c r="F20" s="2260" t="s">
        <v>2708</v>
      </c>
      <c r="G20" s="873">
        <f>SUMIF(M26:P26,E2,M28:P28)</f>
        <v>0</v>
      </c>
      <c r="H20" s="2260" t="s">
        <v>2717</v>
      </c>
      <c r="I20" s="874" t="e">
        <f>SUMIF('数据-取费表'!C6:C15,E2,'数据-取费表'!F6:F15)/COUNTIF('数据-取费表'!C6:C15,E2)</f>
        <v>#DIV/0!</v>
      </c>
      <c r="J20" s="875">
        <f>IF(E2="住宅",70,IF(E2="商业",40,50))</f>
        <v>50</v>
      </c>
      <c r="K20" s="1287"/>
      <c r="L20" s="2261" t="s">
        <v>2718</v>
      </c>
      <c r="M20" s="1499">
        <f>ROUND(SUMPRODUCT((地价!A4:A33=YEAR(G19)&amp;"-"&amp;ROUNDUP(MONTH(G19)/3,0))*(地价!B2:F2=E2)*(地价!B4:F33)),0)</f>
        <v>0</v>
      </c>
      <c r="N20" s="2262" t="s">
        <v>2719</v>
      </c>
      <c r="O20" s="2263" t="s">
        <v>2720</v>
      </c>
      <c r="P20" s="2264" t="s">
        <v>2721</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2722</v>
      </c>
      <c r="C21" s="876">
        <f>IF(B21="容积率修正",IF(G3&lt;=10,D22,J22),C23)</f>
        <v>0</v>
      </c>
      <c r="D21" s="2267"/>
      <c r="E21" s="2267"/>
      <c r="F21" s="2267"/>
      <c r="G21" s="2267"/>
      <c r="H21" s="2267"/>
      <c r="I21" s="2267"/>
      <c r="J21" s="2268"/>
      <c r="K21" s="1287"/>
      <c r="L21" s="3021"/>
      <c r="M21" s="3021"/>
      <c r="N21" s="2269" t="s">
        <v>2723</v>
      </c>
      <c r="O21" s="1335"/>
      <c r="P21" s="1336">
        <f>SUMPRODUCT((地价!A3:A33=YEAR(G19)&amp;"-"&amp;ROUNDUP(MONTH(G19)/3,0))*(地价!AD2:AH2=N21)*(地价!AD3:AH33))</f>
        <v>1.0999999999999999E-2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2724</v>
      </c>
      <c r="B22" s="2270" t="s">
        <v>2725</v>
      </c>
      <c r="C22" s="1538" t="s">
        <v>2726</v>
      </c>
      <c r="D22" s="1538" t="b">
        <f>IF(E22=G22,F22,IF(G3&lt;=10,ROUND(F22+(H22-F22)*(G3-E22)/(G22-E22),4),"——"))</f>
        <v>0</v>
      </c>
      <c r="E22" s="855">
        <f>ROUNDDOWN(G3,1)</f>
        <v>0.6</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0.6</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2727</v>
      </c>
      <c r="O22" s="1335"/>
      <c r="P22" s="1336">
        <f>SUMPRODUCT((地价!A3:A33=YEAR(G19)&amp;"-"&amp;ROUNDUP(MONTH(G19)/3,0))*(地价!AD2:AH2=N22)*(地价!AD3:AH33))</f>
        <v>1.0999999999999999E-2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0</v>
      </c>
      <c r="D24" s="2250"/>
      <c r="E24" s="2277"/>
      <c r="F24" s="2277"/>
      <c r="G24" s="2277"/>
      <c r="H24" s="2277"/>
      <c r="I24" s="2277"/>
      <c r="J24" s="2278"/>
      <c r="K24" s="1287"/>
      <c r="L24" s="3021"/>
      <c r="M24" s="3021"/>
      <c r="N24" s="2279" t="s">
        <v>2732</v>
      </c>
      <c r="O24" s="1337"/>
      <c r="P24" s="1338">
        <f>SUMPRODUCT((地价!A3:A33=YEAR(G19)&amp;"-"&amp;ROUNDUP(MONTH(G19)/3,0))*(地价!AD2:AH2=N24)*(地价!AD3:AH33))</f>
        <v>1.1900000000000001E-2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2733</v>
      </c>
      <c r="C25" s="869"/>
      <c r="D25" s="2214"/>
      <c r="E25" s="2214"/>
      <c r="F25" s="2281"/>
      <c r="G25" s="2214"/>
      <c r="H25" s="2214"/>
      <c r="I25" s="2214"/>
      <c r="J25" s="2215"/>
      <c r="K25" s="1280"/>
      <c r="L25" s="2185"/>
      <c r="M25" s="2185"/>
      <c r="N25" s="3016" t="s">
        <v>2734</v>
      </c>
      <c r="O25" s="3017"/>
      <c r="P25" s="3018">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t="e">
        <f>IF(B21="容积率修正",E29+SUM(E33:E39),SUM(V2:V16)+SUM(E33:E39))</f>
        <v>#DIV/0!</v>
      </c>
      <c r="D26" s="2283"/>
      <c r="E26" s="2239"/>
      <c r="F26" s="2284"/>
      <c r="G26" s="2239"/>
      <c r="H26" s="2239"/>
      <c r="I26" s="2239"/>
      <c r="J26" s="2285"/>
      <c r="K26" s="1280"/>
      <c r="L26" s="3019" t="s">
        <v>2633</v>
      </c>
      <c r="M26" s="2212" t="s">
        <v>2698</v>
      </c>
      <c r="N26" s="2212" t="s">
        <v>2699</v>
      </c>
      <c r="O26" s="2212" t="s">
        <v>2700</v>
      </c>
      <c r="P26" s="3020"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t="e">
        <f>E30+SUM(I33:I39)</f>
        <v>#DIV/0!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t="e">
        <f>ROUND(C5*C18*C19*C20*C21*C24,0)</f>
        <v>#DIV/0!</v>
      </c>
      <c r="D29" s="2298"/>
      <c r="E29" s="879" t="e">
        <f>ROUND(C29*D29/10000,0)</f>
        <v>#DIV/0!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t="e">
        <f>ROUND(IF(E2="工业",C29*M39,C29*M38),0)</f>
        <v>#DIV/0!</v>
      </c>
      <c r="D30" s="2304"/>
      <c r="E30" s="879" t="e">
        <f>ROUND(C30*D30/10000,0)</f>
        <v>#DIV/0!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494"/>
      <c r="B33" s="2314" t="s">
        <v>2749</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499"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495"/>
      <c r="B34" s="2231" t="s">
        <v>2750</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9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495"/>
      <c r="B35" s="2231" t="s">
        <v>2751</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49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496"/>
      <c r="B36" s="2231" t="s">
        <v>2752</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496"/>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t="e">
        <f>ROUND(POWER(1+E41,H41-G41)*(POWER(1+E41,G41)-1)/(POWER(1+E41,H41)-1),4)</f>
        <v>#DIV/0!</v>
      </c>
      <c r="D41" s="176" t="s">
        <v>2708</v>
      </c>
      <c r="E41" s="2371">
        <f>G20</f>
        <v>0</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2771</v>
      </c>
      <c r="B51" s="2336" t="s">
        <v>2772</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2774</v>
      </c>
      <c r="B53" s="2337" t="s">
        <v>2775</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2785</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2417</v>
      </c>
      <c r="K80" s="560" t="s">
        <v>2418</v>
      </c>
      <c r="L80" s="560" t="s">
        <v>2419</v>
      </c>
      <c r="M80" s="560" t="s">
        <v>2420</v>
      </c>
      <c r="N80" s="560" t="s">
        <v>2421</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2770</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2784</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2776</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2777</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2774</v>
      </c>
      <c r="B87" s="2337" t="s">
        <v>2788</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486" t="s">
        <v>2790</v>
      </c>
      <c r="B90" s="3486"/>
      <c r="C90" s="3486"/>
      <c r="D90" s="3486"/>
      <c r="E90" s="3486"/>
      <c r="F90" s="3486"/>
      <c r="G90" s="3486"/>
      <c r="H90" s="3486"/>
      <c r="I90" s="3486"/>
      <c r="J90" s="3486"/>
      <c r="K90" s="2345"/>
      <c r="L90" s="2345"/>
      <c r="M90" s="2345"/>
      <c r="N90" s="2345"/>
    </row>
    <row r="91" spans="1:37">
      <c r="A91" s="3488" t="s">
        <v>2791</v>
      </c>
      <c r="B91" s="3488" t="s">
        <v>2792</v>
      </c>
      <c r="C91" s="2299" t="s">
        <v>2793</v>
      </c>
      <c r="D91" s="2300"/>
      <c r="E91" s="2300"/>
      <c r="F91" s="2300"/>
      <c r="G91" s="2300"/>
      <c r="H91" s="2300"/>
      <c r="I91" s="2300"/>
      <c r="J91" s="2346"/>
      <c r="K91" s="2347"/>
      <c r="L91" s="2347"/>
      <c r="M91" s="2347"/>
      <c r="N91" s="2347"/>
    </row>
    <row r="92" spans="1:37">
      <c r="A92" s="3488"/>
      <c r="B92" s="3488"/>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489"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90"/>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90"/>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90"/>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90"/>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90"/>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90"/>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91"/>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89" t="s">
        <v>2795</v>
      </c>
      <c r="B101" s="2352" t="s">
        <v>2796</v>
      </c>
      <c r="C101" s="2353">
        <f>$G$3</f>
        <v>0.6</v>
      </c>
      <c r="D101" s="2353">
        <f t="shared" ref="D101:N101" si="31">$G$3</f>
        <v>0.6</v>
      </c>
      <c r="E101" s="2353">
        <f t="shared" si="31"/>
        <v>0.6</v>
      </c>
      <c r="F101" s="2353">
        <f t="shared" si="31"/>
        <v>0.6</v>
      </c>
      <c r="G101" s="2353">
        <f t="shared" si="31"/>
        <v>0.6</v>
      </c>
      <c r="H101" s="2353">
        <f t="shared" si="31"/>
        <v>0.6</v>
      </c>
      <c r="I101" s="2353">
        <f t="shared" si="31"/>
        <v>0.6</v>
      </c>
      <c r="J101" s="2353">
        <f t="shared" si="31"/>
        <v>0.6</v>
      </c>
      <c r="K101" s="2353">
        <f t="shared" si="31"/>
        <v>0.6</v>
      </c>
      <c r="L101" s="2353">
        <f t="shared" si="31"/>
        <v>0.6</v>
      </c>
      <c r="M101" s="2353">
        <f t="shared" si="31"/>
        <v>0.6</v>
      </c>
      <c r="N101" s="2353">
        <f t="shared" si="31"/>
        <v>0.6</v>
      </c>
    </row>
    <row r="102" spans="1:14">
      <c r="A102" s="3490"/>
      <c r="B102" s="2348">
        <v>1</v>
      </c>
      <c r="C102" s="2349">
        <f>1.9362/C101</f>
        <v>3.2269999999999999</v>
      </c>
      <c r="D102" s="2349">
        <f>1.9362/D101</f>
        <v>3.2269999999999999</v>
      </c>
      <c r="E102" s="2349">
        <f>1.8629/E101</f>
        <v>3.1048333333333336</v>
      </c>
      <c r="F102" s="2349">
        <f>1.8629/F101</f>
        <v>3.1048333333333336</v>
      </c>
      <c r="G102" s="2349">
        <f>1.8629/G101</f>
        <v>3.1048333333333336</v>
      </c>
      <c r="H102" s="2349">
        <f>1.8629/H101</f>
        <v>3.1048333333333336</v>
      </c>
      <c r="I102" s="2349">
        <f>1.8629/I101</f>
        <v>3.1048333333333336</v>
      </c>
      <c r="J102" s="2349">
        <f>1.942/J101</f>
        <v>3.2366666666666668</v>
      </c>
      <c r="K102" s="2349">
        <f>1.942/K101</f>
        <v>3.2366666666666668</v>
      </c>
      <c r="L102" s="2349">
        <f>1.942/L101</f>
        <v>3.2366666666666668</v>
      </c>
      <c r="M102" s="2349">
        <f>1.942/M101</f>
        <v>3.2366666666666668</v>
      </c>
      <c r="N102" s="2349">
        <f>1.942/N101</f>
        <v>3.2366666666666668</v>
      </c>
    </row>
    <row r="103" spans="1:14">
      <c r="A103" s="3490"/>
      <c r="B103" s="2348">
        <v>2</v>
      </c>
      <c r="C103" s="2349">
        <f>1.4198/C101</f>
        <v>2.3663333333333334</v>
      </c>
      <c r="D103" s="2349">
        <f>1.4198/D101</f>
        <v>2.3663333333333334</v>
      </c>
      <c r="E103" s="2349">
        <f>1.3372/E101</f>
        <v>2.2286666666666668</v>
      </c>
      <c r="F103" s="2349">
        <f>1.3372/F101</f>
        <v>2.2286666666666668</v>
      </c>
      <c r="G103" s="2349">
        <f>1.3372/G101</f>
        <v>2.2286666666666668</v>
      </c>
      <c r="H103" s="2349">
        <f>1.3372/H101</f>
        <v>2.2286666666666668</v>
      </c>
      <c r="I103" s="2349">
        <f>1.3372/I101</f>
        <v>2.2286666666666668</v>
      </c>
      <c r="J103" s="2349">
        <f>1.2799/J101</f>
        <v>2.1331666666666669</v>
      </c>
      <c r="K103" s="2349">
        <f>1.2799/K101</f>
        <v>2.1331666666666669</v>
      </c>
      <c r="L103" s="2349">
        <f>1.2799/L101</f>
        <v>2.1331666666666669</v>
      </c>
      <c r="M103" s="2349">
        <f>1.2799/M101</f>
        <v>2.1331666666666669</v>
      </c>
      <c r="N103" s="2349">
        <f>1.2799/N101</f>
        <v>2.1331666666666669</v>
      </c>
    </row>
    <row r="104" spans="1:14">
      <c r="A104" s="3490"/>
      <c r="B104" s="2348">
        <v>3</v>
      </c>
      <c r="C104" s="2349">
        <f>1.1594/C101</f>
        <v>1.9323333333333335</v>
      </c>
      <c r="D104" s="2349">
        <f>1.1594/D101</f>
        <v>1.9323333333333335</v>
      </c>
      <c r="E104" s="2349">
        <f>1.0788/E101</f>
        <v>1.798</v>
      </c>
      <c r="F104" s="2349">
        <f>1.0788/F101</f>
        <v>1.798</v>
      </c>
      <c r="G104" s="2349">
        <f>1.0788/G101</f>
        <v>1.798</v>
      </c>
      <c r="H104" s="2349">
        <f>1.0788/H101</f>
        <v>1.798</v>
      </c>
      <c r="I104" s="2349">
        <f>1.0788/I101</f>
        <v>1.798</v>
      </c>
      <c r="J104" s="2349">
        <f>1.0072/J101</f>
        <v>1.678666666666667</v>
      </c>
      <c r="K104" s="2349">
        <f>1.0072/K101</f>
        <v>1.678666666666667</v>
      </c>
      <c r="L104" s="2349">
        <f>1.0072/L101</f>
        <v>1.678666666666667</v>
      </c>
      <c r="M104" s="2349">
        <f>1.0072/M101</f>
        <v>1.678666666666667</v>
      </c>
      <c r="N104" s="2349">
        <f>1.0072/N101</f>
        <v>1.678666666666667</v>
      </c>
    </row>
    <row r="105" spans="1:14">
      <c r="A105" s="3490"/>
      <c r="B105" s="2348">
        <v>4</v>
      </c>
      <c r="C105" s="2349">
        <f>0.9622/C101</f>
        <v>1.6036666666666668</v>
      </c>
      <c r="D105" s="2349">
        <f>0.9622/D101</f>
        <v>1.6036666666666668</v>
      </c>
      <c r="E105" s="2349">
        <f>0.8656/E101</f>
        <v>1.4426666666666668</v>
      </c>
      <c r="F105" s="2349">
        <f>0.8656/F101</f>
        <v>1.4426666666666668</v>
      </c>
      <c r="G105" s="2349">
        <f>0.8656/G101</f>
        <v>1.4426666666666668</v>
      </c>
      <c r="H105" s="2349">
        <f>0.8656/H101</f>
        <v>1.4426666666666668</v>
      </c>
      <c r="I105" s="2349">
        <f>0.8656/I101</f>
        <v>1.4426666666666668</v>
      </c>
      <c r="J105" s="2349">
        <f>0.7525/J101</f>
        <v>1.2541666666666667</v>
      </c>
      <c r="K105" s="2349">
        <f>0.7525/K101</f>
        <v>1.2541666666666667</v>
      </c>
      <c r="L105" s="2349">
        <f>0.7525/L101</f>
        <v>1.2541666666666667</v>
      </c>
      <c r="M105" s="2349">
        <f>0.7525/M101</f>
        <v>1.2541666666666667</v>
      </c>
      <c r="N105" s="2349">
        <f>0.7525/N101</f>
        <v>1.2541666666666667</v>
      </c>
    </row>
    <row r="106" spans="1:14">
      <c r="A106" s="3490"/>
      <c r="B106" s="2348">
        <v>5</v>
      </c>
      <c r="C106" s="2349">
        <f>0.8417/C101</f>
        <v>1.4028333333333334</v>
      </c>
      <c r="D106" s="2349">
        <f>0.8417/D101</f>
        <v>1.4028333333333334</v>
      </c>
      <c r="E106" s="2349">
        <f>0.7371/E101</f>
        <v>1.2284999999999999</v>
      </c>
      <c r="F106" s="2349">
        <f>0.7371/F101</f>
        <v>1.2284999999999999</v>
      </c>
      <c r="G106" s="2349">
        <f>0.7371/G101</f>
        <v>1.2284999999999999</v>
      </c>
      <c r="H106" s="2349">
        <f>0.7371/H101</f>
        <v>1.2284999999999999</v>
      </c>
      <c r="I106" s="2349">
        <f>0.7371/I101</f>
        <v>1.2284999999999999</v>
      </c>
      <c r="J106" s="2349">
        <f>0.5659/J101</f>
        <v>0.9431666666666666</v>
      </c>
      <c r="K106" s="2349">
        <f>0.5659/K101</f>
        <v>0.9431666666666666</v>
      </c>
      <c r="L106" s="2349">
        <f>0.5659/L101</f>
        <v>0.9431666666666666</v>
      </c>
      <c r="M106" s="2349">
        <f>0.5659/M101</f>
        <v>0.9431666666666666</v>
      </c>
      <c r="N106" s="2349">
        <f>0.5659/N101</f>
        <v>0.9431666666666666</v>
      </c>
    </row>
    <row r="107" spans="1:14">
      <c r="A107" s="3490"/>
      <c r="B107" s="2348">
        <v>6</v>
      </c>
      <c r="C107" s="2349">
        <f>0.7608/C101</f>
        <v>1.268</v>
      </c>
      <c r="D107" s="2349">
        <f>0.7608/D101</f>
        <v>1.268</v>
      </c>
      <c r="E107" s="2349">
        <f>0.6482/E101</f>
        <v>1.0803333333333334</v>
      </c>
      <c r="F107" s="2349">
        <f>0.6482/F101</f>
        <v>1.0803333333333334</v>
      </c>
      <c r="G107" s="2349">
        <f>0.6482/G101</f>
        <v>1.0803333333333334</v>
      </c>
      <c r="H107" s="2349">
        <f>0.6482/H101</f>
        <v>1.0803333333333334</v>
      </c>
      <c r="I107" s="2349">
        <f>0.6482/I101</f>
        <v>1.0803333333333334</v>
      </c>
      <c r="J107" s="2349">
        <f>0.4525/J101</f>
        <v>0.75416666666666676</v>
      </c>
      <c r="K107" s="2349">
        <f>0.4525/K101</f>
        <v>0.75416666666666676</v>
      </c>
      <c r="L107" s="2349">
        <f>0.4525/L101</f>
        <v>0.75416666666666676</v>
      </c>
      <c r="M107" s="2349">
        <f>0.4525/M101</f>
        <v>0.75416666666666676</v>
      </c>
      <c r="N107" s="2349">
        <f>0.4525/N101</f>
        <v>0.75416666666666676</v>
      </c>
    </row>
    <row r="108" spans="1:14">
      <c r="A108" s="3490"/>
      <c r="B108" s="3492" t="s">
        <v>2797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91"/>
      <c r="B109" s="3493"/>
      <c r="C109" s="2351">
        <f>(-0.163*(C108^2)-0.59*C108+7617)*(10^(-4))/C101</f>
        <v>1.2695000000000001</v>
      </c>
      <c r="D109" s="2351">
        <f>(-0.163*(D108^2)-0.59*D108+7617)*(10^(-4))/D101</f>
        <v>1.2695000000000001</v>
      </c>
      <c r="E109" s="2351">
        <f>(-0.161*(E108^2)-7.509*E108+6533)*(10^(-4))/E101</f>
        <v>1.0888333333333333</v>
      </c>
      <c r="F109" s="2351">
        <f>(-0.161*(F108^2)-7.509*F108+6533)*(10^(-4))/F101</f>
        <v>1.0888333333333333</v>
      </c>
      <c r="G109" s="2351">
        <f>(-0.161*(G108^2)-7.509*G108+6533)*(10^(-4))/G101</f>
        <v>1.0888333333333333</v>
      </c>
      <c r="H109" s="2351">
        <f>(-0.161*(H108^2)-7.509*H108+6533)*(10^(-4))/H101</f>
        <v>1.0888333333333333</v>
      </c>
      <c r="I109" s="2351">
        <f>(-0.161*(I108^2)-7.509*I108+6533)*(10^(-4))/I101</f>
        <v>1.0888333333333333</v>
      </c>
      <c r="J109" s="2351">
        <f>(-0.214*(J108^2)-21.991*J108+4665)*(10^(-4))/J101</f>
        <v>0.77750000000000008</v>
      </c>
      <c r="K109" s="2351">
        <f>(-0.214*(K108^2)-21.991*K108+4665)*(10^(-4))/K101</f>
        <v>0.77750000000000008</v>
      </c>
      <c r="L109" s="2351">
        <f>(-0.214*(L108^2)-21.991*L108+4665)*(10^(-4))/L101</f>
        <v>0.77750000000000008</v>
      </c>
      <c r="M109" s="2351">
        <f>(-0.214*(M108^2)-21.991*M108+4665)*(10^(-4))/M101</f>
        <v>0.77750000000000008</v>
      </c>
      <c r="N109" s="2351">
        <f>(-0.214*(N108^2)-21.991*N108+4665)*(10^(-4))/N101</f>
        <v>0.77750000000000008</v>
      </c>
    </row>
    <row r="110" spans="1:14">
      <c r="A110" s="3487" t="s">
        <v>2798</v>
      </c>
      <c r="B110" s="3487"/>
      <c r="C110" s="3487"/>
      <c r="D110" s="3487"/>
      <c r="E110" s="3487"/>
      <c r="F110" s="3487"/>
      <c r="G110" s="3487"/>
      <c r="H110" s="3487"/>
      <c r="I110" s="3487"/>
      <c r="J110" s="3487"/>
      <c r="K110" s="2354"/>
      <c r="L110" s="2354"/>
      <c r="M110" s="2354"/>
      <c r="N110" s="2354"/>
    </row>
    <row r="112" spans="1:14" ht="13.5" thickBot="1"/>
    <row r="113" spans="1:13" ht="25.5" thickBot="1">
      <c r="A113" s="842" t="s">
        <v>2799</v>
      </c>
      <c r="B113" s="1197">
        <f>G3</f>
        <v>0.6</v>
      </c>
      <c r="C113" s="843" t="s">
        <v>2800</v>
      </c>
      <c r="D113" s="844">
        <f>SUMPRODUCT((A115:A118=F113)*(B114:M114=H113)*B115:M118)</f>
        <v>0</v>
      </c>
      <c r="E113" s="2190" t="s">
        <v>2633</v>
      </c>
      <c r="F113" s="2356">
        <f>E2</f>
        <v>0</v>
      </c>
      <c r="G113" s="2190" t="s">
        <v>2634</v>
      </c>
      <c r="H113" s="2356">
        <f>G2</f>
        <v>0</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2698</v>
      </c>
      <c r="B115" s="849">
        <f>ROUND(0.9335-0.0094*B113,4)</f>
        <v>0.92789999999999995</v>
      </c>
      <c r="C115" s="849">
        <f>B115</f>
        <v>0.92789999999999995</v>
      </c>
      <c r="D115" s="849">
        <f>ROUND(0.8331-0.0109*B113,4)</f>
        <v>0.8266</v>
      </c>
      <c r="E115" s="849">
        <f>D115</f>
        <v>0.8266</v>
      </c>
      <c r="F115" s="849">
        <f>E115</f>
        <v>0.8266</v>
      </c>
      <c r="G115" s="849">
        <f>F115</f>
        <v>0.8266</v>
      </c>
      <c r="H115" s="849">
        <f>G115</f>
        <v>0.8266</v>
      </c>
      <c r="I115" s="849">
        <f>ROUND(0.689-0.0155*B113,4)</f>
        <v>0.67969999999999997</v>
      </c>
      <c r="J115" s="849">
        <f t="shared" ref="J115:M118" si="33">I115</f>
        <v>0.67969999999999997</v>
      </c>
      <c r="K115" s="849">
        <f t="shared" si="33"/>
        <v>0.67969999999999997</v>
      </c>
      <c r="L115" s="849">
        <f t="shared" si="33"/>
        <v>0.67969999999999997</v>
      </c>
      <c r="M115" s="850">
        <f t="shared" si="33"/>
        <v>0.67969999999999997</v>
      </c>
    </row>
    <row r="116" spans="1:13">
      <c r="A116" s="848" t="s">
        <v>2699</v>
      </c>
      <c r="B116" s="849">
        <f>ROUND(0.949-0.012*B113,4)</f>
        <v>0.94179999999999997</v>
      </c>
      <c r="C116" s="849">
        <f>B116</f>
        <v>0.94179999999999997</v>
      </c>
      <c r="D116" s="849">
        <f>ROUND(0.8567-0.013*B113,4)</f>
        <v>0.84889999999999999</v>
      </c>
      <c r="E116" s="849">
        <f t="shared" ref="E116:H117" si="34">D116</f>
        <v>0.84889999999999999</v>
      </c>
      <c r="F116" s="849">
        <f t="shared" si="34"/>
        <v>0.84889999999999999</v>
      </c>
      <c r="G116" s="849">
        <f t="shared" si="34"/>
        <v>0.84889999999999999</v>
      </c>
      <c r="H116" s="849">
        <f t="shared" si="34"/>
        <v>0.84889999999999999</v>
      </c>
      <c r="I116" s="849">
        <f>ROUND(0.7694-0.014*B113,4)</f>
        <v>0.76100000000000001</v>
      </c>
      <c r="J116" s="849">
        <f t="shared" si="33"/>
        <v>0.76100000000000001</v>
      </c>
      <c r="K116" s="849">
        <f t="shared" si="33"/>
        <v>0.76100000000000001</v>
      </c>
      <c r="L116" s="849">
        <f t="shared" si="33"/>
        <v>0.76100000000000001</v>
      </c>
      <c r="M116" s="850">
        <f t="shared" si="33"/>
        <v>0.76100000000000001</v>
      </c>
    </row>
    <row r="117" spans="1:13">
      <c r="A117" s="848" t="s">
        <v>2700</v>
      </c>
      <c r="B117" s="849">
        <f>ROUND(0.8808-0.006*B113,4)</f>
        <v>0.87719999999999998</v>
      </c>
      <c r="C117" s="849">
        <f>B117</f>
        <v>0.87719999999999998</v>
      </c>
      <c r="D117" s="849">
        <f>ROUND(0.8748-0.008*B113,4)</f>
        <v>0.87</v>
      </c>
      <c r="E117" s="849">
        <f t="shared" si="34"/>
        <v>0.87</v>
      </c>
      <c r="F117" s="849">
        <f t="shared" si="34"/>
        <v>0.87</v>
      </c>
      <c r="G117" s="849">
        <f t="shared" si="34"/>
        <v>0.87</v>
      </c>
      <c r="H117" s="849">
        <f t="shared" si="34"/>
        <v>0.87</v>
      </c>
      <c r="I117" s="849">
        <f>ROUND(0.7412-0.0095*B113,4)</f>
        <v>0.73550000000000004</v>
      </c>
      <c r="J117" s="849">
        <f t="shared" si="33"/>
        <v>0.73550000000000004</v>
      </c>
      <c r="K117" s="849">
        <f t="shared" si="33"/>
        <v>0.73550000000000004</v>
      </c>
      <c r="L117" s="849">
        <f t="shared" si="33"/>
        <v>0.73550000000000004</v>
      </c>
      <c r="M117" s="850">
        <f t="shared" si="33"/>
        <v>0.73550000000000004</v>
      </c>
    </row>
    <row r="118" spans="1:13" ht="13.5" thickBot="1">
      <c r="A118" s="670" t="s">
        <v>2701</v>
      </c>
      <c r="B118" s="851">
        <f>ROUND(0.7275-0.01*B113,4)</f>
        <v>0.72150000000000003</v>
      </c>
      <c r="C118" s="851">
        <f>B118</f>
        <v>0.72150000000000003</v>
      </c>
      <c r="D118" s="851">
        <f>ROUND(0.7043-0.012*B113,4)</f>
        <v>0.69710000000000005</v>
      </c>
      <c r="E118" s="851">
        <f>D118</f>
        <v>0.69710000000000005</v>
      </c>
      <c r="F118" s="851">
        <f>E118</f>
        <v>0.69710000000000005</v>
      </c>
      <c r="G118" s="851">
        <f>ROUND(0.6299-0.0122*B113,4)</f>
        <v>0.62260000000000004</v>
      </c>
      <c r="H118" s="851">
        <f>G118</f>
        <v>0.62260000000000004</v>
      </c>
      <c r="I118" s="851">
        <f>ROUND(0.5667-0.0136*B113,4)</f>
        <v>0.5585</v>
      </c>
      <c r="J118" s="851">
        <f t="shared" si="33"/>
        <v>0.5585</v>
      </c>
      <c r="K118" s="851">
        <f t="shared" si="33"/>
        <v>0.5585</v>
      </c>
      <c r="L118" s="851">
        <f t="shared" si="33"/>
        <v>0.5585</v>
      </c>
      <c r="M118" s="852">
        <f t="shared" si="33"/>
        <v>0.5585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00" t="s">
        <v>183</v>
      </c>
      <c r="B18" s="821" t="s">
        <v>560</v>
      </c>
      <c r="C18" s="822" t="s">
        <v>561</v>
      </c>
      <c r="D18" s="823"/>
      <c r="E18" s="821">
        <v>1</v>
      </c>
      <c r="F18" s="824" t="s">
        <v>562</v>
      </c>
      <c r="G18" s="825"/>
      <c r="H18" s="817"/>
      <c r="I18" s="817"/>
    </row>
    <row r="19" spans="1:9" s="826" customFormat="1" ht="19.5" customHeight="1">
      <c r="A19" s="3500"/>
      <c r="B19" s="3500" t="s">
        <v>563</v>
      </c>
      <c r="C19" s="822" t="s">
        <v>564</v>
      </c>
      <c r="D19" s="823"/>
      <c r="E19" s="821">
        <v>0.9</v>
      </c>
      <c r="F19" s="824" t="s">
        <v>565</v>
      </c>
      <c r="G19" s="825"/>
      <c r="H19" s="817"/>
      <c r="I19" s="817"/>
    </row>
    <row r="20" spans="1:9" s="826" customFormat="1" ht="19.5" customHeight="1">
      <c r="A20" s="3500"/>
      <c r="B20" s="3500"/>
      <c r="C20" s="822" t="s">
        <v>566</v>
      </c>
      <c r="D20" s="823"/>
      <c r="E20" s="821">
        <v>1.1000000000000001</v>
      </c>
      <c r="F20" s="824" t="s">
        <v>567</v>
      </c>
      <c r="G20" s="825"/>
      <c r="H20" s="817"/>
      <c r="I20" s="817"/>
    </row>
    <row r="21" spans="1:9" s="826" customFormat="1" ht="19.5" customHeight="1">
      <c r="A21" s="3500"/>
      <c r="B21" s="3500"/>
      <c r="C21" s="822" t="s">
        <v>568</v>
      </c>
      <c r="D21" s="823"/>
      <c r="E21" s="821">
        <v>0.8</v>
      </c>
      <c r="F21" s="824" t="s">
        <v>569</v>
      </c>
      <c r="G21" s="825"/>
      <c r="H21" s="817"/>
      <c r="I21" s="817"/>
    </row>
    <row r="22" spans="1:9" s="826" customFormat="1" ht="19.5" customHeight="1">
      <c r="A22" s="3500"/>
      <c r="B22" s="3500"/>
      <c r="C22" s="822" t="s">
        <v>570</v>
      </c>
      <c r="D22" s="823"/>
      <c r="E22" s="821">
        <v>0.5</v>
      </c>
      <c r="F22" s="824"/>
      <c r="G22" s="825"/>
      <c r="H22" s="817"/>
      <c r="I22" s="817"/>
    </row>
    <row r="23" spans="1:9" s="826" customFormat="1" ht="19.5" customHeight="1">
      <c r="A23" s="3500" t="s">
        <v>184</v>
      </c>
      <c r="B23" s="821" t="s">
        <v>560</v>
      </c>
      <c r="C23" s="822" t="s">
        <v>571</v>
      </c>
      <c r="D23" s="823"/>
      <c r="E23" s="821">
        <v>1</v>
      </c>
      <c r="F23" s="824" t="s">
        <v>572</v>
      </c>
      <c r="G23" s="825"/>
      <c r="H23" s="817"/>
      <c r="I23" s="817"/>
    </row>
    <row r="24" spans="1:9" s="826" customFormat="1" ht="19.5" customHeight="1">
      <c r="A24" s="3500"/>
      <c r="B24" s="3500" t="s">
        <v>563</v>
      </c>
      <c r="C24" s="822" t="s">
        <v>573</v>
      </c>
      <c r="D24" s="823"/>
      <c r="E24" s="821">
        <v>0.5</v>
      </c>
      <c r="F24" s="824"/>
      <c r="G24" s="825"/>
      <c r="H24" s="817"/>
      <c r="I24" s="817"/>
    </row>
    <row r="25" spans="1:9" s="826" customFormat="1" ht="19.5" customHeight="1">
      <c r="A25" s="3500"/>
      <c r="B25" s="3500"/>
      <c r="C25" s="822" t="s">
        <v>574</v>
      </c>
      <c r="D25" s="823"/>
      <c r="E25" s="821">
        <v>1.1000000000000001</v>
      </c>
      <c r="F25" s="824"/>
      <c r="G25" s="825"/>
      <c r="H25" s="817"/>
      <c r="I25" s="817"/>
    </row>
    <row r="26" spans="1:9" s="826" customFormat="1" ht="19.5" customHeight="1">
      <c r="A26" s="3500"/>
      <c r="B26" s="3500"/>
      <c r="C26" s="822" t="s">
        <v>575</v>
      </c>
      <c r="D26" s="823"/>
      <c r="E26" s="821">
        <v>1.1000000000000001</v>
      </c>
      <c r="F26" s="824"/>
      <c r="G26" s="825"/>
      <c r="H26" s="817"/>
      <c r="I26" s="817"/>
    </row>
    <row r="27" spans="1:9" s="826" customFormat="1" ht="19.5" customHeight="1">
      <c r="A27" s="3500"/>
      <c r="B27" s="3500"/>
      <c r="C27" s="822" t="s">
        <v>576</v>
      </c>
      <c r="D27" s="823"/>
      <c r="E27" s="821">
        <v>0.9</v>
      </c>
      <c r="F27" s="824" t="s">
        <v>577</v>
      </c>
      <c r="G27" s="825"/>
      <c r="H27" s="817"/>
      <c r="I27" s="817"/>
    </row>
    <row r="28" spans="1:9" s="826" customFormat="1" ht="19.5" customHeight="1">
      <c r="A28" s="3500"/>
      <c r="B28" s="3500"/>
      <c r="C28" s="822" t="s">
        <v>578</v>
      </c>
      <c r="D28" s="823"/>
      <c r="E28" s="821">
        <v>0.9</v>
      </c>
      <c r="F28" s="824" t="s">
        <v>579</v>
      </c>
      <c r="G28" s="825"/>
      <c r="H28" s="817"/>
      <c r="I28" s="817"/>
    </row>
    <row r="29" spans="1:9" s="826" customFormat="1" ht="19.5" customHeight="1">
      <c r="A29" s="3500"/>
      <c r="B29" s="3500"/>
      <c r="C29" s="822" t="s">
        <v>580</v>
      </c>
      <c r="D29" s="823"/>
      <c r="E29" s="821">
        <v>0.9</v>
      </c>
      <c r="F29" s="824" t="s">
        <v>581</v>
      </c>
      <c r="G29" s="825"/>
      <c r="H29" s="817"/>
      <c r="I29" s="817"/>
    </row>
    <row r="30" spans="1:9" s="826" customFormat="1" ht="19.5" customHeight="1">
      <c r="A30" s="3500"/>
      <c r="B30" s="3500"/>
      <c r="C30" s="822" t="s">
        <v>582</v>
      </c>
      <c r="D30" s="823"/>
      <c r="E30" s="821">
        <v>0.9</v>
      </c>
      <c r="F30" s="824" t="s">
        <v>583</v>
      </c>
      <c r="G30" s="825"/>
      <c r="H30" s="817"/>
      <c r="I30" s="817"/>
    </row>
    <row r="31" spans="1:9" s="826" customFormat="1" ht="19.5" customHeight="1">
      <c r="A31" s="3500"/>
      <c r="B31" s="3500"/>
      <c r="C31" s="822" t="s">
        <v>584</v>
      </c>
      <c r="D31" s="823"/>
      <c r="E31" s="821">
        <v>0.8</v>
      </c>
      <c r="F31" s="824" t="s">
        <v>585</v>
      </c>
      <c r="G31" s="825"/>
      <c r="H31" s="817"/>
      <c r="I31" s="817"/>
    </row>
    <row r="32" spans="1:9" s="826" customFormat="1" ht="19.5" customHeight="1">
      <c r="A32" s="3500"/>
      <c r="B32" s="3500"/>
      <c r="C32" s="822" t="s">
        <v>586</v>
      </c>
      <c r="D32" s="823"/>
      <c r="E32" s="821">
        <v>0.8</v>
      </c>
      <c r="F32" s="824" t="s">
        <v>587</v>
      </c>
      <c r="G32" s="825"/>
      <c r="H32" s="817"/>
      <c r="I32" s="817"/>
    </row>
    <row r="33" spans="1:9" s="826" customFormat="1" ht="19.5" customHeight="1">
      <c r="A33" s="3500" t="s">
        <v>185</v>
      </c>
      <c r="B33" s="821" t="s">
        <v>560</v>
      </c>
      <c r="C33" s="822" t="s">
        <v>588</v>
      </c>
      <c r="D33" s="823"/>
      <c r="E33" s="821">
        <v>1</v>
      </c>
      <c r="F33" s="824" t="s">
        <v>589</v>
      </c>
      <c r="G33" s="825"/>
      <c r="H33" s="817"/>
      <c r="I33" s="817"/>
    </row>
    <row r="34" spans="1:9" s="826" customFormat="1" ht="19.5" customHeight="1">
      <c r="A34" s="3500"/>
      <c r="B34" s="821" t="s">
        <v>563</v>
      </c>
      <c r="C34" s="822" t="s">
        <v>590</v>
      </c>
      <c r="D34" s="823"/>
      <c r="E34" s="821">
        <v>1.5</v>
      </c>
      <c r="F34" s="824" t="s">
        <v>591</v>
      </c>
      <c r="G34" s="825"/>
      <c r="H34" s="817"/>
      <c r="I34" s="817"/>
    </row>
    <row r="35" spans="1:9" s="826" customFormat="1" ht="19.5" customHeight="1">
      <c r="A35" s="3500" t="s">
        <v>186</v>
      </c>
      <c r="B35" s="821" t="s">
        <v>560</v>
      </c>
      <c r="C35" s="822" t="s">
        <v>592</v>
      </c>
      <c r="D35" s="823"/>
      <c r="E35" s="821">
        <v>1</v>
      </c>
      <c r="F35" s="824" t="s">
        <v>593</v>
      </c>
      <c r="G35" s="825"/>
      <c r="H35" s="817"/>
      <c r="I35" s="817"/>
    </row>
    <row r="36" spans="1:9" s="826" customFormat="1" ht="19.5" customHeight="1">
      <c r="A36" s="3500"/>
      <c r="B36" s="3500" t="s">
        <v>563</v>
      </c>
      <c r="C36" s="822" t="s">
        <v>594</v>
      </c>
      <c r="D36" s="823"/>
      <c r="E36" s="821">
        <v>1</v>
      </c>
      <c r="F36" s="824" t="s">
        <v>595</v>
      </c>
      <c r="G36" s="825"/>
      <c r="H36" s="817"/>
      <c r="I36" s="817"/>
    </row>
    <row r="37" spans="1:9" s="826" customFormat="1" ht="19.5" customHeight="1">
      <c r="A37" s="3500"/>
      <c r="B37" s="3500"/>
      <c r="C37" s="822" t="s">
        <v>596</v>
      </c>
      <c r="D37" s="823"/>
      <c r="E37" s="821">
        <v>1.5</v>
      </c>
      <c r="F37" s="824" t="s">
        <v>597</v>
      </c>
      <c r="G37" s="825"/>
      <c r="H37" s="817"/>
      <c r="I37" s="817"/>
    </row>
    <row r="38" spans="1:9" s="826" customFormat="1" ht="19.5" customHeight="1">
      <c r="A38" s="3500"/>
      <c r="B38" s="3500"/>
      <c r="C38" s="822" t="s">
        <v>598</v>
      </c>
      <c r="D38" s="823"/>
      <c r="E38" s="821">
        <v>1</v>
      </c>
      <c r="F38" s="824" t="s">
        <v>599</v>
      </c>
      <c r="G38" s="825"/>
      <c r="H38" s="817"/>
      <c r="I38" s="817"/>
    </row>
    <row r="39" spans="1:9" s="826" customFormat="1" ht="19.5" customHeight="1">
      <c r="A39" s="3500"/>
      <c r="B39" s="350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00" t="s">
        <v>614</v>
      </c>
      <c r="C61" s="757" t="s">
        <v>615</v>
      </c>
      <c r="D61" s="757" t="s">
        <v>616</v>
      </c>
      <c r="E61" s="834">
        <v>0.5</v>
      </c>
      <c r="F61" s="821">
        <v>80</v>
      </c>
    </row>
    <row r="62" spans="1:8" s="817" customFormat="1" ht="24">
      <c r="A62" s="821">
        <v>2</v>
      </c>
      <c r="B62" s="3500"/>
      <c r="C62" s="757" t="s">
        <v>617</v>
      </c>
      <c r="D62" s="757" t="s">
        <v>618</v>
      </c>
      <c r="E62" s="834">
        <v>0.5</v>
      </c>
      <c r="F62" s="821">
        <v>80</v>
      </c>
    </row>
    <row r="63" spans="1:8" s="817" customFormat="1" ht="36">
      <c r="A63" s="821">
        <v>3</v>
      </c>
      <c r="B63" s="3500"/>
      <c r="C63" s="757" t="s">
        <v>619</v>
      </c>
      <c r="D63" s="757" t="s">
        <v>620</v>
      </c>
      <c r="E63" s="834">
        <v>0.5</v>
      </c>
      <c r="F63" s="821">
        <v>80</v>
      </c>
    </row>
    <row r="64" spans="1:8" s="817" customFormat="1" ht="36">
      <c r="A64" s="821">
        <v>4</v>
      </c>
      <c r="B64" s="3500"/>
      <c r="C64" s="757" t="s">
        <v>621</v>
      </c>
      <c r="D64" s="757" t="s">
        <v>622</v>
      </c>
      <c r="E64" s="834">
        <v>0.4</v>
      </c>
      <c r="F64" s="821">
        <v>60</v>
      </c>
    </row>
    <row r="65" spans="1:6" s="817" customFormat="1" ht="36">
      <c r="A65" s="821">
        <v>5</v>
      </c>
      <c r="B65" s="3500"/>
      <c r="C65" s="757" t="s">
        <v>623</v>
      </c>
      <c r="D65" s="757" t="s">
        <v>624</v>
      </c>
      <c r="E65" s="834">
        <v>0.2</v>
      </c>
      <c r="F65" s="821">
        <v>30</v>
      </c>
    </row>
    <row r="66" spans="1:6" s="817" customFormat="1" ht="36">
      <c r="A66" s="821">
        <v>6</v>
      </c>
      <c r="B66" s="3500"/>
      <c r="C66" s="757" t="s">
        <v>625</v>
      </c>
      <c r="D66" s="757" t="s">
        <v>626</v>
      </c>
      <c r="E66" s="834">
        <v>0.3</v>
      </c>
      <c r="F66" s="821">
        <v>50</v>
      </c>
    </row>
    <row r="67" spans="1:6" s="817" customFormat="1" ht="36">
      <c r="A67" s="821">
        <v>7</v>
      </c>
      <c r="B67" s="3500"/>
      <c r="C67" s="757" t="s">
        <v>627</v>
      </c>
      <c r="D67" s="757" t="s">
        <v>628</v>
      </c>
      <c r="E67" s="834">
        <v>0.2</v>
      </c>
      <c r="F67" s="821">
        <v>30</v>
      </c>
    </row>
    <row r="68" spans="1:6" s="817" customFormat="1" ht="36">
      <c r="A68" s="821">
        <v>8</v>
      </c>
      <c r="B68" s="3500"/>
      <c r="C68" s="757" t="s">
        <v>629</v>
      </c>
      <c r="D68" s="757" t="s">
        <v>630</v>
      </c>
      <c r="E68" s="834">
        <v>0.2</v>
      </c>
      <c r="F68" s="821">
        <v>30</v>
      </c>
    </row>
    <row r="69" spans="1:6" s="817" customFormat="1" ht="36">
      <c r="A69" s="821">
        <v>9</v>
      </c>
      <c r="B69" s="3500"/>
      <c r="C69" s="757" t="s">
        <v>631</v>
      </c>
      <c r="D69" s="757" t="s">
        <v>632</v>
      </c>
      <c r="E69" s="834">
        <v>0.2</v>
      </c>
      <c r="F69" s="821">
        <v>30</v>
      </c>
    </row>
    <row r="70" spans="1:6" s="817" customFormat="1" ht="48">
      <c r="A70" s="821">
        <v>10</v>
      </c>
      <c r="B70" s="3500"/>
      <c r="C70" s="757" t="s">
        <v>633</v>
      </c>
      <c r="D70" s="757" t="s">
        <v>634</v>
      </c>
      <c r="E70" s="834">
        <v>0.2</v>
      </c>
      <c r="F70" s="821">
        <v>30</v>
      </c>
    </row>
    <row r="71" spans="1:6" s="817" customFormat="1" ht="48">
      <c r="A71" s="821">
        <v>11</v>
      </c>
      <c r="B71" s="3500"/>
      <c r="C71" s="757" t="s">
        <v>635</v>
      </c>
      <c r="D71" s="757" t="s">
        <v>636</v>
      </c>
      <c r="E71" s="834">
        <v>0.2</v>
      </c>
      <c r="F71" s="821">
        <v>30</v>
      </c>
    </row>
    <row r="72" spans="1:6" s="817" customFormat="1" ht="36">
      <c r="A72" s="821">
        <v>12</v>
      </c>
      <c r="B72" s="3500"/>
      <c r="C72" s="757" t="s">
        <v>637</v>
      </c>
      <c r="D72" s="757" t="s">
        <v>638</v>
      </c>
      <c r="E72" s="834">
        <v>0.5</v>
      </c>
      <c r="F72" s="821">
        <v>80</v>
      </c>
    </row>
    <row r="73" spans="1:6" s="817" customFormat="1" ht="24">
      <c r="A73" s="821">
        <v>13</v>
      </c>
      <c r="B73" s="3500"/>
      <c r="C73" s="757" t="s">
        <v>639</v>
      </c>
      <c r="D73" s="757" t="s">
        <v>640</v>
      </c>
      <c r="E73" s="834">
        <v>0.4</v>
      </c>
      <c r="F73" s="821">
        <v>60</v>
      </c>
    </row>
    <row r="74" spans="1:6" s="817" customFormat="1" ht="24">
      <c r="A74" s="821">
        <v>14</v>
      </c>
      <c r="B74" s="3500"/>
      <c r="C74" s="757" t="s">
        <v>641</v>
      </c>
      <c r="D74" s="757" t="s">
        <v>642</v>
      </c>
      <c r="E74" s="834">
        <v>0.2</v>
      </c>
      <c r="F74" s="821">
        <v>30</v>
      </c>
    </row>
    <row r="75" spans="1:6" s="817" customFormat="1" ht="24">
      <c r="A75" s="821">
        <v>15</v>
      </c>
      <c r="B75" s="3500"/>
      <c r="C75" s="757" t="s">
        <v>643</v>
      </c>
      <c r="D75" s="757" t="s">
        <v>644</v>
      </c>
      <c r="E75" s="834">
        <v>0.2</v>
      </c>
      <c r="F75" s="821">
        <v>30</v>
      </c>
    </row>
    <row r="76" spans="1:6" s="817" customFormat="1" ht="24">
      <c r="A76" s="821">
        <v>16</v>
      </c>
      <c r="B76" s="3500" t="s">
        <v>645</v>
      </c>
      <c r="C76" s="757" t="s">
        <v>646</v>
      </c>
      <c r="D76" s="757" t="s">
        <v>647</v>
      </c>
      <c r="E76" s="834">
        <v>0.5</v>
      </c>
      <c r="F76" s="821">
        <v>80</v>
      </c>
    </row>
    <row r="77" spans="1:6" s="817" customFormat="1" ht="24">
      <c r="A77" s="821">
        <v>17</v>
      </c>
      <c r="B77" s="3500"/>
      <c r="C77" s="757" t="s">
        <v>648</v>
      </c>
      <c r="D77" s="757" t="s">
        <v>649</v>
      </c>
      <c r="E77" s="834">
        <v>0.5</v>
      </c>
      <c r="F77" s="821">
        <v>80</v>
      </c>
    </row>
    <row r="78" spans="1:6" s="817" customFormat="1" ht="24">
      <c r="A78" s="821">
        <v>18</v>
      </c>
      <c r="B78" s="3500"/>
      <c r="C78" s="757" t="s">
        <v>650</v>
      </c>
      <c r="D78" s="757" t="s">
        <v>651</v>
      </c>
      <c r="E78" s="834">
        <v>0.2</v>
      </c>
      <c r="F78" s="821">
        <v>30</v>
      </c>
    </row>
    <row r="79" spans="1:6" s="817" customFormat="1" ht="24">
      <c r="A79" s="821">
        <v>19</v>
      </c>
      <c r="B79" s="3500"/>
      <c r="C79" s="757" t="s">
        <v>652</v>
      </c>
      <c r="D79" s="757" t="s">
        <v>653</v>
      </c>
      <c r="E79" s="834">
        <v>0.5</v>
      </c>
      <c r="F79" s="821">
        <v>80</v>
      </c>
    </row>
    <row r="80" spans="1:6" s="817" customFormat="1" ht="36">
      <c r="A80" s="821">
        <v>20</v>
      </c>
      <c r="B80" s="3500"/>
      <c r="C80" s="757" t="s">
        <v>654</v>
      </c>
      <c r="D80" s="757" t="s">
        <v>655</v>
      </c>
      <c r="E80" s="834">
        <v>0.2</v>
      </c>
      <c r="F80" s="821">
        <v>30</v>
      </c>
    </row>
    <row r="81" spans="1:6" s="817" customFormat="1" ht="36">
      <c r="A81" s="821">
        <v>21</v>
      </c>
      <c r="B81" s="3500"/>
      <c r="C81" s="757" t="s">
        <v>656</v>
      </c>
      <c r="D81" s="757" t="s">
        <v>657</v>
      </c>
      <c r="E81" s="834">
        <v>0.2</v>
      </c>
      <c r="F81" s="821">
        <v>30</v>
      </c>
    </row>
    <row r="82" spans="1:6" s="817" customFormat="1" ht="48">
      <c r="A82" s="821">
        <v>22</v>
      </c>
      <c r="B82" s="3500"/>
      <c r="C82" s="757" t="s">
        <v>658</v>
      </c>
      <c r="D82" s="757" t="s">
        <v>659</v>
      </c>
      <c r="E82" s="834">
        <v>0.2</v>
      </c>
      <c r="F82" s="821">
        <v>30</v>
      </c>
    </row>
    <row r="83" spans="1:6" s="817" customFormat="1" ht="48">
      <c r="A83" s="821">
        <v>23</v>
      </c>
      <c r="B83" s="3500"/>
      <c r="C83" s="757" t="s">
        <v>660</v>
      </c>
      <c r="D83" s="757" t="s">
        <v>661</v>
      </c>
      <c r="E83" s="834">
        <v>0.2</v>
      </c>
      <c r="F83" s="821">
        <v>30</v>
      </c>
    </row>
    <row r="84" spans="1:6" s="817" customFormat="1" ht="36">
      <c r="A84" s="821">
        <v>24</v>
      </c>
      <c r="B84" s="3500"/>
      <c r="C84" s="757" t="s">
        <v>662</v>
      </c>
      <c r="D84" s="757" t="s">
        <v>663</v>
      </c>
      <c r="E84" s="834">
        <v>0.2</v>
      </c>
      <c r="F84" s="821">
        <v>30</v>
      </c>
    </row>
    <row r="85" spans="1:6" s="817" customFormat="1" ht="36">
      <c r="A85" s="821">
        <v>25</v>
      </c>
      <c r="B85" s="3500"/>
      <c r="C85" s="757" t="s">
        <v>664</v>
      </c>
      <c r="D85" s="757" t="s">
        <v>665</v>
      </c>
      <c r="E85" s="834">
        <v>0.5</v>
      </c>
      <c r="F85" s="821">
        <v>80</v>
      </c>
    </row>
    <row r="86" spans="1:6" s="817" customFormat="1" ht="36">
      <c r="A86" s="821">
        <v>26</v>
      </c>
      <c r="B86" s="3500"/>
      <c r="C86" s="757" t="s">
        <v>666</v>
      </c>
      <c r="D86" s="757" t="s">
        <v>667</v>
      </c>
      <c r="E86" s="834">
        <v>0.2</v>
      </c>
      <c r="F86" s="821">
        <v>30</v>
      </c>
    </row>
    <row r="87" spans="1:6" s="817" customFormat="1" ht="36">
      <c r="A87" s="821">
        <v>27</v>
      </c>
      <c r="B87" s="3500"/>
      <c r="C87" s="757" t="s">
        <v>668</v>
      </c>
      <c r="D87" s="757" t="s">
        <v>669</v>
      </c>
      <c r="E87" s="834">
        <v>0.2</v>
      </c>
      <c r="F87" s="821">
        <v>30</v>
      </c>
    </row>
    <row r="88" spans="1:6" s="817" customFormat="1" ht="36">
      <c r="A88" s="821">
        <v>28</v>
      </c>
      <c r="B88" s="3500"/>
      <c r="C88" s="757" t="s">
        <v>670</v>
      </c>
      <c r="D88" s="757" t="s">
        <v>671</v>
      </c>
      <c r="E88" s="834">
        <v>0.2</v>
      </c>
      <c r="F88" s="821">
        <v>30</v>
      </c>
    </row>
    <row r="89" spans="1:6" s="817" customFormat="1" ht="24">
      <c r="A89" s="821">
        <v>29</v>
      </c>
      <c r="B89" s="3500"/>
      <c r="C89" s="757" t="s">
        <v>672</v>
      </c>
      <c r="D89" s="757" t="s">
        <v>673</v>
      </c>
      <c r="E89" s="834">
        <v>0.2</v>
      </c>
      <c r="F89" s="821">
        <v>30</v>
      </c>
    </row>
    <row r="90" spans="1:6" s="817" customFormat="1" ht="24">
      <c r="A90" s="821">
        <v>30</v>
      </c>
      <c r="B90" s="3500"/>
      <c r="C90" s="757" t="s">
        <v>674</v>
      </c>
      <c r="D90" s="757" t="s">
        <v>675</v>
      </c>
      <c r="E90" s="834">
        <v>0.2</v>
      </c>
      <c r="F90" s="821">
        <v>30</v>
      </c>
    </row>
    <row r="91" spans="1:6" s="817" customFormat="1" ht="36">
      <c r="A91" s="821">
        <v>31</v>
      </c>
      <c r="B91" s="3500"/>
      <c r="C91" s="757" t="s">
        <v>676</v>
      </c>
      <c r="D91" s="757" t="s">
        <v>677</v>
      </c>
      <c r="E91" s="834">
        <v>0.2</v>
      </c>
      <c r="F91" s="821">
        <v>30</v>
      </c>
    </row>
    <row r="92" spans="1:6" s="817" customFormat="1" ht="24">
      <c r="A92" s="821">
        <v>32</v>
      </c>
      <c r="B92" s="3500" t="s">
        <v>678</v>
      </c>
      <c r="C92" s="821" t="s">
        <v>679</v>
      </c>
      <c r="D92" s="757" t="s">
        <v>680</v>
      </c>
      <c r="E92" s="834">
        <v>0.2</v>
      </c>
      <c r="F92" s="821">
        <v>30</v>
      </c>
    </row>
    <row r="93" spans="1:6" s="817" customFormat="1" ht="36">
      <c r="A93" s="821">
        <v>33</v>
      </c>
      <c r="B93" s="3500"/>
      <c r="C93" s="821" t="s">
        <v>681</v>
      </c>
      <c r="D93" s="757" t="s">
        <v>682</v>
      </c>
      <c r="E93" s="834">
        <v>0.2</v>
      </c>
      <c r="F93" s="821">
        <v>30</v>
      </c>
    </row>
    <row r="94" spans="1:6" s="817" customFormat="1" ht="48">
      <c r="A94" s="821">
        <v>34</v>
      </c>
      <c r="B94" s="3500"/>
      <c r="C94" s="821" t="s">
        <v>683</v>
      </c>
      <c r="D94" s="757" t="s">
        <v>684</v>
      </c>
      <c r="E94" s="834">
        <v>0.2</v>
      </c>
      <c r="F94" s="821">
        <v>30</v>
      </c>
    </row>
    <row r="95" spans="1:6" s="817" customFormat="1" ht="36">
      <c r="A95" s="821">
        <v>35</v>
      </c>
      <c r="B95" s="3500"/>
      <c r="C95" s="821" t="s">
        <v>685</v>
      </c>
      <c r="D95" s="757" t="s">
        <v>686</v>
      </c>
      <c r="E95" s="834">
        <v>0.2</v>
      </c>
      <c r="F95" s="821">
        <v>30</v>
      </c>
    </row>
    <row r="96" spans="1:6" s="817" customFormat="1" ht="48">
      <c r="A96" s="821">
        <v>36</v>
      </c>
      <c r="B96" s="3500"/>
      <c r="C96" s="757" t="s">
        <v>687</v>
      </c>
      <c r="D96" s="757" t="s">
        <v>688</v>
      </c>
      <c r="E96" s="834">
        <v>0.2</v>
      </c>
      <c r="F96" s="821">
        <v>30</v>
      </c>
    </row>
    <row r="97" spans="1:6" s="817" customFormat="1" ht="36">
      <c r="A97" s="821">
        <v>37</v>
      </c>
      <c r="B97" s="3500"/>
      <c r="C97" s="821" t="s">
        <v>689</v>
      </c>
      <c r="D97" s="757" t="s">
        <v>690</v>
      </c>
      <c r="E97" s="834">
        <v>0.2</v>
      </c>
      <c r="F97" s="821">
        <v>30</v>
      </c>
    </row>
    <row r="98" spans="1:6" s="817" customFormat="1" ht="36">
      <c r="A98" s="821">
        <v>38</v>
      </c>
      <c r="B98" s="3500"/>
      <c r="C98" s="821" t="s">
        <v>691</v>
      </c>
      <c r="D98" s="757" t="s">
        <v>692</v>
      </c>
      <c r="E98" s="834">
        <v>0.2</v>
      </c>
      <c r="F98" s="821">
        <v>30</v>
      </c>
    </row>
    <row r="99" spans="1:6" s="817" customFormat="1" ht="36">
      <c r="A99" s="821">
        <v>39</v>
      </c>
      <c r="B99" s="3500" t="s">
        <v>693</v>
      </c>
      <c r="C99" s="821" t="s">
        <v>694</v>
      </c>
      <c r="D99" s="757" t="s">
        <v>695</v>
      </c>
      <c r="E99" s="834">
        <v>0.3</v>
      </c>
      <c r="F99" s="821">
        <v>50</v>
      </c>
    </row>
    <row r="100" spans="1:6" s="817" customFormat="1" ht="24">
      <c r="A100" s="821">
        <v>40</v>
      </c>
      <c r="B100" s="3500"/>
      <c r="C100" s="821" t="s">
        <v>696</v>
      </c>
      <c r="D100" s="757" t="s">
        <v>697</v>
      </c>
      <c r="E100" s="834">
        <v>0.2</v>
      </c>
      <c r="F100" s="821">
        <v>30</v>
      </c>
    </row>
    <row r="101" spans="1:6" s="817" customFormat="1" ht="36">
      <c r="A101" s="821">
        <v>41</v>
      </c>
      <c r="B101" s="350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00" t="s">
        <v>708</v>
      </c>
      <c r="C105" s="821" t="s">
        <v>709</v>
      </c>
      <c r="D105" s="757" t="s">
        <v>710</v>
      </c>
      <c r="E105" s="834">
        <v>0.2</v>
      </c>
      <c r="F105" s="821">
        <v>30</v>
      </c>
    </row>
    <row r="106" spans="1:6" s="817" customFormat="1" ht="36">
      <c r="A106" s="821">
        <v>46</v>
      </c>
      <c r="B106" s="3500"/>
      <c r="C106" s="821" t="s">
        <v>711</v>
      </c>
      <c r="D106" s="757" t="s">
        <v>712</v>
      </c>
      <c r="E106" s="834">
        <v>0.2</v>
      </c>
      <c r="F106" s="821">
        <v>30</v>
      </c>
    </row>
    <row r="107" spans="1:6" s="817" customFormat="1" ht="36">
      <c r="A107" s="821">
        <v>47</v>
      </c>
      <c r="B107" s="3500" t="s">
        <v>713</v>
      </c>
      <c r="C107" s="821" t="s">
        <v>714</v>
      </c>
      <c r="D107" s="757" t="s">
        <v>715</v>
      </c>
      <c r="E107" s="834">
        <v>0.3</v>
      </c>
      <c r="F107" s="821">
        <v>50</v>
      </c>
    </row>
    <row r="108" spans="1:6" s="817" customFormat="1" ht="36">
      <c r="A108" s="821">
        <v>48</v>
      </c>
      <c r="B108" s="350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00" t="s">
        <v>724</v>
      </c>
      <c r="C111" s="821" t="s">
        <v>725</v>
      </c>
      <c r="D111" s="757" t="s">
        <v>726</v>
      </c>
      <c r="E111" s="834">
        <v>0.2</v>
      </c>
      <c r="F111" s="821">
        <v>30</v>
      </c>
    </row>
    <row r="112" spans="1:6" s="817" customFormat="1" ht="24">
      <c r="A112" s="821">
        <v>52</v>
      </c>
      <c r="B112" s="3500"/>
      <c r="C112" s="821" t="s">
        <v>727</v>
      </c>
      <c r="D112" s="757" t="s">
        <v>728</v>
      </c>
      <c r="E112" s="834">
        <v>0.2</v>
      </c>
      <c r="F112" s="821">
        <v>30</v>
      </c>
    </row>
    <row r="113" spans="1:6" s="817" customFormat="1" ht="24">
      <c r="A113" s="821">
        <v>53</v>
      </c>
      <c r="B113" s="350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00" t="s">
        <v>737</v>
      </c>
      <c r="C116" s="821" t="s">
        <v>738</v>
      </c>
      <c r="D116" s="757" t="s">
        <v>739</v>
      </c>
      <c r="E116" s="834">
        <v>0.2</v>
      </c>
      <c r="F116" s="821">
        <v>30</v>
      </c>
    </row>
    <row r="117" spans="1:6" ht="36">
      <c r="A117" s="821">
        <v>57</v>
      </c>
      <c r="B117" s="350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1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2"/>
      <c r="C2" s="3122"/>
      <c r="D2" s="3122"/>
      <c r="E2" s="3122"/>
    </row>
    <row r="3" spans="1:5" ht="18">
      <c r="A3" s="3123" t="str">
        <f>IF(项目基本情况!B9="房地产市场价值","估价结果一览表（市场价值不需“结果表-1”）","估价结果一览表")</f>
        <v>估价结果一览表</v>
      </c>
      <c r="B3" s="3123"/>
      <c r="C3" s="3123"/>
      <c r="D3" s="3123"/>
      <c r="E3" s="3123"/>
    </row>
    <row r="4" spans="1:5" ht="19.5" thickBot="1">
      <c r="A4" s="1680"/>
      <c r="B4" s="3121" t="s">
        <v>1595</v>
      </c>
      <c r="C4" s="3121"/>
      <c r="D4" s="3121"/>
      <c r="E4" s="1680"/>
    </row>
    <row r="5" spans="1:5" ht="16.5" thickTop="1">
      <c r="A5" s="1678"/>
      <c r="B5" s="3119" t="s">
        <v>1587</v>
      </c>
      <c r="C5" s="1681" t="s">
        <v>1588</v>
      </c>
      <c r="D5" s="959">
        <f ca="1">结果表!H101</f>
        <v>49953</v>
      </c>
      <c r="E5" s="1678"/>
    </row>
    <row r="6" spans="1:5" ht="15.75">
      <c r="A6" s="1678"/>
      <c r="B6" s="3119"/>
      <c r="C6" s="1681" t="s">
        <v>1589</v>
      </c>
      <c r="D6" s="959" t="str">
        <f ca="1">NUMBERSTRING(INT(D5*10000),2)&amp;"元整"</f>
        <v>肆亿玖仟玖佰伍拾叁万元整</v>
      </c>
      <c r="E6" s="1678"/>
    </row>
    <row r="7" spans="1:5" ht="15.75">
      <c r="A7" s="1678"/>
      <c r="B7" s="3124"/>
      <c r="C7" s="1682" t="s">
        <v>1590</v>
      </c>
      <c r="D7" s="960">
        <f ca="1">结果表!H102</f>
        <v>86265</v>
      </c>
      <c r="E7" s="1678"/>
    </row>
    <row r="8" spans="1:5" ht="15.75">
      <c r="A8" s="1678"/>
      <c r="B8" s="3125" t="str">
        <f>结果表!E103</f>
        <v>2.估价师知悉的法定优先受偿款</v>
      </c>
      <c r="C8" s="1683" t="s">
        <v>1591</v>
      </c>
      <c r="D8" s="960">
        <f>结果表!H103</f>
        <v>0</v>
      </c>
      <c r="E8" s="1678"/>
    </row>
    <row r="9" spans="1:5" ht="15.75">
      <c r="A9" s="1678"/>
      <c r="B9" s="3127"/>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118" t="str">
        <f>结果表!E107</f>
        <v>3.房地产抵押价值</v>
      </c>
      <c r="C13" s="1686" t="s">
        <v>1588</v>
      </c>
      <c r="D13" s="962">
        <f ca="1">结果表!H107</f>
        <v>49953</v>
      </c>
      <c r="E13" s="1678"/>
    </row>
    <row r="14" spans="1:5" ht="15.75">
      <c r="A14" s="1678"/>
      <c r="B14" s="3119"/>
      <c r="C14" s="1681" t="s">
        <v>1589</v>
      </c>
      <c r="D14" s="959" t="str">
        <f ca="1">NUMBERSTRING(INT(D13*10000),2)&amp;"元整"</f>
        <v>肆亿玖仟玖佰伍拾叁万元整</v>
      </c>
      <c r="E14" s="1678"/>
    </row>
    <row r="15" spans="1:5" ht="15">
      <c r="A15" s="1678"/>
      <c r="B15" s="3124"/>
      <c r="C15" s="1682" t="s">
        <v>1599</v>
      </c>
      <c r="D15" s="968">
        <f ca="1">结果表!H108</f>
        <v>43317</v>
      </c>
      <c r="E15" s="1678"/>
    </row>
    <row r="16" spans="1:5" ht="15">
      <c r="A16" s="1678"/>
      <c r="B16" s="3125" t="str">
        <f>结果表!E109</f>
        <v>——</v>
      </c>
      <c r="C16" s="1686" t="s">
        <v>1600</v>
      </c>
      <c r="D16" s="1687" t="str">
        <f>结果表!H109</f>
        <v>——</v>
      </c>
      <c r="E16" s="1678"/>
    </row>
    <row r="17" spans="1:5" ht="15.75">
      <c r="A17" s="1678"/>
      <c r="B17" s="3126"/>
      <c r="C17" s="1681" t="s">
        <v>1601</v>
      </c>
      <c r="D17" s="959" t="e">
        <f>NUMBERSTRING(INT(D16*10000),2)&amp;"元整"</f>
        <v>#VALUE!</v>
      </c>
      <c r="E17" s="1678"/>
    </row>
    <row r="18" spans="1:5" ht="15">
      <c r="A18" s="1678"/>
      <c r="B18" s="3127"/>
      <c r="C18" s="1682" t="s">
        <v>1590</v>
      </c>
      <c r="D18" s="968" t="str">
        <f>结果表!H110</f>
        <v>——</v>
      </c>
      <c r="E18" s="1678"/>
    </row>
    <row r="19" spans="1:5" ht="15.75">
      <c r="A19" s="1678"/>
      <c r="B19" s="3118" t="str">
        <f>结果表!E111</f>
        <v>——</v>
      </c>
      <c r="C19" s="1686" t="s">
        <v>1588</v>
      </c>
      <c r="D19" s="960" t="str">
        <f>结果表!H111</f>
        <v>——</v>
      </c>
      <c r="E19" s="1678"/>
    </row>
    <row r="20" spans="1:5" ht="15.75">
      <c r="A20" s="1678"/>
      <c r="B20" s="3119"/>
      <c r="C20" s="1681" t="s">
        <v>1601</v>
      </c>
      <c r="D20" s="959" t="e">
        <f>NUMBERSTRING(INT(D19*10000),2)&amp;"元整"</f>
        <v>#VALUE!</v>
      </c>
      <c r="E20" s="1678"/>
    </row>
    <row r="21" spans="1:5" ht="15.75" thickBot="1">
      <c r="A21" s="1678"/>
      <c r="B21" s="3120"/>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6"/>
      <c r="G1" s="3026"/>
      <c r="H1" s="3026"/>
      <c r="I1" s="3026"/>
      <c r="J1" s="3026"/>
      <c r="K1" s="3026"/>
      <c r="L1" s="3026"/>
      <c r="M1" s="3026"/>
      <c r="N1" s="3026"/>
      <c r="O1" s="3026"/>
      <c r="P1" s="3026"/>
    </row>
    <row r="2" spans="1:16" ht="15.75">
      <c r="A2" s="2363" t="s">
        <v>2813</v>
      </c>
      <c r="B2" s="2830" t="e">
        <f ca="1">SUMIF(B6:B13,"&lt;&gt;#ref!",B6:B13)</f>
        <v>#DIV/0!</v>
      </c>
      <c r="C2" s="2363" t="s">
        <v>2814</v>
      </c>
      <c r="D2" s="2363" t="s">
        <v>2815</v>
      </c>
      <c r="E2" s="2840">
        <f ca="1">SUMIF(E6:E13,"&lt;&gt;#ref!",E6:E13)</f>
        <v>0</v>
      </c>
      <c r="F2" s="3026"/>
      <c r="G2" s="3026"/>
      <c r="H2" s="3026"/>
      <c r="I2" s="3026"/>
      <c r="J2" s="3026"/>
      <c r="K2" s="3026"/>
      <c r="L2" s="3026"/>
      <c r="M2" s="3026"/>
      <c r="N2" s="3026"/>
      <c r="O2" s="3026"/>
      <c r="P2" s="3026"/>
    </row>
    <row r="3" spans="1:16" ht="15.75">
      <c r="A3" s="2363" t="s">
        <v>2816</v>
      </c>
      <c r="B3" s="2830" t="e">
        <f ca="1">ROUND(B2*10000/E2,0)</f>
        <v>#DIV/0!</v>
      </c>
      <c r="C3" s="2363" t="s">
        <v>2822</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2817</v>
      </c>
      <c r="B5" s="2838" t="s">
        <v>2818</v>
      </c>
      <c r="C5" s="2364"/>
      <c r="D5" s="3026"/>
      <c r="E5" s="2839" t="s">
        <v>2819</v>
      </c>
      <c r="F5" s="3026"/>
      <c r="G5" s="3026"/>
      <c r="H5" s="3026"/>
      <c r="I5" s="3026"/>
      <c r="J5" s="3026"/>
      <c r="K5" s="3026"/>
      <c r="L5" s="3026"/>
      <c r="M5" s="3026"/>
      <c r="N5" s="3026"/>
      <c r="O5" s="3026"/>
      <c r="P5" s="3026"/>
    </row>
    <row r="6" spans="1:16" ht="15.75">
      <c r="A6" s="2837" t="s">
        <v>2820</v>
      </c>
      <c r="B6" s="2830" t="e">
        <f ca="1">SUMIF(INDIRECT("'"&amp;A6&amp;"'"&amp;"!A:A"),"总价",INDIRECT("'"&amp;A6&amp;"'"&amp;"!B:B"))</f>
        <v>#DIV/0!</v>
      </c>
      <c r="C6" s="2363" t="s">
        <v>2814</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2814</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2814</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2814</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2814</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2814</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2814</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2814</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506" t="s">
        <v>1117</v>
      </c>
      <c r="C1" s="3506"/>
      <c r="D1" s="3506"/>
      <c r="E1" s="3506"/>
      <c r="F1" s="3506"/>
      <c r="G1" s="3505" t="s">
        <v>1118</v>
      </c>
      <c r="H1" s="3505"/>
      <c r="I1" s="3505"/>
      <c r="J1" s="3505"/>
      <c r="K1" s="3505"/>
      <c r="L1" s="3505"/>
      <c r="N1" s="3505" t="s">
        <v>1119</v>
      </c>
      <c r="O1" s="3505"/>
      <c r="P1" s="3505"/>
      <c r="Q1" s="3505"/>
      <c r="S1" s="3505" t="s">
        <v>1120</v>
      </c>
      <c r="T1" s="3505"/>
      <c r="U1" s="3505"/>
      <c r="V1" s="3505"/>
      <c r="X1" s="3504" t="s">
        <v>1121</v>
      </c>
      <c r="Y1" s="3505"/>
      <c r="Z1" s="3505"/>
      <c r="AA1" s="3505"/>
      <c r="AB1" s="3505"/>
      <c r="AD1" s="3504" t="s">
        <v>1122</v>
      </c>
      <c r="AE1" s="3505"/>
      <c r="AF1" s="3505"/>
      <c r="AG1" s="3505"/>
      <c r="AH1" s="3505"/>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3059</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3060</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5">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3058</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2871</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2869</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2868</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2867</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2865</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2863</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2866</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502">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2861</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502"/>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2860</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502"/>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2853</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511"/>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2851</v>
      </c>
      <c r="B18" s="2440">
        <v>439</v>
      </c>
      <c r="C18" s="2440">
        <v>327</v>
      </c>
      <c r="D18" s="2440">
        <f>C18</f>
        <v>327</v>
      </c>
      <c r="E18" s="2440">
        <v>627</v>
      </c>
      <c r="F18" s="2441">
        <v>283</v>
      </c>
      <c r="G18" s="3507">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2852</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502"/>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502"/>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511"/>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507">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502"/>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502"/>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503"/>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501">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502"/>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502"/>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503"/>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501">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502"/>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502"/>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503"/>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508">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509"/>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509"/>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510"/>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501">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502"/>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502"/>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503"/>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501">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502">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502">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503">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501">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502">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502">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503">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501">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502">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502">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503">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501">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502">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502">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503">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501">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502">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502">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503">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501">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502">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502">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503">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501">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502">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502">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503">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501">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502">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502">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503">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501">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502">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502">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503">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501">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502">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502">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503">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515" t="s">
        <v>2824</v>
      </c>
      <c r="D1" s="3516"/>
      <c r="E1" s="3516"/>
      <c r="F1" s="3516"/>
      <c r="G1" s="3516"/>
      <c r="H1" s="3516"/>
      <c r="I1" s="3516"/>
      <c r="J1" s="3516"/>
      <c r="K1" s="3516"/>
      <c r="L1" s="3516"/>
      <c r="M1" s="3516"/>
      <c r="N1" s="3516"/>
      <c r="O1" s="3516"/>
      <c r="P1" s="3516"/>
      <c r="Q1" s="3516"/>
      <c r="R1" s="3516"/>
      <c r="S1" s="3517"/>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512" t="s">
        <v>33</v>
      </c>
      <c r="D22" s="3513"/>
      <c r="E22" s="3513"/>
      <c r="F22" s="3513"/>
      <c r="G22" s="3513"/>
      <c r="H22" s="3513"/>
      <c r="I22" s="3513"/>
      <c r="J22" s="3513"/>
      <c r="K22" s="3513"/>
      <c r="L22" s="3513"/>
      <c r="M22" s="3513"/>
      <c r="N22" s="3513"/>
      <c r="O22" s="3513"/>
      <c r="P22" s="3513"/>
      <c r="Q22" s="3514"/>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31073</v>
      </c>
      <c r="C2" s="2" t="s">
        <v>133</v>
      </c>
      <c r="D2" s="205"/>
      <c r="E2" s="205"/>
      <c r="F2" s="205"/>
      <c r="G2" s="205"/>
    </row>
    <row r="3" spans="1:7" s="206" customFormat="1" ht="18" customHeight="1" thickBot="1">
      <c r="A3" s="209" t="s">
        <v>85</v>
      </c>
      <c r="B3" s="210">
        <f ca="1">ROUND(B2*10000/'数据-汇总表'!E3,0)</f>
        <v>26945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220</v>
      </c>
      <c r="F9" s="227"/>
      <c r="G9" s="232"/>
    </row>
    <row r="10" spans="1:7" s="220" customFormat="1" ht="13.5" customHeight="1">
      <c r="A10" s="887" t="s">
        <v>801</v>
      </c>
      <c r="B10" s="230" t="s">
        <v>94</v>
      </c>
      <c r="C10" s="231">
        <f>ROUND(D10*E10/10000,0)</f>
        <v>254</v>
      </c>
      <c r="D10" s="954">
        <f>'数据-汇总表'!E6</f>
        <v>11531.84</v>
      </c>
      <c r="E10" s="231">
        <f>'数据-取费表'!B28</f>
        <v>220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231</v>
      </c>
      <c r="D19" s="958">
        <f>'数据-汇总表'!E3</f>
        <v>11531.84</v>
      </c>
      <c r="E19" s="217">
        <f>'数据-取费表'!B31</f>
        <v>200</v>
      </c>
      <c r="F19" s="237"/>
      <c r="G19" s="1" t="s">
        <v>1042</v>
      </c>
    </row>
    <row r="20" spans="1:7" s="220" customFormat="1" ht="13.5" customHeight="1">
      <c r="A20" s="885" t="s">
        <v>1025</v>
      </c>
      <c r="B20" s="216" t="s">
        <v>104</v>
      </c>
      <c r="C20" s="238">
        <f>ROUND((C5+C19)*F20,0)</f>
        <v>625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658</v>
      </c>
      <c r="D22" s="241">
        <f ca="1">C26</f>
        <v>5.0000000000000001E-4</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641</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v>
      </c>
      <c r="D24" s="244"/>
      <c r="E24" s="244"/>
      <c r="F24" s="245"/>
      <c r="G24" s="246" t="s">
        <v>109</v>
      </c>
    </row>
    <row r="25" spans="1:7" s="220" customFormat="1" ht="24">
      <c r="A25" s="888" t="s">
        <v>793</v>
      </c>
      <c r="B25" s="221" t="s">
        <v>1026</v>
      </c>
      <c r="C25" s="1265">
        <f ca="1">ROUND(IF('数据-取费表'!B22&lt;=1,C20*F22*'数据-取费表'!B23/2,C20*(POWER((1+F22),'数据-取费表'!B23/2)-1)),0)</f>
        <v>10</v>
      </c>
      <c r="D25" s="244"/>
      <c r="E25" s="247"/>
      <c r="F25" s="245"/>
      <c r="G25" s="248" t="s">
        <v>110</v>
      </c>
    </row>
    <row r="26" spans="1:7" s="220" customFormat="1">
      <c r="A26" s="888" t="s">
        <v>795</v>
      </c>
      <c r="B26" s="221" t="s">
        <v>1028</v>
      </c>
      <c r="C26" s="244">
        <f ca="1">ROUND(IF('数据-取费表'!B22&lt;=1,F21*F22*'数据-取费表'!B23/2,F21*(POWER((1+F22),'数据-取费表'!B23/2)-1)),4)</f>
        <v>5.0000000000000001E-4</v>
      </c>
      <c r="D26" s="244"/>
      <c r="E26" s="247"/>
      <c r="F26" s="245"/>
      <c r="G26" s="249"/>
    </row>
    <row r="27" spans="1:7" s="220" customFormat="1" ht="24.75">
      <c r="A27" s="885" t="s">
        <v>787</v>
      </c>
      <c r="B27" s="250" t="s">
        <v>112</v>
      </c>
      <c r="C27" s="251">
        <f>C28</f>
        <v>1417</v>
      </c>
      <c r="D27" s="241">
        <f>C29</f>
        <v>2E-3</v>
      </c>
      <c r="E27" s="242" t="s">
        <v>126</v>
      </c>
      <c r="F27" s="252">
        <f>'数据-取费表'!Q16</f>
        <v>0.3</v>
      </c>
      <c r="G27" s="253" t="s">
        <v>1037</v>
      </c>
    </row>
    <row r="28" spans="1:7" s="220" customFormat="1" ht="13.5" customHeight="1">
      <c r="A28" s="888" t="s">
        <v>794</v>
      </c>
      <c r="B28" s="254" t="s">
        <v>1030</v>
      </c>
      <c r="C28" s="255">
        <f>ROUND((C5+C19+C20)*F27*'数据-取费表'!B21/'数据-取费表'!B20,0)</f>
        <v>1417</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25751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3563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3298</v>
      </c>
      <c r="D34" s="223"/>
      <c r="E34" s="226"/>
      <c r="F34" s="263">
        <f>IF('数据-取费表'!B24=0,1,'数据-取费表'!N16)</f>
        <v>0.22</v>
      </c>
      <c r="G34" s="225" t="s">
        <v>116</v>
      </c>
    </row>
    <row r="35" spans="1:7" ht="13.5" customHeight="1">
      <c r="A35" s="888" t="s">
        <v>796</v>
      </c>
      <c r="B35" s="221" t="s">
        <v>60</v>
      </c>
      <c r="C35" s="226">
        <f>ROUND(C34*F35,0)</f>
        <v>165</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51</v>
      </c>
      <c r="D37" s="223">
        <f>'数据-汇总表'!E3</f>
        <v>11531.84</v>
      </c>
      <c r="E37" s="255">
        <f>'数据-取费表'!B35</f>
        <v>200</v>
      </c>
      <c r="F37" s="265"/>
      <c r="G37" s="267" t="s">
        <v>119</v>
      </c>
    </row>
    <row r="38" spans="1:7" ht="13.5" customHeight="1">
      <c r="A38" s="888" t="s">
        <v>799</v>
      </c>
      <c r="B38" s="221" t="s">
        <v>63</v>
      </c>
      <c r="C38" s="226">
        <f>ROUND(C34*F38,0)</f>
        <v>49</v>
      </c>
      <c r="D38" s="226"/>
      <c r="E38" s="226"/>
      <c r="F38" s="265">
        <f>'数据-取费表'!B36</f>
        <v>1.4999999999999999E-2</v>
      </c>
      <c r="G38" s="225" t="s">
        <v>117</v>
      </c>
    </row>
    <row r="39" spans="1:7" s="220" customFormat="1" ht="13.5" customHeight="1">
      <c r="A39" s="885" t="s">
        <v>783</v>
      </c>
      <c r="B39" s="216" t="s">
        <v>104</v>
      </c>
      <c r="C39" s="238">
        <f>ROUND(C33*F20,0)</f>
        <v>107</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57</v>
      </c>
      <c r="D41" s="241">
        <f ca="1">C44</f>
        <v>5.0000000000000001E-4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55</v>
      </c>
      <c r="D42" s="244"/>
      <c r="E42" s="244"/>
      <c r="F42" s="245"/>
      <c r="G42" s="3372" t="s">
        <v>121</v>
      </c>
    </row>
    <row r="43" spans="1:7" ht="13.5" customHeight="1">
      <c r="A43" s="888" t="s">
        <v>792</v>
      </c>
      <c r="B43" s="221" t="s">
        <v>1032</v>
      </c>
      <c r="C43" s="244">
        <f ca="1">ROUND(IF('数据-取费表'!B22&lt;=1,C39*F22*'数据-取费表'!B21/2,C39*(POWER((1+F22),'数据-取费表'!B21/2)-1)),0)</f>
        <v>2</v>
      </c>
      <c r="D43" s="244"/>
      <c r="E43" s="244"/>
      <c r="F43" s="245"/>
      <c r="G43" s="3373"/>
    </row>
    <row r="44" spans="1:7" ht="13.5" customHeight="1">
      <c r="A44" s="888" t="s">
        <v>793</v>
      </c>
      <c r="B44" s="221" t="s">
        <v>1034</v>
      </c>
      <c r="C44" s="244">
        <f ca="1">ROUND(IF('数据-取费表'!B22&lt;=1,C40*F22*'数据-取费表'!B21/2,C40*(POWER((1+F22),'数据-取费表'!B21/2)-1)),4)</f>
        <v>5.0000000000000001E-4</v>
      </c>
      <c r="D44" s="244"/>
      <c r="E44" s="244"/>
      <c r="F44" s="245"/>
      <c r="G44" s="3374"/>
    </row>
    <row r="45" spans="1:7" s="220" customFormat="1" ht="13.5" customHeight="1">
      <c r="A45" s="885" t="s">
        <v>786</v>
      </c>
      <c r="B45" s="250" t="s">
        <v>112</v>
      </c>
      <c r="C45" s="251">
        <f>C46</f>
        <v>1101</v>
      </c>
      <c r="D45" s="241">
        <f>C47</f>
        <v>8.9999999999999993E-3</v>
      </c>
      <c r="E45" s="242" t="s">
        <v>129</v>
      </c>
      <c r="F45" s="252"/>
      <c r="G45" s="253" t="s">
        <v>1040</v>
      </c>
    </row>
    <row r="46" spans="1:7" s="220" customFormat="1" ht="13.5" customHeight="1">
      <c r="A46" s="888" t="s">
        <v>794</v>
      </c>
      <c r="B46" s="254" t="s">
        <v>1033</v>
      </c>
      <c r="C46" s="255">
        <f>ROUND((C33+C39)*F27,0)</f>
        <v>1101</v>
      </c>
      <c r="D46" s="269"/>
      <c r="E46" s="242"/>
      <c r="F46" s="252"/>
      <c r="G46" s="253"/>
    </row>
    <row r="47" spans="1:7" s="220" customFormat="1" ht="13.5" customHeight="1">
      <c r="A47" s="888" t="s">
        <v>792</v>
      </c>
      <c r="B47" s="254" t="s">
        <v>1035</v>
      </c>
      <c r="C47" s="244">
        <f>ROUND(C40*F27,4)</f>
        <v>8.9999999999999993E-3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5322</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5322</v>
      </c>
      <c r="D51" s="238"/>
      <c r="E51" s="238"/>
      <c r="F51" s="270"/>
      <c r="G51" s="240" t="s">
        <v>64</v>
      </c>
    </row>
    <row r="52" spans="1:7" s="214" customFormat="1" ht="16.5" thickBot="1">
      <c r="A52" s="271" t="s">
        <v>65</v>
      </c>
      <c r="B52" s="272"/>
      <c r="C52" s="273">
        <f ca="1">C31+C51</f>
        <v>31073</v>
      </c>
      <c r="D52" s="272"/>
      <c r="E52" s="272"/>
      <c r="F52" s="272"/>
      <c r="G52" s="274"/>
    </row>
    <row r="55" spans="1:7" ht="15">
      <c r="B55" s="276" t="s">
        <v>66</v>
      </c>
      <c r="C55" s="277"/>
    </row>
    <row r="56" spans="1:7">
      <c r="B56" s="279" t="s">
        <v>67</v>
      </c>
      <c r="C56" s="280">
        <f ca="1">ROUND(C51/C52,3)</f>
        <v>0.17100000000000001</v>
      </c>
    </row>
    <row r="57" spans="1:7">
      <c r="B57" s="279" t="s">
        <v>68</v>
      </c>
      <c r="C57" s="281">
        <f ca="1">1-C56</f>
        <v>0.82899999999999996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18" t="s">
        <v>156</v>
      </c>
      <c r="B1" s="3518"/>
      <c r="C1" s="3518"/>
      <c r="D1" s="3518"/>
      <c r="E1" s="3518"/>
      <c r="F1" s="351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19" t="s">
        <v>169</v>
      </c>
      <c r="B2" s="3519"/>
      <c r="C2" s="3519"/>
      <c r="D2" s="3519"/>
      <c r="E2" s="3519"/>
      <c r="F2" s="351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2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2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18" t="s">
        <v>839</v>
      </c>
      <c r="B1" s="351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44203</v>
      </c>
      <c r="D1" s="1472" t="s">
        <v>1268</v>
      </c>
      <c r="E1" s="1467">
        <f>'数据-取费表'!B22</f>
        <v>3</v>
      </c>
      <c r="F1" s="1472" t="s">
        <v>1269</v>
      </c>
      <c r="G1" s="1468">
        <f ca="1">INDIRECT("d"&amp;$K$1)/100</f>
        <v>4.7500000000000001E-2</v>
      </c>
      <c r="H1" s="1472" t="s">
        <v>1299</v>
      </c>
      <c r="I1" s="1468">
        <f ca="1">F4/100</f>
        <v>1.4999999999999999E-2</v>
      </c>
      <c r="J1" s="1473">
        <f>IF(C1&gt;C13,0,MATCH(C1,C$13:C$100,-1))+IF(SUMIF(C13:C100,C1,D13:D100)=0,13,12)</f>
        <v>13</v>
      </c>
      <c r="K1" s="1473">
        <f ca="1">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RowHeight="13.5"/>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37" t="str">
        <f>IF(项目基本情况!B9="房地产市场价值","估价结果一览表","结果表-2")</f>
        <v>结果表-2</v>
      </c>
      <c r="B1" s="3137"/>
      <c r="C1" s="3137"/>
      <c r="D1" s="3137"/>
      <c r="E1" s="3137"/>
      <c r="F1" s="3137"/>
      <c r="G1" s="3137"/>
      <c r="H1" s="3137"/>
      <c r="I1" s="3137"/>
    </row>
    <row r="2" spans="1:9" ht="30" customHeight="1" thickTop="1">
      <c r="A2" s="3138" t="s">
        <v>1606</v>
      </c>
      <c r="B2" s="3138" t="s">
        <v>1607</v>
      </c>
      <c r="C2" s="3138" t="s">
        <v>1608</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
      <c r="A3" s="3132"/>
      <c r="B3" s="3132"/>
      <c r="C3" s="3132"/>
      <c r="D3" s="963" t="s">
        <v>1603</v>
      </c>
      <c r="E3" s="963" t="s">
        <v>1609</v>
      </c>
      <c r="F3" s="963" t="s">
        <v>1603</v>
      </c>
      <c r="G3" s="963" t="s">
        <v>1604</v>
      </c>
      <c r="H3" s="963" t="s">
        <v>1603</v>
      </c>
      <c r="I3" s="963" t="s">
        <v>1604</v>
      </c>
    </row>
    <row r="4" spans="1:9" ht="30">
      <c r="A4" s="1692" t="str">
        <f>项目基本情况!S2</f>
        <v>出让国有建设用地使用权及在建建筑物房地产</v>
      </c>
      <c r="B4" s="963">
        <f>项目基本情况!C17</f>
        <v>11531.84</v>
      </c>
      <c r="C4" s="963">
        <f>项目基本情况!C18</f>
        <v>10684.47</v>
      </c>
      <c r="D4" s="963">
        <f ca="1">结果表!D118</f>
        <v>35267</v>
      </c>
      <c r="E4" s="963">
        <f ca="1">结果表!E118</f>
        <v>60903</v>
      </c>
      <c r="F4" s="963">
        <f ca="1">结果表!F118</f>
        <v>14686</v>
      </c>
      <c r="G4" s="963">
        <f ca="1">结果表!G118</f>
        <v>25362</v>
      </c>
      <c r="H4" s="963">
        <f ca="1">结果表!H118</f>
        <v>49953</v>
      </c>
      <c r="I4" s="963">
        <f ca="1">结果表!I118</f>
        <v>86265</v>
      </c>
    </row>
    <row r="5" spans="1:9" ht="30" customHeight="1">
      <c r="A5" s="3132" t="s">
        <v>1605</v>
      </c>
      <c r="B5" s="3132"/>
      <c r="C5" s="3132"/>
      <c r="D5" s="3133" t="str">
        <f ca="1">结果表!D119</f>
        <v>叁亿伍仟贰佰陆拾柒万元整</v>
      </c>
      <c r="E5" s="3133"/>
      <c r="F5" s="3133" t="str">
        <f ca="1">结果表!F119</f>
        <v>壹亿肆仟陆佰捌拾陆万元整</v>
      </c>
      <c r="G5" s="3133"/>
      <c r="H5" s="3133" t="str">
        <f ca="1">结果表!H119</f>
        <v>肆亿玖仟玖佰伍拾叁万元整</v>
      </c>
      <c r="I5" s="3133"/>
    </row>
    <row r="6" spans="1:9" ht="15.75">
      <c r="A6" s="3131" t="str">
        <f>结果表!A120</f>
        <v>估价师知悉的法定优先受偿款</v>
      </c>
      <c r="B6" s="3131"/>
      <c r="C6" s="3131"/>
      <c r="D6" s="3131">
        <f>结果表!D120</f>
        <v>0</v>
      </c>
      <c r="E6" s="3131"/>
      <c r="F6" s="3131"/>
      <c r="G6" s="3131"/>
      <c r="H6" s="3131"/>
      <c r="I6" s="3131"/>
    </row>
    <row r="7" spans="1:9" ht="15">
      <c r="A7" s="3132" t="s">
        <v>1605</v>
      </c>
      <c r="B7" s="3132"/>
      <c r="C7" s="3132"/>
      <c r="D7" s="3134" t="str">
        <f>结果表!D121</f>
        <v>零元整</v>
      </c>
      <c r="E7" s="3135"/>
      <c r="F7" s="3135"/>
      <c r="G7" s="3135"/>
      <c r="H7" s="3135"/>
      <c r="I7" s="3136"/>
    </row>
    <row r="8" spans="1:9" ht="15.75">
      <c r="A8" s="3131" t="str">
        <f>结果表!A122</f>
        <v>房地产抵押价值</v>
      </c>
      <c r="B8" s="3131"/>
      <c r="C8" s="3131"/>
      <c r="D8" s="3131">
        <f ca="1">结果表!D122</f>
        <v>49953</v>
      </c>
      <c r="E8" s="3131"/>
      <c r="F8" s="3131"/>
      <c r="G8" s="3131"/>
      <c r="H8" s="3131"/>
      <c r="I8" s="3131"/>
    </row>
    <row r="9" spans="1:9" ht="15">
      <c r="A9" s="3132" t="s">
        <v>1605</v>
      </c>
      <c r="B9" s="3132"/>
      <c r="C9" s="3132"/>
      <c r="D9" s="3133" t="str">
        <f ca="1">结果表!D123</f>
        <v>肆亿玖仟玖佰伍拾叁万元整</v>
      </c>
      <c r="E9" s="3133"/>
      <c r="F9" s="3133"/>
      <c r="G9" s="3133"/>
      <c r="H9" s="3133"/>
      <c r="I9" s="3133"/>
    </row>
    <row r="10" spans="1:9" ht="15.75">
      <c r="A10" s="3131" t="str">
        <f>结果表!A124</f>
        <v/>
      </c>
      <c r="B10" s="3131"/>
      <c r="C10" s="3131"/>
      <c r="D10" s="3131" t="str">
        <f>结果表!D124</f>
        <v>——</v>
      </c>
      <c r="E10" s="3131"/>
      <c r="F10" s="3131"/>
      <c r="G10" s="3131"/>
      <c r="H10" s="3131"/>
      <c r="I10" s="3131"/>
    </row>
    <row r="11" spans="1:9" ht="15">
      <c r="A11" s="3132" t="s">
        <v>1605</v>
      </c>
      <c r="B11" s="3132"/>
      <c r="C11" s="3132"/>
      <c r="D11" s="3133" t="e">
        <f>结果表!D125</f>
        <v>#VALUE!</v>
      </c>
      <c r="E11" s="3133"/>
      <c r="F11" s="3133"/>
      <c r="G11" s="3133"/>
      <c r="H11" s="3133"/>
      <c r="I11" s="3133"/>
    </row>
    <row r="12" spans="1:9" ht="15.75">
      <c r="A12" s="3131" t="str">
        <f>结果表!A126</f>
        <v/>
      </c>
      <c r="B12" s="3131"/>
      <c r="C12" s="3131"/>
      <c r="D12" s="3131" t="str">
        <f>结果表!D126</f>
        <v>——</v>
      </c>
      <c r="E12" s="3131"/>
      <c r="F12" s="3131"/>
      <c r="G12" s="3131"/>
      <c r="H12" s="3131"/>
      <c r="I12" s="3131"/>
    </row>
    <row r="13" spans="1:9" ht="15.75" thickBot="1">
      <c r="A13" s="3128" t="s">
        <v>1605</v>
      </c>
      <c r="B13" s="3128"/>
      <c r="C13" s="3128"/>
      <c r="D13" s="3129" t="e">
        <f>结果表!D127</f>
        <v>#VALUE!</v>
      </c>
      <c r="E13" s="3129"/>
      <c r="F13" s="3129"/>
      <c r="G13" s="3129"/>
      <c r="H13" s="3129"/>
      <c r="I13" s="3129"/>
    </row>
    <row r="14" spans="1:9" ht="15" thickTop="1">
      <c r="A14" s="3130" t="s">
        <v>1610</v>
      </c>
      <c r="B14" s="3130"/>
      <c r="C14" s="3130"/>
      <c r="D14" s="3130"/>
      <c r="E14" s="3130"/>
      <c r="F14" s="3130"/>
      <c r="G14" s="3130"/>
      <c r="H14" s="3130"/>
      <c r="I14" s="3130"/>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45" t="s">
        <v>1627</v>
      </c>
      <c r="B1" s="3145"/>
      <c r="C1" s="3145"/>
      <c r="D1" s="3145"/>
    </row>
    <row r="2" spans="1:4" ht="18">
      <c r="A2" s="3146" t="s">
        <v>1611</v>
      </c>
      <c r="B2" s="3146"/>
      <c r="C2" s="3146"/>
      <c r="D2" s="3146"/>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146" t="s">
        <v>1617</v>
      </c>
      <c r="B6" s="3146"/>
      <c r="C6" s="3146"/>
      <c r="D6" s="3146"/>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147" t="s">
        <v>1620</v>
      </c>
      <c r="B11" s="3139"/>
      <c r="C11" s="3139"/>
      <c r="D11" s="3139"/>
    </row>
    <row r="12" spans="1:4" ht="15.75">
      <c r="A12" s="31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4"/>
      <c r="C12" s="3144"/>
      <c r="D12" s="3144"/>
    </row>
    <row r="13" spans="1:4" ht="30" customHeight="1">
      <c r="A13" s="31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4"/>
      <c r="C13" s="3144"/>
      <c r="D13" s="3144"/>
    </row>
    <row r="14" spans="1:4" ht="15.75" customHeight="1">
      <c r="A14" s="3139" t="str">
        <f>IF(项目基本情况!B8="抵押","4.本次评估估价师所知悉的法定优先受偿款情况说明如下：","——")</f>
        <v>4.本次评估估价师所知悉的法定优先受偿款情况说明如下：</v>
      </c>
      <c r="B14" s="3144"/>
      <c r="C14" s="3144"/>
      <c r="D14" s="3144"/>
    </row>
    <row r="15" spans="1:4" ht="42" customHeight="1">
      <c r="A15" s="31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9"/>
      <c r="C15" s="3139"/>
      <c r="D15" s="3139"/>
    </row>
    <row r="16" spans="1:4" ht="30" customHeight="1">
      <c r="A16" s="3141" t="s">
        <v>1621</v>
      </c>
      <c r="B16" s="3141"/>
      <c r="C16" s="3141"/>
      <c r="D16" s="3141"/>
    </row>
    <row r="17" spans="1:4" ht="144" customHeight="1">
      <c r="A17" s="3141" t="s">
        <v>1622</v>
      </c>
      <c r="B17" s="3141"/>
      <c r="C17" s="3141"/>
      <c r="D17" s="3141"/>
    </row>
    <row r="18" spans="1:4" ht="15.75" customHeight="1">
      <c r="A18" s="3139" t="str">
        <f>IF(项目基本情况!B8="抵押",结果表!K120,"——")</f>
        <v>故，本次评估不存在估价师知悉的法定优先受偿款</v>
      </c>
      <c r="B18" s="3139"/>
      <c r="C18" s="3139"/>
      <c r="D18" s="3139"/>
    </row>
    <row r="19" spans="1:4" ht="46.5" customHeight="1">
      <c r="A19" s="31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9"/>
      <c r="C19" s="3139"/>
      <c r="D19" s="3139"/>
    </row>
    <row r="20" spans="1:4" ht="57.75" customHeight="1">
      <c r="A20" s="31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9"/>
      <c r="C20" s="3139"/>
      <c r="D20" s="3139"/>
    </row>
    <row r="21" spans="1:4" ht="57.75" customHeight="1">
      <c r="A21" s="31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2"/>
      <c r="C21" s="3142"/>
      <c r="D21" s="3142"/>
    </row>
    <row r="22" spans="1:4" ht="18.75" customHeight="1">
      <c r="A22" s="3143" t="s">
        <v>1623</v>
      </c>
      <c r="B22" s="3143"/>
      <c r="C22" s="3143"/>
      <c r="D22" s="3143"/>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140">
        <v>42551</v>
      </c>
      <c r="D31" s="31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153" t="s">
        <v>1634</v>
      </c>
      <c r="B15" s="3148" t="s">
        <v>136</v>
      </c>
      <c r="C15" s="3149"/>
    </row>
    <row r="16" spans="1:7" ht="13.5">
      <c r="A16" s="3154"/>
      <c r="B16" s="3148" t="s">
        <v>69</v>
      </c>
      <c r="C16" s="3149"/>
    </row>
    <row r="17" spans="1:3" ht="13.5">
      <c r="A17" s="3154"/>
      <c r="B17" s="3151" t="s">
        <v>1635</v>
      </c>
      <c r="C17" s="1719" t="s">
        <v>1634</v>
      </c>
    </row>
    <row r="18" spans="1:3" ht="13.5">
      <c r="A18" s="3154"/>
      <c r="B18" s="3151"/>
      <c r="C18" s="1719" t="s">
        <v>1636</v>
      </c>
    </row>
    <row r="19" spans="1:3" ht="13.5">
      <c r="A19" s="3154"/>
      <c r="B19" s="3151"/>
      <c r="C19" s="1719" t="s">
        <v>1637</v>
      </c>
    </row>
    <row r="20" spans="1:3" ht="13.5">
      <c r="A20" s="3155"/>
      <c r="B20" s="3150" t="s">
        <v>1638</v>
      </c>
      <c r="C20" s="3149"/>
    </row>
    <row r="21" spans="1:3" ht="13.5">
      <c r="A21" s="1720" t="s">
        <v>1639</v>
      </c>
      <c r="B21" s="1721"/>
      <c r="C21" s="1722"/>
    </row>
    <row r="22" spans="1:3" ht="13.5">
      <c r="A22" s="3152" t="s">
        <v>1640</v>
      </c>
      <c r="B22" s="3150" t="s">
        <v>1641</v>
      </c>
      <c r="C22" s="3149"/>
    </row>
    <row r="23" spans="1:3" ht="13.5">
      <c r="A23" s="3152"/>
      <c r="B23" s="3150" t="s">
        <v>1642</v>
      </c>
      <c r="C23" s="3149"/>
    </row>
    <row r="24" spans="1:3" ht="13.5">
      <c r="A24" s="3152"/>
      <c r="B24" s="3150" t="s">
        <v>1643</v>
      </c>
      <c r="C24" s="3149"/>
    </row>
    <row r="25" spans="1:3" ht="13.5">
      <c r="A25" s="3152"/>
      <c r="B25" s="3151" t="s">
        <v>1644</v>
      </c>
      <c r="C25" s="1719" t="s">
        <v>1645</v>
      </c>
    </row>
    <row r="26" spans="1:3" ht="13.5">
      <c r="A26" s="3152"/>
      <c r="B26" s="3151"/>
      <c r="C26" s="1719" t="s">
        <v>1646</v>
      </c>
    </row>
    <row r="27" spans="1:3" ht="13.5">
      <c r="A27" s="3152"/>
      <c r="B27" s="3151"/>
      <c r="C27" s="1719" t="s">
        <v>1647</v>
      </c>
    </row>
    <row r="28" spans="1:3" ht="13.5">
      <c r="A28" s="3152"/>
      <c r="B28" s="3151"/>
      <c r="C28" s="1719" t="s">
        <v>1648</v>
      </c>
    </row>
    <row r="29" spans="1:3" ht="13.5">
      <c r="A29" s="3152"/>
      <c r="B29" s="3151"/>
      <c r="C29" s="1719" t="s">
        <v>1649</v>
      </c>
    </row>
    <row r="30" spans="1:3" ht="13.5">
      <c r="A30" s="3152"/>
      <c r="B30" s="3151"/>
      <c r="C30" s="1719" t="s">
        <v>1650</v>
      </c>
    </row>
    <row r="31" spans="1:3" ht="13.5">
      <c r="A31" s="3152"/>
      <c r="B31" s="3151"/>
      <c r="C31" s="1719" t="s">
        <v>1651</v>
      </c>
    </row>
    <row r="32" spans="1:3" ht="13.5">
      <c r="A32" s="3152"/>
      <c r="B32" s="3151"/>
      <c r="C32" s="1719" t="s">
        <v>1652</v>
      </c>
    </row>
    <row r="33" spans="1:3" ht="13.5">
      <c r="A33" s="3152"/>
      <c r="B33" s="3151"/>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44204</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56" t="s">
        <v>2901</v>
      </c>
      <c r="B17" s="3156"/>
      <c r="C17" s="3156"/>
      <c r="D17" s="3156"/>
      <c r="E17" s="3156"/>
      <c r="F17" s="3156"/>
      <c r="G17" s="3156"/>
      <c r="H17" s="3156"/>
    </row>
    <row r="18" spans="1:8" ht="24" customHeight="1">
      <c r="A18" s="3157" t="s">
        <v>2902</v>
      </c>
      <c r="B18" s="3157"/>
      <c r="C18" s="3157"/>
      <c r="D18" s="2568"/>
      <c r="E18" s="3158" t="s">
        <v>2903</v>
      </c>
      <c r="F18" s="3157"/>
      <c r="G18" s="3157"/>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面积表</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2021-01-08T07:36:54Z</dcterms:modified>
</cp:coreProperties>
</file>