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4" i="74" l="1"/>
  <c r="D3" i="4"/>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R11" i="79" l="1"/>
  <c r="AB38" i="79"/>
  <c r="AA38" i="79"/>
  <c r="Z38" i="79"/>
  <c r="N38" i="79"/>
  <c r="M38" i="79"/>
  <c r="L38" i="79"/>
  <c r="I38" i="79"/>
  <c r="AC10" i="79"/>
  <c r="AB10" i="79"/>
  <c r="AA10" i="79"/>
  <c r="AD10" i="79" s="1"/>
  <c r="Z10" i="79"/>
  <c r="Y10" i="79"/>
  <c r="O10" i="79"/>
  <c r="N10" i="79"/>
  <c r="M10" i="79"/>
  <c r="P10" i="79" s="1"/>
  <c r="L10" i="79"/>
  <c r="K10" i="79"/>
  <c r="I10" i="79"/>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9" s="1"/>
  <c r="C67" i="39"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U9" i="39"/>
  <c r="W40"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U31" i="35"/>
  <c r="W22" i="35"/>
  <c r="S31" i="35"/>
  <c r="U34" i="35"/>
  <c r="F36" i="34"/>
  <c r="J35" i="34"/>
  <c r="H39" i="33"/>
  <c r="AB39" i="33"/>
  <c r="F26" i="33"/>
  <c r="AA26" i="33"/>
  <c r="U33" i="33"/>
  <c r="U35" i="33"/>
  <c r="W33"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37" i="3"/>
  <c r="AZ245" i="3"/>
  <c r="AZ257" i="3"/>
  <c r="AZ265" i="3"/>
  <c r="BA379" i="3"/>
  <c r="AZ379" i="3" s="1"/>
  <c r="BL380" i="3"/>
  <c r="G381" i="3"/>
  <c r="BA383" i="3"/>
  <c r="AZ383" i="3" s="1"/>
  <c r="BL384" i="3"/>
  <c r="G385" i="3"/>
  <c r="BA387" i="3"/>
  <c r="BL388" i="3"/>
  <c r="G389" i="3"/>
  <c r="BA391" i="3"/>
  <c r="AZ391" i="3" s="1"/>
  <c r="BL392" i="3"/>
  <c r="G393" i="3"/>
  <c r="AZ283" i="3"/>
  <c r="BO5" i="3"/>
  <c r="BM5" i="3"/>
  <c r="F29" i="6" s="1"/>
  <c r="BJ5" i="3"/>
  <c r="BH5" i="3"/>
  <c r="BF5" i="3"/>
  <c r="BD5" i="3"/>
  <c r="AZ341" i="3"/>
  <c r="AC5" i="3"/>
  <c r="AZ506" i="3"/>
  <c r="AZ496" i="3"/>
  <c r="G548" i="3"/>
  <c r="G538" i="3"/>
  <c r="G520" i="3"/>
  <c r="G502" i="3"/>
  <c r="BS5" i="3"/>
  <c r="BP5" i="3"/>
  <c r="BN5" i="3"/>
  <c r="G29" i="6" s="1"/>
  <c r="BK5" i="3"/>
  <c r="BI5" i="3"/>
  <c r="BG5" i="3"/>
  <c r="BE5" i="3"/>
  <c r="BC5" i="3"/>
  <c r="G17" i="3"/>
  <c r="BA17" i="3"/>
  <c r="BT5" i="3"/>
  <c r="AZ350" i="3"/>
  <c r="AZ356" i="3"/>
  <c r="BA15" i="3"/>
  <c r="BB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133" i="3"/>
  <c r="AZ50" i="3"/>
  <c r="AZ7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c r="F39" i="40"/>
  <c r="BA14" i="3"/>
  <c r="AZ224" i="3"/>
  <c r="AZ157" i="3"/>
  <c r="B12" i="1"/>
  <c r="E12" i="1" s="1"/>
  <c r="B10" i="1"/>
  <c r="E10" i="1" s="1"/>
  <c r="AZ88"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U25" i="33"/>
  <c r="AB25" i="33"/>
  <c r="S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S13" i="21"/>
  <c r="D6" i="52"/>
  <c r="AP7" i="1"/>
  <c r="AB45" i="21"/>
  <c r="AB9" i="21"/>
  <c r="U9" i="21"/>
  <c r="AA32" i="21"/>
  <c r="S32" i="21"/>
  <c r="W9" i="21"/>
  <c r="AC9" i="21"/>
  <c r="AB32" i="21"/>
  <c r="U32" i="21"/>
  <c r="U32" i="39"/>
  <c r="AC32" i="39"/>
  <c r="W32" i="39"/>
  <c r="W23" i="37"/>
  <c r="AC23" i="37"/>
  <c r="J11" i="37"/>
  <c r="AC11" i="37" s="1"/>
  <c r="H70" i="34"/>
  <c r="I70" i="34" s="1"/>
  <c r="J70" i="34" s="1"/>
  <c r="K70" i="34"/>
  <c r="L70" i="34" s="1"/>
  <c r="M70" i="34" s="1"/>
  <c r="J11" i="34"/>
  <c r="W11" i="34" s="1"/>
  <c r="AB36" i="33"/>
  <c r="W27" i="33"/>
  <c r="AC27" i="33"/>
  <c r="W25" i="33"/>
  <c r="AC25" i="33"/>
  <c r="AB19" i="33"/>
  <c r="U19" i="33"/>
  <c r="U23" i="21"/>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15"/>
  <c r="F42" i="67"/>
  <c r="J15" i="67"/>
  <c r="AO13" i="1"/>
  <c r="M29" i="67"/>
  <c r="C19" i="9"/>
  <c r="M9" i="67"/>
  <c r="F8" i="67"/>
  <c r="F16" i="67"/>
  <c r="C76" i="67"/>
  <c r="F37" i="15"/>
  <c r="E7" i="76"/>
  <c r="M28" i="15"/>
  <c r="F3" i="73"/>
  <c r="F7" i="67"/>
  <c r="F13" i="15"/>
  <c r="M23" i="15"/>
  <c r="B10" i="76"/>
  <c r="D35" i="9"/>
  <c r="B12" i="76"/>
  <c r="F9" i="67"/>
  <c r="F36" i="15"/>
  <c r="F5" i="73"/>
  <c r="B9" i="76"/>
  <c r="F40" i="67"/>
  <c r="F20" i="31"/>
  <c r="M29" i="15"/>
  <c r="F42" i="15"/>
  <c r="M24" i="67"/>
  <c r="F37" i="67"/>
  <c r="J15" i="15"/>
  <c r="B7" i="76"/>
  <c r="M8" i="15"/>
  <c r="F40" i="15"/>
  <c r="F43" i="67"/>
  <c r="M8" i="67"/>
  <c r="D34" i="9"/>
  <c r="F7" i="15"/>
  <c r="F13" i="67"/>
  <c r="M22" i="15"/>
  <c r="M9" i="15"/>
  <c r="D6" i="73"/>
  <c r="E13" i="76"/>
  <c r="F6" i="73"/>
  <c r="M6" i="67"/>
  <c r="B8" i="76"/>
  <c r="F6" i="15"/>
  <c r="F43" i="15"/>
  <c r="F9" i="15"/>
  <c r="L48" i="15"/>
  <c r="F26" i="67"/>
  <c r="E9" i="76"/>
  <c r="B11" i="76"/>
  <c r="F6" i="67"/>
  <c r="M22" i="67"/>
  <c r="F38" i="15"/>
  <c r="E12" i="76"/>
  <c r="M6" i="15"/>
  <c r="D19" i="9"/>
  <c r="M24" i="15"/>
  <c r="E8" i="76"/>
  <c r="E11" i="76"/>
  <c r="E2" i="68"/>
  <c r="E10" i="76"/>
  <c r="F38" i="67"/>
  <c r="C20" i="9"/>
  <c r="M23" i="67"/>
  <c r="F4" i="73"/>
  <c r="F7" i="73"/>
  <c r="D20" i="9"/>
  <c r="E2" i="69"/>
  <c r="C76" i="15"/>
  <c r="L47" i="15"/>
  <c r="F36" i="67"/>
  <c r="F8" i="15"/>
  <c r="L47" i="67"/>
  <c r="L48" i="67"/>
  <c r="M28" i="67"/>
  <c r="F16" i="15"/>
  <c r="M26" i="67"/>
  <c r="M26" i="15"/>
  <c r="B13" i="76"/>
  <c r="C7" i="37" l="1"/>
  <c r="C52" i="37" s="1"/>
  <c r="D52" i="37" s="1"/>
  <c r="M47" i="9"/>
  <c r="C7" i="35"/>
  <c r="C48" i="35" s="1"/>
  <c r="D48" i="35" s="1"/>
  <c r="C7" i="40"/>
  <c r="C63" i="40" s="1"/>
  <c r="D22" i="71"/>
  <c r="W23" i="21"/>
  <c r="AA17" i="33"/>
  <c r="AA32" i="37"/>
  <c r="AZ357" i="3"/>
  <c r="AZ322" i="3"/>
  <c r="AZ313" i="3"/>
  <c r="AZ394" i="3"/>
  <c r="S14" i="40"/>
  <c r="AA25" i="21"/>
  <c r="AZ519" i="3"/>
  <c r="AZ531" i="3"/>
  <c r="AZ573" i="3"/>
  <c r="AZ583" i="3"/>
  <c r="AZ568" i="3"/>
  <c r="AZ576" i="3"/>
  <c r="S44" i="34"/>
  <c r="AA14" i="34"/>
  <c r="AA14" i="37"/>
  <c r="U34" i="34"/>
  <c r="J9" i="33"/>
  <c r="F9" i="33"/>
  <c r="AA9" i="33" s="1"/>
  <c r="AC9" i="34"/>
  <c r="W9" i="34"/>
  <c r="J23" i="35"/>
  <c r="H23" i="35"/>
  <c r="H25" i="37"/>
  <c r="F25" i="37"/>
  <c r="U8" i="39"/>
  <c r="AB8" i="39"/>
  <c r="AZ14" i="3"/>
  <c r="AZ523" i="3"/>
  <c r="AZ547" i="3"/>
  <c r="AZ571" i="3"/>
  <c r="AZ579" i="3"/>
  <c r="BL585" i="3"/>
  <c r="B72" i="43"/>
  <c r="C15" i="39"/>
  <c r="F12" i="35"/>
  <c r="J12" i="35"/>
  <c r="AA34" i="39"/>
  <c r="S34" i="39"/>
  <c r="AC39" i="34"/>
  <c r="S20" i="35"/>
  <c r="AA34" i="33"/>
  <c r="AZ387" i="3"/>
  <c r="AZ362" i="3"/>
  <c r="AZ338" i="3"/>
  <c r="AZ390" i="3"/>
  <c r="AZ371" i="3"/>
  <c r="AZ351" i="3"/>
  <c r="AZ336" i="3"/>
  <c r="AZ305" i="3"/>
  <c r="AZ360" i="3"/>
  <c r="AZ539" i="3"/>
  <c r="AZ529" i="3"/>
  <c r="AZ537" i="3"/>
  <c r="AZ518" i="3"/>
  <c r="AZ546" i="3"/>
  <c r="AZ585" i="3"/>
  <c r="AB45" i="33"/>
  <c r="B101" i="43"/>
  <c r="B79" i="43"/>
  <c r="W27" i="35"/>
  <c r="AC27" i="35"/>
  <c r="S9" i="40"/>
  <c r="AA9" i="40"/>
  <c r="AZ306" i="3"/>
  <c r="AZ513" i="3"/>
  <c r="AZ502" i="3"/>
  <c r="G585" i="3"/>
  <c r="BL587" i="3"/>
  <c r="AZ587" i="3" s="1"/>
  <c r="BL586" i="3"/>
  <c r="AZ586" i="3" s="1"/>
  <c r="F9" i="34"/>
  <c r="AA9" i="34" s="1"/>
  <c r="H9" i="34"/>
  <c r="H12" i="35"/>
  <c r="J12" i="34"/>
  <c r="F12" i="34"/>
  <c r="S12" i="34" s="1"/>
  <c r="AB31" i="36"/>
  <c r="U31" i="36"/>
  <c r="AB30" i="37"/>
  <c r="U30" i="37"/>
  <c r="AC31" i="40"/>
  <c r="W31" i="40"/>
  <c r="AZ402" i="3"/>
  <c r="G587" i="3"/>
  <c r="BA551" i="3"/>
  <c r="AZ551" i="3" s="1"/>
  <c r="BA550" i="3"/>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L469" i="3"/>
  <c r="AZ469" i="3" s="1"/>
  <c r="BL476" i="3"/>
  <c r="AZ476" i="3" s="1"/>
  <c r="BL477" i="3"/>
  <c r="BL478" i="3"/>
  <c r="BA480" i="3"/>
  <c r="AZ480" i="3" s="1"/>
  <c r="BL398" i="3"/>
  <c r="BL403" i="3"/>
  <c r="AZ403" i="3" s="1"/>
  <c r="G406" i="3"/>
  <c r="BA408" i="3"/>
  <c r="AZ408" i="3" s="1"/>
  <c r="BA409" i="3"/>
  <c r="AZ409" i="3" s="1"/>
  <c r="BA411" i="3"/>
  <c r="AZ411" i="3" s="1"/>
  <c r="BL414" i="3"/>
  <c r="BL415" i="3"/>
  <c r="BA417" i="3"/>
  <c r="BL421" i="3"/>
  <c r="BL422" i="3"/>
  <c r="BL425" i="3"/>
  <c r="BL426" i="3"/>
  <c r="BA428" i="3"/>
  <c r="AZ428" i="3" s="1"/>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G466" i="3"/>
  <c r="BL466" i="3"/>
  <c r="G468" i="3"/>
  <c r="BL470" i="3"/>
  <c r="G472" i="3"/>
  <c r="G473" i="3"/>
  <c r="BL473" i="3"/>
  <c r="AZ473" i="3" s="1"/>
  <c r="BL474" i="3"/>
  <c r="G475" i="3"/>
  <c r="G551" i="3"/>
  <c r="BL550" i="3"/>
  <c r="G542" i="3"/>
  <c r="BL15" i="3"/>
  <c r="AZ15" i="3" s="1"/>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AZ435" i="3"/>
  <c r="AZ451" i="3"/>
  <c r="AZ454" i="3"/>
  <c r="AZ460" i="3"/>
  <c r="AZ461" i="3"/>
  <c r="AZ466" i="3"/>
  <c r="AZ483" i="3"/>
  <c r="AZ404" i="3"/>
  <c r="AZ405" i="3"/>
  <c r="AZ419" i="3"/>
  <c r="AZ422" i="3"/>
  <c r="BL431" i="3"/>
  <c r="BL434" i="3"/>
  <c r="G437" i="3"/>
  <c r="BL438" i="3"/>
  <c r="BL439" i="3"/>
  <c r="BA441" i="3"/>
  <c r="AZ441" i="3" s="1"/>
  <c r="BL445" i="3"/>
  <c r="BL446" i="3"/>
  <c r="BL449" i="3"/>
  <c r="BL450" i="3"/>
  <c r="BL452" i="3"/>
  <c r="G455" i="3"/>
  <c r="BL456" i="3"/>
  <c r="BA464" i="3"/>
  <c r="AZ464" i="3" s="1"/>
  <c r="BA467" i="3"/>
  <c r="BA468"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L270" i="3"/>
  <c r="AZ270" i="3" s="1"/>
  <c r="BA272" i="3"/>
  <c r="AZ272" i="3" s="1"/>
  <c r="BL275" i="3"/>
  <c r="AZ275" i="3" s="1"/>
  <c r="BL285" i="3"/>
  <c r="BL287" i="3"/>
  <c r="BA290" i="3"/>
  <c r="BL299" i="3"/>
  <c r="AZ302" i="3"/>
  <c r="BA481" i="3"/>
  <c r="BA488" i="3"/>
  <c r="AZ488" i="3" s="1"/>
  <c r="BA491" i="3"/>
  <c r="AZ491" i="3" s="1"/>
  <c r="BA335" i="3"/>
  <c r="AZ335" i="3" s="1"/>
  <c r="BA339" i="3"/>
  <c r="AZ339" i="3" s="1"/>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BA277" i="3"/>
  <c r="AZ277" i="3" s="1"/>
  <c r="BL277" i="3"/>
  <c r="BA282" i="3"/>
  <c r="AZ282" i="3" s="1"/>
  <c r="BL282" i="3"/>
  <c r="BA284" i="3"/>
  <c r="AZ284" i="3" s="1"/>
  <c r="BL290" i="3"/>
  <c r="BL291" i="3"/>
  <c r="AZ291" i="3" s="1"/>
  <c r="BL293" i="3"/>
  <c r="BL294" i="3"/>
  <c r="AZ294" i="3" s="1"/>
  <c r="BA297" i="3"/>
  <c r="BL297" i="3"/>
  <c r="BL300" i="3"/>
  <c r="G127"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L301" i="3"/>
  <c r="AZ301" i="3" s="1"/>
  <c r="BL302" i="3"/>
  <c r="G126" i="3"/>
  <c r="BA333" i="3"/>
  <c r="BL346" i="3"/>
  <c r="AZ346" i="3" s="1"/>
  <c r="BA384" i="3"/>
  <c r="AZ384" i="3" s="1"/>
  <c r="AZ217" i="3"/>
  <c r="G116"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BA48" i="3"/>
  <c r="BA49" i="3"/>
  <c r="AZ49" i="3" s="1"/>
  <c r="BA51" i="3"/>
  <c r="AZ51" i="3" s="1"/>
  <c r="G54" i="3"/>
  <c r="BL56" i="3"/>
  <c r="BA58" i="3"/>
  <c r="AZ58" i="3" s="1"/>
  <c r="BL59" i="3"/>
  <c r="BL60" i="3"/>
  <c r="BA61" i="3"/>
  <c r="BL99" i="3"/>
  <c r="BL103" i="3"/>
  <c r="BA105" i="3"/>
  <c r="C47" i="71"/>
  <c r="D47" i="71" s="1"/>
  <c r="D46" i="71"/>
  <c r="V24" i="71"/>
  <c r="E23" i="71"/>
  <c r="E22" i="71" s="1"/>
  <c r="E21" i="71" s="1"/>
  <c r="E20" i="71" s="1"/>
  <c r="BA45" i="3"/>
  <c r="AZ45" i="3" s="1"/>
  <c r="BA46" i="3"/>
  <c r="AZ57" i="3"/>
  <c r="D31" i="71"/>
  <c r="C32" i="71"/>
  <c r="C55" i="71"/>
  <c r="D54" i="71"/>
  <c r="N67" i="71"/>
  <c r="B66" i="71"/>
  <c r="F66" i="71"/>
  <c r="Q67" i="71"/>
  <c r="BA114" i="3"/>
  <c r="BL123" i="3"/>
  <c r="AZ123" i="3" s="1"/>
  <c r="BA128" i="3"/>
  <c r="AZ128" i="3" s="1"/>
  <c r="BL134" i="3"/>
  <c r="BL137" i="3"/>
  <c r="BA146" i="3"/>
  <c r="AZ146" i="3" s="1"/>
  <c r="BA150" i="3"/>
  <c r="AZ150" i="3" s="1"/>
  <c r="BL167" i="3"/>
  <c r="AZ167" i="3" s="1"/>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G59" i="3"/>
  <c r="BL62" i="3"/>
  <c r="AZ62" i="3" s="1"/>
  <c r="BL63" i="3"/>
  <c r="AZ63" i="3" s="1"/>
  <c r="BL65" i="3"/>
  <c r="AZ65" i="3" s="1"/>
  <c r="BL66" i="3"/>
  <c r="AZ66" i="3" s="1"/>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G61" i="3"/>
  <c r="BL61" i="3"/>
  <c r="G64" i="3"/>
  <c r="BA64" i="3"/>
  <c r="AZ64" i="3" s="1"/>
  <c r="BL100" i="3"/>
  <c r="C44" i="71"/>
  <c r="D43" i="71"/>
  <c r="C52" i="71"/>
  <c r="D51" i="71"/>
  <c r="BL68" i="3"/>
  <c r="BA69" i="3"/>
  <c r="AZ69" i="3" s="1"/>
  <c r="G72" i="3"/>
  <c r="BL73" i="3"/>
  <c r="BA74" i="3"/>
  <c r="AZ74" i="3" s="1"/>
  <c r="BA75" i="3"/>
  <c r="G81"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68" i="3"/>
  <c r="BA73" i="3"/>
  <c r="BA80" i="3"/>
  <c r="G84" i="3"/>
  <c r="BL84" i="3"/>
  <c r="AZ84" i="3" s="1"/>
  <c r="BA89" i="3"/>
  <c r="G99" i="3"/>
  <c r="BA103" i="3"/>
  <c r="AZ103" i="3" s="1"/>
  <c r="BA104" i="3"/>
  <c r="BA106" i="3"/>
  <c r="BL108" i="3"/>
  <c r="G110" i="3"/>
  <c r="BL111" i="3"/>
  <c r="C5" i="68"/>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67" i="3"/>
  <c r="AZ67" i="3" s="1"/>
  <c r="BL70" i="3"/>
  <c r="AZ70" i="3" s="1"/>
  <c r="BL71" i="3"/>
  <c r="AZ71" i="3" s="1"/>
  <c r="BL72" i="3"/>
  <c r="AZ72" i="3" s="1"/>
  <c r="BL75" i="3"/>
  <c r="G79" i="3"/>
  <c r="BL81" i="3"/>
  <c r="BA82" i="3"/>
  <c r="AZ82" i="3" s="1"/>
  <c r="BL83" i="3"/>
  <c r="G88" i="3"/>
  <c r="BA90" i="3"/>
  <c r="BL94" i="3"/>
  <c r="AZ94" i="3" s="1"/>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C16" i="15"/>
  <c r="D7" i="73"/>
  <c r="D3" i="73"/>
  <c r="D5" i="73"/>
  <c r="C16" i="67"/>
  <c r="J7" i="36" l="1"/>
  <c r="G5" i="3"/>
  <c r="B3" i="3" s="1"/>
  <c r="E212" i="3" s="1"/>
  <c r="D83" i="71"/>
  <c r="C82" i="71"/>
  <c r="D82" i="71" s="1"/>
  <c r="O65" i="71"/>
  <c r="D66" i="71"/>
  <c r="O66" i="71"/>
  <c r="AZ75" i="3"/>
  <c r="U23" i="35"/>
  <c r="AB23" i="35"/>
  <c r="G16" i="1"/>
  <c r="F10" i="39" s="1"/>
  <c r="C40" i="71"/>
  <c r="D39" i="71"/>
  <c r="D44" i="71"/>
  <c r="T44" i="71"/>
  <c r="C56" i="71"/>
  <c r="D55" i="71"/>
  <c r="AZ19" i="3"/>
  <c r="AZ274" i="3"/>
  <c r="AZ251" i="3"/>
  <c r="AZ247" i="3"/>
  <c r="AZ229" i="3"/>
  <c r="AZ417" i="3"/>
  <c r="W12" i="34"/>
  <c r="AC12" i="34"/>
  <c r="AC23" i="35"/>
  <c r="W23" i="35"/>
  <c r="AC9" i="33"/>
  <c r="W9" i="33"/>
  <c r="C70" i="71"/>
  <c r="D70" i="71" s="1"/>
  <c r="D71" i="71"/>
  <c r="N65" i="71"/>
  <c r="N66" i="71"/>
  <c r="T32" i="71"/>
  <c r="D32" i="71"/>
  <c r="AZ61" i="3"/>
  <c r="AZ550" i="3"/>
  <c r="U12" i="35"/>
  <c r="AB12" i="35"/>
  <c r="AA25" i="37"/>
  <c r="S25" i="37"/>
  <c r="T28" i="71"/>
  <c r="D28" i="71"/>
  <c r="U28" i="71" s="1"/>
  <c r="C27" i="71"/>
  <c r="D79" i="71"/>
  <c r="C78" i="71"/>
  <c r="D78" i="71" s="1"/>
  <c r="C36" i="71"/>
  <c r="D35" i="71"/>
  <c r="AZ108" i="3"/>
  <c r="T52" i="71"/>
  <c r="D52" i="71"/>
  <c r="AZ59" i="3"/>
  <c r="AZ28" i="3"/>
  <c r="AZ25" i="3"/>
  <c r="AZ105" i="3"/>
  <c r="AZ182" i="3"/>
  <c r="AZ271" i="3"/>
  <c r="AZ297" i="3"/>
  <c r="AZ256" i="3"/>
  <c r="AZ249" i="3"/>
  <c r="AZ218" i="3"/>
  <c r="AZ332" i="3"/>
  <c r="AZ421" i="3"/>
  <c r="U9" i="34"/>
  <c r="AB9" i="34"/>
  <c r="W12" i="35"/>
  <c r="AC12" i="35"/>
  <c r="U25" i="37"/>
  <c r="AB25" i="37"/>
  <c r="J7" i="37"/>
  <c r="K1" i="73"/>
  <c r="E539" i="3"/>
  <c r="E536" i="3"/>
  <c r="E286" i="3"/>
  <c r="E575" i="3"/>
  <c r="E502" i="3"/>
  <c r="E442" i="3"/>
  <c r="E430" i="3"/>
  <c r="E449" i="3"/>
  <c r="AP6" i="3"/>
  <c r="E554" i="3"/>
  <c r="E491" i="3"/>
  <c r="E417" i="3"/>
  <c r="E37" i="3"/>
  <c r="E95" i="3"/>
  <c r="E258" i="3"/>
  <c r="E241" i="3"/>
  <c r="E349" i="3"/>
  <c r="E389" i="3"/>
  <c r="E59" i="3"/>
  <c r="E409" i="3"/>
  <c r="E484" i="3"/>
  <c r="E467" i="3"/>
  <c r="E64" i="3"/>
  <c r="E46" i="3"/>
  <c r="E160" i="3"/>
  <c r="E267" i="3"/>
  <c r="E249" i="3"/>
  <c r="E371" i="3"/>
  <c r="E310" i="3"/>
  <c r="E492" i="3"/>
  <c r="E84" i="3"/>
  <c r="E67" i="3"/>
  <c r="E33"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144" i="3" l="1"/>
  <c r="E23" i="3"/>
  <c r="E300" i="3"/>
  <c r="E103" i="3"/>
  <c r="E425" i="3"/>
  <c r="E76" i="3"/>
  <c r="E363" i="3"/>
  <c r="E192" i="3"/>
  <c r="E56" i="3"/>
  <c r="E435" i="3"/>
  <c r="I3" i="6"/>
  <c r="E541" i="3"/>
  <c r="R6" i="3"/>
  <c r="E199" i="3"/>
  <c r="E510" i="3"/>
  <c r="C26" i="71"/>
  <c r="D26" i="71" s="1"/>
  <c r="D27" i="71"/>
  <c r="D56" i="71"/>
  <c r="T56" i="71"/>
  <c r="T40" i="71"/>
  <c r="D40" i="71"/>
  <c r="E544" i="3"/>
  <c r="E292" i="3"/>
  <c r="E152" i="3"/>
  <c r="E479" i="3"/>
  <c r="E517" i="3"/>
  <c r="E255" i="3"/>
  <c r="E466" i="3"/>
  <c r="E499" i="3"/>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C44" i="68" s="1"/>
  <c r="D41" i="68" s="1"/>
  <c r="D116" i="43"/>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67"/>
  <c r="C17" i="15"/>
  <c r="C26" i="68" l="1"/>
  <c r="D22" i="68" s="1"/>
  <c r="F41" i="68"/>
  <c r="C44" i="11"/>
  <c r="D41" i="11" s="1"/>
  <c r="E53" i="34"/>
  <c r="F53" i="34" s="1"/>
  <c r="C23"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6" i="1"/>
  <c r="AO10"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l="1"/>
  <c r="N60" i="9"/>
  <c r="D52" i="9"/>
  <c r="D53" i="9"/>
  <c r="N59" i="9"/>
  <c r="B20" i="72"/>
  <c r="L68" i="9"/>
  <c r="M68" i="9"/>
  <c r="B47" i="72"/>
  <c r="D8" i="52"/>
  <c r="B53" i="72"/>
  <c r="B31" i="72"/>
  <c r="D4" i="52"/>
  <c r="B21" i="72"/>
  <c r="B52" i="72"/>
  <c r="C81" i="9"/>
  <c r="C104" i="9"/>
  <c r="H4" i="52"/>
  <c r="M55" i="9"/>
  <c r="E97" i="9"/>
  <c r="E81" i="9"/>
  <c r="M48" i="9"/>
  <c r="D122" i="9"/>
  <c r="D123" i="9"/>
  <c r="D9" i="52"/>
  <c r="D59" i="9"/>
  <c r="B30" i="72"/>
  <c r="L65" i="9"/>
  <c r="M65" i="9"/>
  <c r="P57" i="9"/>
  <c r="N57" i="9"/>
  <c r="N58" i="9"/>
  <c r="I4" i="52"/>
  <c r="C105" i="9"/>
  <c r="C5" i="74"/>
  <c r="H102" i="9"/>
  <c r="D7" i="53"/>
  <c r="H119" i="9"/>
  <c r="H5" i="52"/>
  <c r="D119" i="9"/>
  <c r="D5" i="52"/>
  <c r="B49" i="72"/>
  <c r="L66" i="9"/>
  <c r="M66" i="9"/>
  <c r="C67" i="9"/>
  <c r="C68" i="9"/>
  <c r="D54" i="9"/>
  <c r="N69" i="9"/>
  <c r="L67" i="9"/>
  <c r="M67" i="9"/>
  <c r="D13" i="53"/>
  <c r="D14" i="53"/>
  <c r="B32" i="72"/>
  <c r="F119" i="9"/>
  <c r="F5" i="52"/>
  <c r="D118" i="9"/>
  <c r="L63" i="9"/>
  <c r="M63" i="9"/>
  <c r="M69" i="9"/>
  <c r="M49" i="9"/>
  <c r="L64" i="9"/>
  <c r="M64" i="9"/>
  <c r="C6" i="74"/>
  <c r="H107" i="9"/>
  <c r="H108" i="9"/>
  <c r="D15" i="53"/>
  <c r="C93" i="9"/>
  <c r="C86" i="9"/>
  <c r="D5" i="53"/>
  <c r="D6" i="53"/>
  <c r="B22" i="72"/>
  <c r="G4" i="52"/>
  <c r="C64" i="9"/>
  <c r="C63" i="9"/>
  <c r="G118" i="9"/>
  <c r="F118" i="9"/>
  <c r="F4" i="52"/>
  <c r="B51" i="72"/>
  <c r="C78" i="9"/>
  <c r="C73" i="9"/>
  <c r="D55" i="9"/>
  <c r="M53" i="9"/>
  <c r="D56" i="9"/>
  <c r="M54" i="9"/>
  <c r="C96" i="9"/>
  <c r="E96" i="9"/>
  <c r="C97" i="9"/>
  <c r="D58" i="9"/>
  <c r="C85" i="9"/>
  <c r="C95" i="9"/>
  <c r="E118" i="9"/>
  <c r="E4" i="52"/>
  <c r="B48" i="7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<sst xmlns="http://schemas.openxmlformats.org/spreadsheetml/2006/main" count="7818" uniqueCount="3418">
  <si>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</si>
  <si>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</si>
  <si>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</si>
  <si>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</si>
  <si>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</si>
  <si>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</si>
  <si>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</si>
  <si>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</si>
  <si>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</si>
  <si>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</si>
  <si>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</si>
  <si>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</si>
  <si>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</si>
  <si>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</si>
  <si>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</si>
  <si>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</si>
  <si>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</si>
  <si>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</si>
  <si>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</si>
  <si>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</si>
  <si>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</si>
  <si>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</si>
  <si>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</si>
  <si>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</si>
  <si>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</si>
  <si>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</si>
  <si>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</si>
  <si>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</si>
  <si>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</si>
  <si>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</si>
  <si>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</si>
  <si>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</si>
  <si>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</si>
  <si>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</si>
  <si>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</si>
  <si>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</si>
  <si>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</si>
  <si>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</si>
  <si>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</si>
  <si>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</si>
  <si>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</si>
  <si>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</si>
  <si>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</si>
  <si>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</si>
  <si>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</si>
  <si>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</si>
  <si>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</si>
  <si>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</si>
  <si>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</si>
  <si>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</si>
  <si>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</si>
  <si>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</si>
  <si>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</si>
  <si>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</si>
  <si>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</si>
  <si>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</si>
  <si>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</si>
  <si>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</si>
  <si>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</si>
  <si>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</si>
  <si>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</si>
  <si>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</si>
  <si>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</si>
  <si>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</si>
  <si>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</si>
  <si>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</si>
  <si>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</si>
  <si>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</si>
  <si>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</si>
  <si>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</si>
  <si>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</si>
  <si>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</si>
  <si>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</si>
  <si>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</si>
  <si>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</si>
  <si>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</si>
  <si>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</si>
  <si>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</si>
  <si>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</si>
  <si>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</si>
  <si>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</si>
  <si>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</si>
  <si>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</si>
  <si>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</si>
  <si>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</si>
  <si>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</si>
  <si>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</si>
  <si>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</si>
  <si>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</si>
  <si>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</si>
  <si>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</si>
  <si>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</si>
  <si>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</si>
  <si>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</si>
  <si>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</si>
  <si>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</si>
  <si>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</si>
  <si>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</si>
  <si>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</si>
  <si>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</si>
  <si>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</si>
  <si>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</si>
  <si>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</si>
  <si>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</si>
  <si>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</si>
  <si>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</si>
  <si>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</si>
  <si>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</si>
  <si>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</si>
  <si>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</si>
  <si>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</si>
  <si>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</si>
  <si>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</si>
  <si>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</si>
  <si>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</si>
  <si>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</si>
  <si>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</si>
  <si>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</si>
  <si>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</si>
  <si>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</si>
  <si>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</si>
  <si>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</si>
  <si>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</si>
  <si>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</si>
  <si>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</si>
  <si>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</si>
  <si>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</si>
  <si>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</si>
  <si>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</si>
  <si>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</si>
  <si>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</si>
  <si>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</si>
  <si>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</si>
  <si>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</si>
  <si>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</si>
  <si>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</si>
  <si>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</si>
  <si>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</si>
  <si>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</si>
  <si>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</si>
  <si>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</si>
  <si>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</si>
  <si>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</si>
  <si>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</si>
  <si>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</si>
  <si>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</si>
  <si>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</si>
  <si>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</si>
  <si>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</si>
  <si>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</si>
  <si>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</si>
  <si>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</si>
  <si>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</si>
  <si>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</si>
  <si>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</si>
  <si>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</si>
  <si>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</si>
  <si>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</si>
  <si>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</si>
  <si>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</si>
  <si>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</si>
  <si>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</si>
  <si>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</si>
  <si>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</si>
  <si>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</si>
  <si>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</si>
  <si>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</si>
  <si>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</si>
  <si>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</si>
  <si>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</si>
  <si>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</si>
  <si>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</si>
  <si>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</si>
  <si>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</si>
  <si>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</si>
  <si>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</si>
  <si>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</si>
  <si>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</si>
  <si>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</si>
  <si>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</si>
  <si>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</si>
  <si>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</si>
  <si>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</si>
  <si>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</si>
  <si>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</si>
  <si>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</si>
  <si>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</si>
  <si>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</si>
  <si>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</si>
  <si>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</si>
  <si>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</si>
  <si>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</si>
  <si>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</si>
  <si>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</si>
  <si>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</si>
  <si>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</si>
  <si>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</si>
  <si>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</si>
  <si>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</si>
  <si>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</si>
  <si>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</si>
  <si>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</si>
  <si>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</si>
  <si>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</si>
  <si>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</si>
  <si>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</si>
  <si>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</si>
  <si>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</si>
  <si>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</si>
  <si>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</si>
  <si>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</si>
  <si>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</si>
  <si>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</si>
  <si>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</si>
  <si>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</si>
  <si>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</si>
  <si>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</si>
  <si>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</si>
  <si>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</si>
  <si>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</si>
  <si>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</si>
  <si>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</si>
  <si>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</si>
  <si>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</si>
  <si>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</si>
  <si>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</si>
  <si>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</si>
  <si>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</si>
  <si>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</si>
  <si>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</si>
  <si>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</si>
  <si>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</si>
  <si>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</si>
  <si>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</si>
  <si>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</si>
  <si>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</si>
  <si>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</si>
  <si>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</si>
  <si>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</si>
  <si>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</si>
  <si>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</si>
  <si>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</si>
  <si>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</si>
  <si>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</si>
  <si>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</si>
  <si>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</si>
  <si>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</si>
  <si>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</si>
  <si>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</si>
  <si>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</si>
  <si>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</si>
  <si>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</si>
  <si>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</si>
  <si>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</si>
  <si>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</si>
  <si>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</si>
  <si>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</si>
  <si>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</si>
  <si>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</si>
  <si>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</si>
  <si>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</si>
  <si>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</si>
  <si>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</si>
  <si>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</si>
  <si>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</si>
  <si>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</si>
  <si>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</si>
  <si>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</si>
  <si>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</si>
  <si>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</si>
  <si>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</si>
  <si>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</si>
  <si>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</si>
  <si>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</si>
  <si>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</si>
  <si>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</si>
  <si>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</si>
  <si>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</si>
  <si>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</si>
  <si>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</si>
  <si>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</si>
  <si>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</si>
  <si>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</si>
  <si>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</si>
  <si>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</si>
  <si>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</si>
  <si>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</si>
  <si>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</si>
  <si>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</si>
  <si>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</si>
  <si>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</si>
  <si>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</si>
  <si>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</si>
  <si>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</si>
  <si>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</si>
  <si>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</si>
  <si>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</si>
  <si>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</si>
  <si>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</si>
  <si>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</si>
  <si>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</si>
  <si>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</si>
  <si>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</si>
  <si>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</si>
  <si>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</si>
  <si>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</si>
  <si>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</si>
  <si>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</si>
  <si>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</si>
  <si>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</si>
  <si>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</si>
  <si>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</si>
  <si>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</si>
  <si>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</si>
  <si>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</si>
  <si>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</si>
  <si>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</si>
  <si>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</si>
  <si>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</si>
  <si>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</si>
  <si>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</si>
  <si>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</si>
  <si>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</si>
  <si>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</si>
  <si>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</si>
  <si>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</si>
  <si>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</si>
  <si>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</si>
  <si>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</si>
  <si>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</si>
  <si>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</si>
  <si>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</si>
  <si>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</si>
  <si>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</si>
  <si>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</si>
  <si>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</si>
  <si>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</si>
  <si>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</si>
  <si>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</si>
  <si>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</si>
  <si>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</si>
  <si>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</si>
  <si>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</si>
  <si>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</si>
  <si>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</si>
  <si>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</si>
  <si>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</si>
  <si>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</si>
  <si>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</si>
  <si>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</si>
  <si>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</si>
  <si>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</si>
  <si>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</si>
  <si>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</si>
  <si>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</si>
  <si>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</si>
  <si>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</si>
  <si>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</si>
  <si>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</si>
  <si>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</si>
  <si>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</si>
  <si>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</si>
  <si>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</si>
  <si>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</si>
  <si>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</si>
  <si>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</si>
  <si>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</si>
  <si>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</si>
  <si>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</si>
  <si>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</si>
  <si>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</si>
  <si>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</si>
  <si>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</si>
  <si>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</si>
  <si>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</si>
  <si>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</si>
  <si>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</si>
  <si>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</si>
  <si>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</si>
  <si>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</si>
  <si>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</si>
  <si>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</si>
  <si>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</si>
  <si>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</si>
  <si>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</si>
  <si>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</si>
  <si>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</si>
  <si>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</si>
  <si>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</si>
  <si>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</si>
  <si>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</si>
  <si>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</si>
  <si>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</si>
  <si>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</si>
  <si>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</si>
  <si>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</si>
  <si>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</si>
  <si>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</si>
  <si>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</si>
  <si>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</si>
  <si>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</si>
  <si>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</si>
  <si>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</si>
  <si>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</si>
  <si>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</si>
  <si>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</si>
  <si>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</si>
  <si>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</si>
  <si>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</si>
  <si>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</si>
  <si>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</si>
  <si>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</si>
  <si>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</si>
  <si>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</si>
  <si>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</si>
  <si>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</si>
  <si>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</si>
  <si>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</si>
  <si>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</si>
  <si>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</si>
  <si>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</si>
  <si>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</si>
  <si>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</si>
  <si>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</si>
  <si>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</si>
  <si>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</si>
  <si>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</si>
  <si>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</si>
  <si>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</si>
  <si>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</si>
  <si>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</si>
  <si>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</si>
  <si>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</si>
  <si>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</si>
  <si>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</si>
  <si>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</si>
  <si>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</si>
  <si>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</si>
  <si>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</si>
  <si>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</si>
  <si>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</si>
  <si>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</si>
  <si>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</si>
  <si>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</si>
  <si>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</si>
  <si>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</si>
  <si>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</si>
  <si>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</si>
  <si>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</si>
  <si>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</si>
  <si>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</si>
  <si>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</si>
  <si>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</si>
  <si>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</si>
  <si>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</si>
  <si>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</si>
  <si>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</si>
  <si>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</si>
  <si>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</si>
  <si>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</si>
  <si>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</si>
  <si>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</si>
  <si>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</si>
  <si>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</si>
  <si>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</si>
  <si>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</si>
  <si>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</si>
  <si>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</si>
  <si>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</si>
  <si>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</si>
  <si>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</si>
  <si>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</si>
  <si>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</si>
  <si>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</si>
  <si>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</si>
  <si>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</si>
  <si>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</si>
  <si>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</si>
  <si>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</si>
  <si>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</si>
  <si>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</si>
  <si>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</si>
  <si>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</si>
  <si>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</si>
  <si>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</si>
  <si>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</si>
  <si>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</si>
  <si>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</si>
  <si>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</si>
  <si>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</si>
  <si>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</si>
  <si>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</si>
  <si>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</si>
  <si>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</si>
  <si>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</si>
  <si>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</si>
  <si>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</si>
  <si>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</si>
  <si>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</si>
  <si>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</si>
  <si>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</si>
  <si>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</si>
  <si>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</si>
  <si>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</si>
  <si>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</si>
  <si>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</si>
  <si>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</si>
  <si>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</si>
  <si>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</si>
  <si>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</si>
  <si>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</si>
  <si>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</si>
  <si>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</si>
  <si>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</si>
  <si>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</si>
  <si>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</si>
  <si>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</si>
  <si>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</si>
  <si>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</si>
  <si>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</si>
  <si>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</si>
  <si>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</si>
  <si>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</si>
  <si>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</si>
  <si>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</si>
  <si>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</si>
  <si>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</si>
  <si>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</si>
  <si>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</si>
  <si>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</si>
  <si>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</si>
  <si>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</si>
  <si>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</si>
  <si>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</si>
  <si>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</si>
  <si>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</si>
  <si>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</si>
  <si>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</si>
  <si>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</si>
  <si>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</si>
  <si>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</si>
  <si>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</si>
  <si>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</si>
  <si>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</si>
  <si>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</si>
  <si>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</si>
  <si>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</si>
  <si>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</si>
  <si>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</si>
  <si>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</si>
  <si>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</si>
  <si>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</si>
  <si>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</si>
  <si>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</si>
  <si>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</si>
  <si>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</si>
  <si>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</si>
  <si>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</si>
  <si>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</si>
  <si>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</si>
  <si>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</si>
  <si>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</si>
  <si>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</si>
  <si>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</si>
  <si>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</si>
  <si>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</si>
  <si>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</si>
  <si>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</si>
  <si>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</si>
  <si>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</si>
  <si>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</si>
  <si>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</si>
  <si>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</si>
  <si>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</si>
  <si>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</si>
  <si>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</si>
  <si>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</si>
  <si>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</si>
  <si>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</si>
  <si>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</si>
  <si>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</si>
  <si>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</si>
  <si>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</si>
  <si>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</si>
  <si>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</si>
  <si>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</si>
  <si>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</si>
  <si>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</si>
  <si>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</si>
  <si>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</si>
  <si>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</si>
  <si>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</si>
  <si>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</si>
  <si>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</si>
  <si>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</si>
  <si>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</si>
  <si>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</si>
  <si>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</si>
  <si>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</si>
  <si>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</si>
  <si>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</si>
  <si>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</si>
  <si>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</si>
  <si>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</si>
  <si>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</si>
  <si>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</si>
  <si>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</si>
  <si>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</si>
  <si>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</si>
  <si>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</si>
  <si>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</si>
  <si>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</si>
  <si>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</si>
  <si>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</si>
  <si>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</si>
  <si>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</si>
  <si>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</si>
  <si>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</si>
  <si>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</si>
  <si>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</si>
  <si>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</si>
  <si>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</si>
  <si>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</si>
  <si>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</si>
  <si>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</si>
  <si>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</si>
  <si>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</si>
  <si>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</si>
  <si>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</si>
  <si>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</si>
  <si>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</si>
  <si>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</si>
  <si>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</si>
  <si>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</si>
  <si>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</si>
  <si>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</si>
  <si>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</si>
  <si>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</si>
  <si>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</si>
  <si>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</si>
  <si>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</si>
  <si>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</si>
  <si>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</si>
  <si>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</si>
  <si>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</si>
  <si>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</si>
  <si>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</si>
  <si>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</si>
  <si>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</si>
  <si>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</si>
  <si>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</si>
  <si>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</si>
  <si>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</si>
  <si>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</si>
  <si>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</si>
  <si>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</si>
  <si>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</si>
  <si>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</si>
  <si>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</si>
  <si>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</si>
  <si>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</si>
  <si>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</si>
  <si>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</si>
  <si>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</si>
  <si>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</si>
  <si>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</si>
  <si>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</si>
  <si>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</si>
  <si>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</si>
  <si>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</si>
  <si>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</si>
  <si>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</si>
  <si>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</si>
  <si>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</si>
  <si>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</si>
  <si>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</si>
  <si>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</si>
  <si>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</si>
  <si>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</si>
  <si>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</si>
  <si>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</si>
  <si>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</si>
  <si>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</si>
  <si>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</si>
  <si>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</si>
  <si>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</si>
  <si>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</si>
  <si>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</si>
  <si>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</si>
  <si>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</si>
  <si>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</si>
  <si>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</si>
  <si>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</si>
  <si>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</si>
  <si>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</si>
  <si>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</si>
  <si>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</si>
  <si>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</si>
  <si>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</si>
  <si>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</si>
  <si>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</si>
  <si>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</si>
  <si>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</si>
  <si>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</si>
  <si>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</si>
  <si>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</si>
  <si>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</si>
  <si>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</si>
  <si>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</si>
  <si>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</si>
  <si>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</si>
  <si>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</si>
  <si>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</si>
  <si>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</si>
  <si>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</si>
  <si>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</si>
  <si>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</si>
  <si>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</si>
  <si>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</si>
  <si>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</si>
  <si>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</si>
  <si>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</si>
  <si>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</si>
  <si>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</si>
  <si>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</si>
  <si>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</si>
  <si>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</si>
  <si>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</si>
  <si>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</si>
  <si>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</si>
  <si>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</si>
  <si>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</si>
  <si>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</si>
  <si>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</si>
  <si>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</si>
  <si>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</si>
  <si>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</si>
  <si>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</si>
  <si>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</si>
  <si>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</si>
  <si>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</si>
  <si>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</si>
  <si>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</si>
  <si>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</si>
  <si>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</si>
  <si>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</si>
  <si>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</si>
  <si>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</si>
  <si>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</si>
  <si>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</si>
  <si>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</si>
  <si>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</si>
  <si>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</si>
  <si>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</si>
  <si>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</si>
  <si>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</si>
  <si>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</si>
  <si>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</si>
  <si>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</si>
  <si>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</si>
  <si>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</si>
  <si>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</si>
  <si>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</si>
  <si>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</si>
  <si>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</si>
  <si>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</si>
  <si>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</si>
  <si>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</si>
  <si>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</si>
  <si>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</si>
  <si>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</si>
  <si>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</si>
  <si>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</si>
  <si>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</si>
  <si>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</si>
  <si>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</si>
  <si>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</si>
  <si>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</si>
  <si>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</si>
  <si>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</si>
  <si>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</si>
  <si>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</si>
  <si>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</si>
  <si>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</si>
  <si>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</si>
  <si>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</si>
  <si>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</si>
  <si>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</si>
  <si>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</si>
  <si>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</si>
  <si>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</si>
  <si>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</si>
  <si>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</si>
  <si>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</si>
  <si>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</si>
  <si>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</si>
  <si>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</si>
  <si>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</si>
  <si>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</si>
  <si>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</si>
  <si>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</si>
  <si>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</si>
  <si>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</si>
  <si>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</si>
  <si>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</si>
  <si>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</si>
  <si>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</si>
  <si>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</si>
  <si>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</si>
  <si>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</si>
  <si>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</si>
  <si>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</si>
  <si>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</si>
  <si>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</si>
  <si>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</si>
  <si>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</si>
  <si>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</si>
  <si>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</si>
  <si>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</si>
  <si>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</si>
  <si>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</si>
  <si>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</si>
  <si>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</si>
  <si>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</si>
  <si>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</si>
  <si>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</si>
  <si>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</si>
  <si>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</si>
  <si>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</si>
  <si>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</si>
  <si>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</si>
  <si>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</si>
  <si>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</si>
  <si>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</si>
  <si>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</si>
  <si>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</si>
  <si>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</si>
  <si>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</si>
  <si>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</si>
  <si>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</si>
  <si>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</si>
  <si>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</si>
  <si>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</si>
  <si>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</si>
  <si>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</si>
  <si>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</si>
  <si>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</si>
  <si>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</si>
  <si>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</si>
  <si>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</si>
  <si>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</si>
  <si>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</si>
  <si>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</si>
  <si>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</si>
  <si>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</si>
  <si>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</si>
  <si>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</si>
  <si>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</si>
  <si>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</si>
  <si>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</si>
  <si>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</si>
  <si>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</si>
  <si>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</si>
  <si>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</si>
  <si>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</si>
  <si>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</si>
  <si>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</si>
  <si>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</si>
  <si>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</si>
  <si>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</si>
  <si>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</si>
  <si>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</si>
  <si>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</si>
  <si>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</si>
  <si>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</si>
  <si>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</si>
  <si>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</si>
  <si>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</si>
  <si>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</si>
  <si>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</si>
  <si>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</si>
  <si>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</si>
  <si>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</si>
  <si>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</si>
  <si>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</si>
  <si>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</si>
  <si>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</si>
  <si>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</si>
  <si>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</si>
  <si>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</si>
  <si>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</si>
  <si>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</si>
  <si>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</si>
  <si>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</si>
  <si>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</si>
  <si>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</si>
  <si>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</si>
  <si>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</si>
  <si>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</si>
  <si>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</si>
  <si>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</si>
  <si>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</si>
  <si>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</si>
  <si>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</si>
  <si>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</si>
  <si>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</si>
  <si>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</si>
  <si>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</si>
  <si>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</si>
  <si>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</si>
  <si>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</si>
  <si>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</si>
  <si>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</si>
  <si>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</si>
  <si>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</si>
  <si>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</si>
  <si>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</si>
  <si>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</si>
  <si>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</si>
  <si>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</si>
  <si>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</si>
  <si>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</si>
  <si>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</si>
  <si>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</si>
  <si>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</si>
  <si>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</si>
  <si>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</si>
  <si>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</si>
  <si>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</si>
  <si>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</si>
  <si>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</si>
  <si>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</si>
  <si>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</si>
  <si>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</si>
  <si>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</si>
  <si>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</si>
  <si>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</si>
  <si>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</si>
  <si>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</si>
  <si>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</si>
  <si>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</si>
  <si>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</si>
  <si>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</si>
  <si>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</si>
  <si>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</si>
  <si>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</si>
  <si>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</si>
  <si>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</si>
  <si>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</si>
  <si>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</si>
  <si>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</si>
  <si>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</si>
  <si>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</si>
  <si>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</si>
  <si>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</si>
  <si>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</si>
  <si>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</si>
  <si>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</si>
  <si>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</si>
  <si>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</si>
  <si>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</si>
  <si>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</si>
  <si>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</si>
  <si>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</si>
  <si>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</si>
  <si>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</si>
  <si>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</si>
  <si>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</si>
  <si>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</si>
  <si>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</si>
  <si>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</si>
  <si>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</si>
  <si>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</si>
  <si>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</si>
  <si>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</si>
  <si>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</si>
  <si>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</si>
  <si>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</si>
  <si>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</si>
  <si>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</si>
  <si>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</si>
  <si>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</si>
  <si>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</si>
  <si>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</si>
  <si>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</si>
  <si>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</si>
  <si>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</si>
  <si>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</si>
  <si>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</si>
  <si>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</si>
  <si>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</si>
  <si>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</si>
  <si>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</si>
  <si>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</si>
  <si>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</si>
  <si>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</si>
  <si>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</si>
  <si>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</si>
  <si>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</si>
  <si>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</si>
  <si>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</si>
  <si>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</si>
  <si>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</si>
  <si>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</si>
  <si>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</si>
  <si>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</si>
  <si>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</si>
  <si>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</si>
  <si>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</si>
  <si>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</si>
  <si>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</si>
  <si>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</si>
  <si>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</si>
  <si>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</si>
  <si>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</si>
  <si>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</si>
  <si>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</si>
  <si>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</si>
  <si>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</si>
  <si>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</si>
  <si>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</si>
  <si>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</si>
  <si>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</si>
  <si>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</si>
  <si>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</si>
  <si>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</si>
  <si>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</si>
  <si>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</si>
  <si>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</si>
  <si>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</si>
  <si>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</si>
  <si>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</si>
  <si>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</si>
  <si>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</si>
  <si>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</si>
  <si>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</si>
  <si>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</si>
  <si>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</si>
  <si>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</si>
  <si>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</si>
  <si>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</si>
  <si>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</si>
  <si>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</si>
  <si>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</si>
  <si>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</si>
  <si>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</si>
  <si>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</si>
  <si>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</si>
  <si>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</si>
  <si>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</si>
  <si>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</si>
  <si>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</si>
  <si>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</si>
  <si>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</si>
  <si>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</si>
  <si>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</si>
  <si>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</si>
  <si>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</si>
  <si>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</si>
  <si>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</si>
  <si>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</si>
  <si>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</si>
  <si>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</si>
  <si>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</si>
  <si>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</si>
  <si>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</si>
  <si>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</si>
  <si>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</si>
  <si>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</si>
  <si>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</si>
  <si>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</si>
  <si>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</si>
  <si>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</si>
  <si>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</si>
  <si>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</si>
  <si>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</si>
  <si>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</si>
  <si>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</si>
  <si>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</si>
  <si>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</si>
  <si>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</si>
  <si>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</si>
  <si>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</si>
  <si>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</si>
  <si>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</si>
  <si>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</si>
  <si>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</si>
  <si>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</si>
  <si>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</si>
  <si>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</si>
  <si>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</si>
  <si>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</si>
  <si>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</si>
  <si>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</si>
  <si>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</si>
  <si>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</si>
  <si>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</si>
  <si>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</si>
  <si>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</si>
  <si>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</si>
  <si>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</si>
  <si>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</si>
  <si>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</si>
  <si>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</si>
  <si>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</si>
  <si>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</si>
  <si>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</si>
  <si>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</si>
  <si>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</si>
  <si>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</si>
  <si>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</si>
  <si>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</si>
  <si>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</si>
  <si>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</si>
  <si>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</si>
  <si>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</si>
  <si>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</si>
  <si>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</si>
  <si>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</si>
  <si>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</si>
  <si>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</si>
  <si>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</si>
  <si>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</si>
  <si>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</si>
  <si>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</si>
  <si>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</si>
  <si>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</si>
  <si>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</si>
  <si>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</si>
  <si>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</si>
  <si>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</si>
  <si>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</si>
  <si>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</si>
  <si>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</si>
  <si>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</si>
  <si>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</si>
  <si>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</si>
  <si>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</si>
  <si>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</si>
  <si>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</si>
  <si>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</si>
  <si>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</si>
  <si>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</si>
  <si>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</si>
  <si>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</si>
  <si>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</si>
  <si>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</si>
  <si>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</si>
  <si>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</si>
  <si>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</si>
  <si>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</si>
  <si>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</si>
  <si>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</si>
  <si>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</si>
  <si>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</si>
  <si>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</si>
  <si>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</si>
  <si>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</si>
  <si>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</si>
  <si>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</si>
  <si>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</si>
  <si>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</si>
  <si>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</si>
  <si>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</si>
  <si>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</si>
  <si>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</si>
  <si>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</si>
  <si>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</si>
  <si>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</si>
  <si>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</si>
  <si>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</si>
  <si>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</si>
  <si>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</si>
  <si>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</si>
  <si>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</si>
  <si>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</si>
  <si>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</si>
  <si>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</si>
  <si>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</si>
  <si>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</si>
  <si>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</si>
  <si>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</si>
  <si>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</si>
  <si>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</si>
  <si>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</si>
  <si>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</si>
  <si>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</si>
  <si>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</si>
  <si>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</si>
  <si>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</si>
  <si>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</si>
  <si>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</si>
  <si>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</si>
  <si>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</si>
  <si>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</si>
  <si>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</si>
  <si>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</si>
  <si>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</si>
  <si>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</si>
  <si>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</si>
  <si>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</si>
  <si>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</si>
  <si>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</si>
  <si>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</si>
  <si>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</si>
  <si>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</si>
  <si>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</si>
  <si>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</si>
  <si>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</si>
  <si>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</si>
  <si>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</si>
  <si>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</si>
  <si>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</si>
  <si>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</si>
  <si>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</si>
  <si>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</si>
  <si>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</si>
  <si>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</si>
  <si>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</si>
  <si>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</si>
  <si>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</si>
  <si>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</si>
  <si>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</si>
  <si>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</si>
  <si>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</si>
  <si>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</si>
  <si>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</si>
  <si>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</si>
  <si>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</si>
  <si>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</si>
  <si>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</si>
  <si>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</si>
  <si>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</si>
  <si>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</si>
  <si>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</si>
  <si>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</si>
  <si>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</si>
  <si>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</si>
  <si>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</si>
  <si>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</si>
  <si>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</si>
  <si>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</si>
  <si>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</si>
  <si>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</si>
  <si>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</si>
  <si>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</si>
  <si>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</si>
  <si>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</si>
  <si>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</si>
  <si>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</si>
  <si>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</si>
  <si>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</si>
  <si>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</si>
  <si>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</si>
  <si>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</si>
  <si>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</si>
  <si>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</si>
  <si>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</si>
  <si>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</si>
  <si>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</si>
  <si>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</si>
  <si>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</si>
  <si>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</si>
  <si>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</si>
  <si>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</si>
  <si>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</si>
  <si>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</si>
  <si>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</si>
  <si>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</si>
  <si>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</si>
  <si>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</si>
  <si>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</si>
  <si>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</si>
  <si>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</si>
  <si>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</si>
  <si>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</si>
  <si>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</si>
  <si>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</si>
  <si>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</si>
  <si>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</si>
  <si>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</si>
  <si>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</si>
  <si>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</si>
  <si>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</si>
  <si>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</si>
  <si>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</si>
  <si>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</si>
  <si>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</si>
  <si>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</si>
  <si>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</si>
  <si>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</si>
  <si>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</si>
  <si>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</si>
  <si>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</si>
  <si>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</si>
  <si>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</si>
  <si>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</si>
  <si>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</si>
  <si>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</si>
  <si>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</si>
  <si>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</si>
  <si>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</si>
  <si>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</si>
  <si>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</si>
  <si>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</si>
  <si>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</si>
  <si>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</si>
  <si>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</si>
  <si>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</si>
  <si>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</si>
  <si>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</si>
  <si>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</si>
  <si>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</si>
  <si>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</si>
  <si>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</si>
  <si>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</si>
  <si>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</si>
  <si>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</si>
  <si>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</si>
  <si>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</si>
  <si>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</si>
  <si>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</si>
  <si>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</si>
  <si>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</si>
  <si>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</si>
  <si>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</si>
  <si>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</si>
  <si>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</si>
  <si>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</si>
  <si>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</si>
  <si>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</si>
  <si>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</si>
  <si>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</si>
  <si>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</si>
  <si>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</si>
  <si>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</si>
  <si>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</si>
  <si>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</si>
  <si>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</si>
  <si>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</si>
  <si>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</si>
  <si>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</si>
  <si>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</si>
  <si>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</si>
  <si>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</si>
  <si>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</si>
  <si>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</si>
  <si>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</si>
  <si>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</si>
  <si>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</si>
  <si>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</si>
  <si>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</si>
  <si>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</si>
  <si>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</si>
  <si>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</si>
  <si>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</si>
  <si>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</si>
  <si>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</si>
  <si>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</si>
  <si>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</si>
  <si>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</si>
  <si>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</si>
  <si>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</si>
  <si>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</si>
  <si>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</si>
  <si>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</si>
  <si>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</si>
  <si>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</si>
  <si>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</si>
  <si>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</si>
  <si>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</si>
  <si>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</si>
  <si>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</si>
  <si>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</si>
  <si>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</si>
  <si>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</si>
  <si>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</si>
  <si>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</si>
  <si>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</si>
  <si>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</si>
  <si>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</si>
  <si>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</si>
  <si>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</si>
  <si>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</si>
  <si>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</si>
  <si>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</si>
  <si>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</si>
  <si>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</si>
  <si>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</si>
  <si>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</si>
  <si>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</si>
  <si>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</si>
  <si>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</si>
  <si>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</si>
  <si>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</si>
  <si>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</si>
  <si>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</si>
  <si>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</si>
  <si>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</si>
  <si>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</si>
  <si>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</si>
  <si>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</si>
  <si>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</si>
  <si>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</si>
  <si>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</si>
  <si>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</si>
  <si>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</si>
  <si>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</si>
  <si>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</si>
  <si>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</si>
  <si>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</si>
  <si>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</si>
  <si>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</si>
  <si>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</si>
  <si>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</si>
  <si>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</si>
  <si>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</si>
  <si>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</si>
  <si>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</si>
  <si>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</si>
  <si>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</si>
  <si>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</si>
  <si>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</si>
  <si>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</si>
  <si>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</si>
  <si>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</si>
  <si>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</si>
  <si>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</si>
  <si>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</si>
  <si>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</si>
  <si>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</si>
  <si>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</si>
  <si>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</si>
  <si>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</si>
  <si>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</si>
  <si>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</si>
  <si>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</si>
  <si>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</si>
  <si>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</si>
  <si>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</si>
  <si>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</si>
  <si>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</si>
  <si>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</si>
  <si>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</si>
  <si>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</si>
  <si>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</si>
  <si>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</si>
  <si>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</si>
  <si>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</si>
  <si>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</si>
  <si>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</si>
  <si>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</si>
  <si>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</si>
  <si>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</si>
  <si>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</si>
  <si>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</si>
  <si>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</si>
  <si>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</si>
  <si>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</si>
  <si>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</si>
  <si>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</si>
  <si>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</si>
  <si>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</si>
  <si>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</si>
  <si>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</si>
  <si>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</si>
  <si>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</si>
  <si>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</si>
  <si>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</si>
  <si>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</si>
  <si>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</si>
  <si>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</si>
  <si>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</si>
  <si>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</si>
  <si>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</si>
  <si>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</si>
  <si>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</si>
  <si>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</si>
  <si>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</si>
  <si>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</si>
  <si>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</si>
  <si>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</si>
  <si>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</si>
  <si>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</si>
  <si>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</si>
  <si>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</si>
  <si>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</si>
  <si>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</si>
  <si>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</si>
  <si>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</si>
  <si>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</si>
  <si>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</si>
  <si>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</si>
  <si>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</si>
  <si>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</si>
  <si>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</si>
  <si>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</si>
  <si>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</si>
  <si>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</si>
  <si>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</si>
  <si>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</si>
  <si>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</si>
  <si>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</si>
  <si>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</si>
  <si>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</si>
  <si>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</si>
  <si>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</si>
  <si>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</si>
  <si>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</si>
  <si>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</si>
  <si>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</si>
  <si>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</si>
  <si>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</si>
  <si>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</si>
  <si>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</si>
  <si>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</si>
  <si>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</si>
  <si>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</si>
  <si>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</si>
  <si>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</si>
  <si>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</si>
  <si>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</si>
  <si>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</si>
  <si>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</si>
  <si>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</si>
  <si>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</si>
  <si>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</si>
  <si>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</si>
  <si>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</si>
  <si>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</si>
  <si>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</si>
  <si>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</si>
  <si>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</si>
  <si>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</si>
  <si>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</si>
  <si>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</si>
  <si>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</si>
  <si>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</si>
  <si>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</si>
  <si>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</si>
  <si>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</si>
  <si>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</si>
  <si>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</si>
  <si>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</si>
  <si>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</si>
  <si>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</si>
  <si>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</si>
  <si>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</si>
  <si>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</si>
  <si>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</si>
  <si>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</si>
  <si>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</si>
  <si>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</si>
  <si>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</si>
  <si>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</si>
  <si>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</si>
  <si>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</si>
  <si>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</si>
  <si>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</si>
  <si>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</si>
  <si>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</si>
  <si>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</si>
  <si>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</si>
  <si>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</si>
  <si>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</si>
  <si>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</si>
  <si>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</si>
  <si>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</si>
  <si>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</si>
  <si>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</si>
  <si>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</si>
  <si>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</si>
  <si>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</si>
  <si>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</si>
  <si>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</si>
  <si>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</si>
  <si>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</si>
  <si>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</si>
  <si>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</si>
  <si>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</si>
  <si>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</si>
  <si>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</si>
  <si>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</si>
  <si>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</si>
  <si>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</si>
  <si>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</si>
  <si>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</si>
  <si>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</si>
  <si>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</si>
  <si>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</si>
  <si>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</si>
  <si>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</si>
  <si>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</si>
  <si>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</si>
  <si>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</si>
  <si>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</si>
  <si>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</si>
  <si>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</si>
  <si>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</si>
  <si>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</si>
  <si>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</si>
  <si>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</si>
  <si>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</si>
  <si>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</si>
  <si>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</si>
  <si>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</si>
  <si>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</si>
  <si>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</si>
  <si>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</si>
  <si>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</si>
  <si>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</si>
  <si>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</si>
  <si>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</si>
  <si>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</si>
  <si>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</si>
  <si>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</si>
  <si>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</si>
  <si>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</si>
  <si>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</si>
  <si>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</si>
  <si>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</si>
  <si>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</si>
  <si>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</si>
  <si>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</si>
  <si>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</si>
  <si>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</si>
  <si>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</si>
  <si>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</si>
  <si>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</si>
  <si>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</si>
  <si>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</si>
  <si>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</si>
  <si>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</si>
  <si>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</si>
  <si>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</si>
  <si>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</si>
  <si>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</si>
  <si>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</si>
  <si>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</si>
  <si>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</si>
  <si>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</si>
  <si>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</si>
  <si>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</si>
  <si>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</si>
  <si>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</si>
  <si>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</si>
  <si>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</si>
  <si>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</si>
  <si>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</si>
  <si>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</si>
  <si>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</si>
  <si>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</si>
  <si>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</si>
  <si>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</si>
  <si>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</si>
  <si>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</si>
  <si>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</si>
  <si>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</si>
  <si>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</si>
  <si>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</si>
  <si>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</si>
  <si>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</si>
  <si>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</si>
  <si>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</si>
  <si>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</si>
  <si>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</si>
  <si>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</si>
  <si>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</si>
  <si>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</si>
  <si>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</si>
  <si>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</si>
  <si>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</si>
  <si>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</si>
  <si>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</si>
  <si>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</si>
  <si>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</si>
  <si>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</si>
  <si>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</si>
  <si>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</si>
  <si>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</si>
  <si>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</si>
  <si>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</si>
  <si>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</si>
  <si>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</si>
  <si>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</si>
  <si>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</si>
  <si>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</si>
  <si>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</si>
  <si>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</si>
  <si>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</si>
  <si>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</si>
  <si>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</si>
  <si>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</si>
  <si>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</si>
  <si>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</si>
  <si>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</si>
  <si>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</si>
  <si>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</si>
  <si>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</si>
  <si>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</si>
  <si>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</si>
  <si>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</si>
  <si>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</si>
  <si>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</si>
  <si>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</si>
  <si>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</si>
  <si>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</si>
  <si>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</si>
  <si>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</si>
  <si>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</si>
  <si>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</si>
  <si>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</si>
  <si>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</si>
  <si>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</si>
  <si>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</si>
  <si>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</si>
  <si>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</si>
  <si>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</si>
  <si>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</si>
  <si>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</si>
  <si>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</si>
  <si>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</si>
  <si>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</si>
  <si>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</si>
  <si>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</si>
  <si>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</si>
  <si>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</si>
  <si>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</si>
  <si>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</si>
  <si>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</si>
  <si>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</si>
  <si>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</si>
  <si>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</si>
  <si>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</si>
  <si>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</si>
  <si>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</si>
  <si>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</si>
  <si>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</si>
  <si>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</si>
  <si>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</si>
  <si>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</si>
  <si>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</si>
  <si>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</si>
  <si>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</si>
  <si>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</si>
  <si>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</si>
  <si>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</si>
  <si>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</si>
  <si>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</si>
  <si>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</si>
  <si>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</si>
  <si>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</si>
  <si>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</si>
  <si>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</si>
  <si>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</si>
  <si>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</si>
  <si>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</si>
  <si>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</si>
  <si>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</si>
  <si>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</si>
  <si>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</si>
  <si>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</si>
  <si>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</si>
  <si>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</si>
  <si>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</si>
  <si>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</si>
  <si>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</si>
  <si>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</si>
  <si>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</si>
  <si>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</si>
  <si>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</si>
  <si>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</si>
  <si>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</si>
  <si>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</si>
  <si>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</si>
  <si>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</si>
  <si>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</si>
  <si>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</si>
  <si>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</si>
  <si>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</si>
  <si>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</si>
  <si>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</si>
  <si>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</si>
  <si>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</si>
  <si>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</si>
  <si>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</si>
  <si>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</si>
  <si>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</si>
  <si>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</si>
  <si>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</si>
  <si>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</si>
  <si>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</si>
  <si>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</si>
  <si>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</si>
  <si>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</si>
  <si>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</si>
  <si>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</si>
  <si>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</si>
  <si>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</si>
  <si>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</si>
  <si>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</si>
  <si>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</si>
  <si>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</si>
  <si>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</si>
  <si>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</si>
  <si>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</si>
  <si>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</si>
  <si>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</si>
  <si>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</si>
  <si>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</si>
  <si>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</si>
  <si>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</si>
  <si>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</si>
  <si>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</si>
  <si>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</si>
  <si>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</si>
  <si>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</si>
  <si>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</si>
  <si>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</si>
  <si>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</si>
  <si>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</si>
  <si>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</si>
  <si>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</si>
  <si>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</si>
  <si>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</si>
  <si>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</si>
  <si>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</si>
  <si>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</si>
  <si>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</si>
  <si>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</si>
  <si>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</si>
  <si>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</si>
  <si>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</si>
  <si>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</si>
  <si>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</si>
  <si>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</si>
  <si>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</si>
  <si>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</si>
  <si>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</si>
  <si>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</si>
  <si>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</si>
  <si>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</si>
  <si>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</si>
  <si>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</si>
  <si>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</si>
  <si>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</si>
  <si>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</si>
  <si>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</si>
  <si>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</si>
  <si>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</si>
  <si>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</si>
  <si>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</si>
  <si>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</si>
  <si>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</si>
  <si>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</si>
  <si>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</si>
  <si>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</si>
  <si>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</si>
  <si>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</si>
  <si>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</si>
  <si>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</si>
  <si>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</si>
  <si>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</si>
  <si>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</si>
  <si>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</si>
  <si>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</si>
  <si>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</si>
  <si>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</si>
  <si>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</si>
  <si>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</si>
  <si>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</si>
  <si>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</si>
  <si>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</si>
  <si>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</si>
  <si>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</si>
  <si>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</si>
  <si>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</si>
  <si>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</si>
  <si>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</si>
  <si>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</si>
  <si>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</si>
  <si>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</si>
  <si>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</si>
  <si>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</si>
  <si>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</si>
  <si>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</si>
  <si>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</si>
  <si>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</si>
  <si>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</si>
  <si>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</si>
  <si>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</si>
  <si>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</si>
  <si>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</si>
  <si>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</si>
  <si>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</si>
  <si>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</si>
  <si>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</si>
  <si>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</si>
  <si>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</si>
  <si>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</si>
  <si>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</si>
  <si>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</si>
  <si>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</si>
  <si>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</si>
  <si>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</si>
  <si>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</si>
  <si>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</si>
  <si>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</si>
  <si>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</si>
  <si>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</si>
  <si>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</si>
  <si>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</si>
  <si>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</si>
  <si>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</si>
  <si>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</si>
  <si>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</si>
  <si>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</si>
  <si>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</si>
  <si>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</si>
  <si>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</si>
  <si>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</si>
  <si>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</si>
  <si>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</si>
  <si>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</si>
  <si>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</si>
  <si>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</si>
  <si>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</si>
  <si>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</si>
  <si>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</si>
  <si>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</si>
  <si>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</si>
  <si>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</si>
  <si>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</si>
  <si>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</si>
  <si>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</si>
  <si>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</si>
  <si>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</si>
  <si>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</si>
  <si>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</si>
  <si>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</si>
  <si>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</si>
  <si>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</si>
  <si>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</si>
  <si>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</si>
  <si>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</si>
  <si>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</si>
  <si>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</si>
  <si>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</si>
  <si>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</si>
  <si>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</si>
  <si>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</si>
  <si>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</si>
  <si>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</si>
  <si>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</si>
  <si>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</si>
  <si>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</si>
  <si>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</si>
  <si>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</si>
  <si>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</si>
  <si>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</si>
  <si>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</si>
  <si>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</si>
  <si>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</si>
  <si>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</si>
  <si>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</si>
  <si>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</si>
  <si>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</si>
  <si>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</si>
  <si>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</si>
  <si>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</si>
  <si>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</si>
  <si>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</si>
  <si>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</si>
  <si>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</si>
  <si>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</si>
  <si>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</si>
  <si>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</si>
  <si>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</si>
  <si>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</si>
  <si>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</si>
  <si>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</si>
  <si>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</si>
  <si>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</si>
  <si>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</si>
  <si>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</si>
  <si>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</si>
  <si>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</si>
  <si>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</si>
  <si>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</si>
  <si>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</si>
  <si>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</si>
  <si>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</si>
  <si>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</si>
  <si>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</si>
  <si>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</si>
  <si>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</si>
  <si>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</si>
  <si>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</si>
  <si>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</si>
  <si>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</si>
  <si>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</si>
  <si>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</si>
  <si>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</si>
  <si>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</si>
  <si>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</si>
  <si>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</si>
  <si>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</si>
  <si>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</si>
  <si>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</si>
  <si>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</si>
  <si>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</si>
  <si>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</si>
  <si>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</si>
  <si>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</si>
  <si>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</si>
  <si>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</si>
  <si>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</si>
  <si>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</si>
  <si>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</si>
  <si>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</si>
  <si>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</si>
  <si>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</si>
  <si>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</si>
  <si>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</si>
  <si>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</si>
  <si>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</si>
  <si>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</si>
  <si>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</si>
  <si>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</si>
  <si>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</si>
  <si>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</si>
  <si>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</si>
  <si>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</si>
  <si>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</si>
  <si>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</si>
  <si>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</si>
  <si>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</si>
  <si>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</si>
  <si>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</si>
  <si>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</si>
  <si>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</si>
  <si>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</si>
  <si>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</si>
  <si>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</si>
  <si>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</si>
  <si>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</si>
  <si>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</si>
  <si>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</si>
  <si>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</si>
  <si>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</si>
  <si>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</si>
  <si>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</si>
  <si>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</si>
  <si>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</si>
  <si>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</si>
  <si>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</si>
  <si>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</si>
  <si>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</si>
  <si>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</si>
  <si>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</si>
  <si>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</si>
  <si>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</si>
  <si>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</si>
  <si>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</si>
  <si>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</si>
  <si>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</si>
  <si>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</si>
  <si>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</si>
  <si>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</si>
  <si>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</si>
  <si>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</si>
  <si>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</si>
  <si>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</si>
  <si>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</si>
  <si>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</si>
  <si>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</si>
  <si>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</si>
  <si>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</si>
  <si>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</si>
  <si>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</si>
  <si>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</si>
  <si>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</si>
  <si>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</si>
  <si>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</si>
  <si>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</si>
  <si>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</si>
  <si>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</si>
  <si>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</si>
  <si>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</si>
  <si>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</si>
  <si>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</si>
  <si>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</si>
  <si>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</si>
  <si>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</si>
  <si>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</si>
  <si>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</si>
  <si>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</si>
  <si>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</si>
  <si>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</si>
  <si>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</si>
  <si>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</si>
  <si>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</si>
  <si>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</si>
  <si>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</si>
  <si>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</si>
  <si>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</si>
  <si>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</si>
  <si>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</si>
  <si>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</si>
  <si>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</si>
  <si>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</si>
  <si>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</si>
  <si>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</si>
  <si>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</si>
  <si>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</si>
  <si>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</si>
  <si>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</si>
  <si>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</si>
  <si>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</si>
  <si>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</si>
  <si>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</si>
  <si>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</si>
  <si>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</si>
  <si>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</si>
  <si>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</si>
  <si>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</si>
  <si>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</si>
  <si>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</si>
  <si>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</si>
  <si>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</si>
  <si>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</si>
  <si>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</si>
  <si>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</si>
  <si>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</si>
  <si>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</si>
  <si>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</si>
  <si>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</si>
  <si>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</si>
  <si>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</si>
  <si>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</si>
  <si>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</si>
  <si>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</si>
  <si>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</si>
  <si>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</si>
  <si>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</si>
  <si>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</si>
  <si>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</si>
  <si>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</si>
  <si>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</si>
  <si>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</si>
  <si>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</si>
  <si>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</si>
  <si>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</si>
  <si>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</si>
  <si>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</si>
  <si>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</si>
  <si>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</si>
  <si>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</si>
  <si>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</si>
  <si>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</si>
  <si>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</si>
  <si>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</si>
  <si>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</si>
  <si>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</si>
  <si>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</si>
  <si>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</si>
  <si>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</si>
  <si>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</si>
  <si>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</si>
  <si>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</si>
  <si>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</si>
  <si>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</si>
  <si>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</si>
  <si>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</si>
  <si>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</si>
  <si>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</si>
  <si>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</si>
  <si>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</si>
  <si>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</si>
  <si>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</si>
  <si>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</si>
  <si>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</si>
  <si>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</si>
  <si>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</si>
  <si>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</si>
  <si>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</si>
  <si>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</si>
  <si>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</si>
  <si>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</si>
  <si>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</si>
  <si>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</si>
  <si>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</si>
  <si>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</si>
  <si>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</si>
  <si>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</si>
  <si>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</si>
  <si>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</si>
  <si>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</si>
  <si>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</si>
  <si>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</si>
  <si>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</si>
  <si>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</si>
  <si>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</si>
  <si>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</si>
  <si>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</si>
  <si>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</si>
  <si>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</si>
  <si>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</si>
  <si>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</si>
  <si>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</si>
  <si>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</si>
  <si>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</si>
  <si>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</si>
  <si>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</si>
  <si>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</si>
  <si>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</si>
  <si>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</si>
  <si>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</si>
  <si>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</si>
  <si>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</si>
  <si>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</si>
  <si>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</si>
  <si>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</si>
  <si>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</si>
  <si>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</si>
  <si>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</si>
  <si>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</si>
  <si>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</si>
  <si>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</si>
  <si>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</si>
  <si>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</si>
  <si>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</si>
  <si>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</si>
  <si>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</si>
  <si>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</si>
  <si>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</si>
  <si>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</si>
  <si>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</si>
  <si>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</si>
  <si>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</si>
  <si>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</si>
  <si>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</si>
  <si>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</si>
  <si>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</si>
  <si>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</si>
  <si>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</si>
  <si>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</si>
  <si>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</si>
  <si>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</si>
  <si>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</si>
  <si>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</si>
  <si>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</si>
  <si>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</si>
  <si>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</si>
  <si>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</si>
  <si>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</si>
  <si>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</si>
  <si>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</si>
  <si>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</si>
  <si>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</si>
  <si>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</si>
  <si>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</si>
  <si>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</si>
  <si>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</si>
  <si>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</si>
  <si>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</si>
  <si>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</si>
  <si>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</si>
  <si>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</si>
  <si>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</si>
  <si>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</si>
  <si>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</si>
  <si>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</si>
  <si>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</si>
  <si>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</si>
  <si>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</si>
  <si>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</si>
  <si>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</si>
  <si>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</si>
  <si>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</si>
  <si>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</si>
  <si>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</si>
  <si>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</si>
  <si>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</si>
  <si>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</si>
  <si>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</si>
  <si>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</si>
  <si>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</si>
  <si>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</si>
  <si>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</si>
  <si>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</si>
  <si>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</si>
  <si>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</si>
  <si>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</si>
  <si>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</si>
  <si>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</si>
  <si>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</si>
  <si>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</si>
  <si>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</si>
  <si>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</si>
  <si>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</si>
  <si>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</si>
  <si>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</si>
  <si>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</si>
  <si>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</si>
  <si>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</si>
  <si>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</si>
  <si>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</si>
  <si>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</si>
  <si>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</si>
  <si>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</si>
  <si>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</si>
  <si>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</si>
  <si>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</si>
  <si>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</si>
  <si>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</si>
  <si>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</si>
  <si>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</si>
  <si>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</si>
  <si>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</si>
  <si>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</si>
  <si>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</si>
  <si>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</si>
  <si>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</si>
  <si>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</si>
  <si>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</si>
  <si>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</si>
  <si>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</si>
  <si>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</si>
  <si>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</si>
  <si>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</si>
  <si>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</si>
  <si>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</si>
  <si>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</si>
  <si>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</si>
  <si>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</si>
  <si>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</si>
  <si>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</si>
  <si>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</si>
  <si>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</si>
  <si>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</si>
  <si>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</si>
  <si>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</si>
  <si>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</si>
  <si>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</si>
  <si>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</si>
  <si>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</si>
  <si>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</si>
  <si>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</si>
  <si>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</si>
  <si>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</si>
  <si>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</si>
  <si>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</si>
  <si>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</si>
  <si>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</si>
  <si>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</si>
  <si>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</si>
  <si>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</si>
  <si>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</si>
  <si>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</si>
  <si>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</si>
  <si>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</si>
  <si>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</si>
  <si>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</si>
  <si>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</si>
  <si>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</si>
  <si>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</si>
  <si>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</si>
  <si>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</si>
  <si>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</si>
  <si>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</si>
  <si>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</si>
  <si>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</si>
  <si>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</si>
  <si>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</si>
  <si>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</si>
  <si>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</si>
  <si>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</si>
  <si>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</si>
  <si>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</si>
  <si>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</si>
  <si>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</si>
  <si>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</si>
  <si>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</si>
  <si>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</si>
  <si>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</si>
  <si>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</si>
  <si>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</si>
  <si>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</si>
  <si>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</si>
  <si>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</si>
  <si>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</si>
  <si>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</si>
  <si>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</si>
  <si>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</si>
  <si>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</si>
  <si>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</si>
  <si>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</si>
  <si>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</si>
  <si>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</si>
  <si>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</si>
  <si>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</si>
  <si>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</si>
  <si>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</si>
  <si>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</si>
  <si>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</si>
  <si>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</si>
  <si>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</si>
  <si>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</si>
  <si>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</si>
  <si>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</si>
  <si>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</si>
  <si>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</si>
  <si>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</si>
  <si>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</si>
  <si>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</si>
  <si>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</si>
  <si>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</si>
  <si>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</si>
  <si>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</si>
  <si>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</si>
  <si>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</si>
  <si>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</si>
  <si>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</si>
  <si>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</si>
  <si>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</si>
  <si>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</si>
  <si>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</si>
  <si>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</si>
  <si>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</si>
  <si>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</si>
  <si>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</si>
  <si>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</si>
  <si>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</si>
  <si>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</si>
  <si>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</si>
  <si>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</si>
  <si>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</si>
  <si>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</si>
  <si>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</si>
  <si>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</si>
  <si>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</si>
  <si>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</si>
  <si>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</si>
  <si>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</si>
  <si>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</si>
  <si>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</si>
  <si>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</si>
  <si>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</si>
  <si>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</si>
  <si>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</si>
  <si>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</si>
  <si>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</si>
  <si>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</si>
  <si>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</si>
  <si>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</si>
  <si>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</si>
  <si>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</si>
  <si>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</si>
  <si>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</si>
  <si>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</si>
  <si>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</si>
  <si>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</si>
  <si>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</si>
  <si>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</si>
  <si>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</si>
  <si>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</si>
  <si>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</si>
  <si>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</si>
  <si>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</si>
  <si>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</si>
  <si>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</si>
  <si>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</si>
  <si>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</si>
  <si>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</si>
  <si>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</si>
  <si>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</si>
  <si>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</si>
  <si>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</si>
  <si>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</si>
  <si>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</si>
  <si>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</si>
  <si>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</si>
  <si>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</si>
  <si>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</si>
  <si>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</si>
  <si>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</si>
  <si>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</si>
  <si>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</si>
  <si>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</si>
  <si>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</si>
  <si>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</si>
  <si>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</si>
  <si>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</si>
  <si>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</si>
  <si>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</si>
  <si>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</si>
  <si>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</si>
  <si>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</si>
  <si>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</si>
  <si>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</si>
  <si>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</si>
  <si>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</si>
  <si>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</si>
  <si>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</si>
  <si>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</si>
  <si>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</si>
  <si>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</si>
  <si>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</si>
  <si>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</si>
  <si>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</si>
  <si>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</si>
  <si>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</si>
  <si>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</si>
  <si>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</si>
  <si>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</si>
  <si>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</si>
  <si>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</si>
  <si>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</si>
  <si>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</si>
  <si>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</si>
  <si>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</si>
  <si>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</si>
  <si>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</si>
  <si>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</si>
  <si>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</si>
  <si>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</si>
  <si>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</si>
  <si>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</si>
  <si>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</si>
  <si>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</si>
  <si>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</si>
  <si>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</si>
  <si>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</si>
  <si>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</si>
  <si>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</si>
  <si>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</si>
  <si>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</si>
  <si>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</si>
  <si>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</si>
  <si>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</si>
  <si>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</si>
  <si>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</si>
  <si>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</si>
  <si>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</si>
  <si>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</si>
  <si>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</si>
  <si>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</si>
  <si>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</si>
  <si>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</si>
  <si>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</si>
  <si>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</si>
  <si>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</si>
  <si>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</si>
  <si>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</si>
  <si>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</si>
  <si>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</si>
  <si>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</si>
  <si>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</si>
  <si>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</si>
  <si>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</si>
  <si>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</si>
  <si>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</si>
  <si>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</si>
  <si>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</si>
  <si>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</si>
  <si>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</si>
  <si>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</si>
  <si>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</si>
  <si>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</si>
  <si>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</si>
  <si>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</si>
  <si>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</si>
  <si>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</si>
  <si>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</si>
  <si>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</si>
  <si>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</si>
  <si>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</si>
  <si>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</si>
  <si>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</si>
  <si>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</si>
  <si>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</si>
  <si>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</si>
  <si>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</si>
  <si>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</si>
  <si>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</si>
  <si>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</si>
  <si>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</si>
  <si>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</si>
  <si>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</si>
  <si>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</si>
  <si>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</si>
  <si>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</si>
  <si>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</si>
  <si>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</si>
  <si>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</si>
  <si>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</si>
  <si>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</si>
  <si>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</si>
  <si>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</si>
  <si>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</si>
  <si>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</si>
  <si>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</si>
  <si>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</si>
  <si>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</si>
  <si>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</si>
  <si>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</si>
  <si>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</si>
  <si>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</si>
  <si>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</si>
  <si>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</si>
  <si>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</si>
  <si>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</si>
  <si>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</si>
  <si>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</si>
  <si>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</si>
  <si>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</si>
  <si>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</si>
  <si>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</si>
  <si>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</si>
  <si>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</si>
  <si>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</si>
  <si>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</si>
  <si>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</si>
  <si>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</si>
  <si>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</si>
  <si>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</si>
  <si>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</si>
  <si>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</si>
  <si>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</si>
  <si>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</si>
  <si>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</si>
  <si>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</si>
  <si>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</si>
  <si>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</si>
  <si>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</si>
  <si>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</si>
  <si>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</si>
  <si>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</si>
  <si>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</si>
  <si>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</si>
  <si>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</si>
  <si>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</si>
  <si>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</si>
  <si>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</si>
  <si>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</si>
  <si>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</si>
  <si>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</si>
  <si>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</si>
  <si>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</si>
  <si>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</si>
  <si>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</si>
  <si>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</si>
  <si>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</si>
  <si>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</si>
  <si>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</si>
  <si>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</si>
  <si>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</si>
  <si>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</si>
  <si>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</si>
  <si>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</si>
  <si>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</si>
  <si>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</si>
  <si>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</si>
  <si>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</si>
  <si>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</si>
  <si>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</si>
  <si>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</si>
  <si>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</si>
  <si>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</si>
  <si>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</si>
  <si>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</si>
  <si>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</si>
  <si>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</si>
  <si>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</si>
  <si>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</si>
  <si>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</si>
  <si>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</si>
  <si>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</si>
  <si>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</si>
  <si>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</si>
  <si>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</si>
  <si>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</si>
  <si>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</si>
  <si>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</si>
  <si>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</si>
  <si>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</si>
  <si>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</si>
  <si>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</si>
  <si>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</si>
  <si>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</si>
  <si>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</si>
  <si>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</si>
  <si>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</si>
  <si>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</si>
  <si>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</si>
  <si>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</si>
  <si>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</si>
  <si>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</si>
  <si>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</si>
  <si>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</si>
  <si>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</si>
  <si>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</si>
  <si>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</si>
  <si>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</si>
  <si>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</si>
  <si>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</si>
  <si>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</si>
  <si>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</si>
  <si>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</si>
  <si>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</si>
  <si>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</si>
  <si>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</si>
  <si>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</si>
  <si>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</si>
  <si>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</si>
  <si>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</si>
  <si>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</si>
  <si>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</si>
  <si>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</si>
  <si>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</si>
  <si>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</si>
  <si>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</si>
  <si>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</si>
  <si>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</si>
  <si>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</si>
  <si>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</si>
  <si>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</si>
  <si>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</si>
  <si>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</si>
  <si>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</si>
  <si>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</si>
  <si>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</si>
  <si>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</si>
  <si>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</si>
  <si>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</si>
  <si>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</si>
  <si>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</si>
  <si>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</si>
  <si>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</si>
  <si>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</si>
  <si>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</si>
  <si>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</si>
  <si>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</si>
  <si>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</si>
  <si>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</si>
  <si>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</si>
  <si>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</si>
  <si>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</si>
  <si>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</si>
  <si>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</si>
  <si>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</si>
  <si>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</si>
  <si>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</si>
  <si>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</si>
  <si>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</si>
  <si>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</si>
  <si>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</si>
  <si>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</si>
  <si>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</si>
  <si>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</si>
  <si>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</si>
  <si>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</si>
  <si>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</si>
  <si>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</si>
  <si>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</si>
  <si>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</si>
  <si>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</si>
  <si>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</si>
  <si>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</si>
  <si>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</si>
  <si>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</si>
  <si>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</si>
  <si>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</si>
  <si>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</si>
  <si>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</si>
  <si>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</si>
  <si>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</si>
  <si>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</si>
  <si>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</si>
  <si>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</si>
  <si>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</si>
  <si>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</si>
  <si>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</si>
  <si>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</si>
  <si>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</si>
  <si>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</si>
  <si>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</si>
  <si>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</si>
  <si>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</si>
  <si>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</si>
  <si>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</si>
  <si>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</si>
  <si>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</si>
  <si>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</si>
  <si>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</si>
  <si>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</si>
  <si>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</si>
  <si>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</si>
  <si>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</si>
  <si>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</si>
  <si>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</si>
  <si>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</si>
  <si>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</si>
  <si>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</si>
  <si>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</si>
  <si>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</si>
  <si>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</si>
  <si>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</si>
  <si>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</si>
  <si>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</si>
  <si>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</si>
  <si>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</si>
  <si>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</si>
  <si>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</si>
  <si>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</si>
  <si>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</si>
  <si>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</si>
  <si>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</si>
  <si>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</si>
  <si>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</si>
  <si>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</si>
  <si>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</si>
  <si>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</si>
  <si>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</si>
  <si>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</si>
  <si>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</si>
  <si>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</si>
  <si>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</si>
  <si>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</si>
  <si>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</si>
  <si>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</si>
  <si>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</si>
  <si>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</si>
  <si>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</si>
  <si>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</si>
  <si>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</si>
  <si>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</si>
  <si>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</si>
  <si>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</si>
  <si>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</si>
  <si>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</si>
  <si>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</si>
  <si>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</si>
  <si>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</si>
  <si>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</si>
  <si>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</si>
  <si>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</si>
  <si>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</si>
  <si>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</si>
  <si>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</si>
  <si>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</si>
  <si>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</si>
  <si>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</si>
  <si>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</si>
  <si>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</si>
  <si>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</si>
  <si>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</si>
  <si>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</si>
  <si>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</si>
  <si>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</si>
  <si>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</si>
  <si>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</si>
  <si>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</si>
  <si>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</si>
  <si>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</si>
  <si>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</si>
  <si>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</si>
  <si>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</si>
  <si>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</si>
  <si>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</si>
  <si>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</si>
  <si>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</si>
  <si>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</si>
  <si>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</si>
  <si>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</si>
  <si>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</si>
  <si>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</si>
  <si>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</si>
  <si>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</si>
  <si>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</si>
  <si>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</si>
  <si>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</si>
  <si>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</si>
  <si>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</si>
  <si>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</si>
  <si>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</si>
  <si>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</si>
  <si>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</si>
  <si>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</si>
  <si>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</si>
  <si>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</si>
  <si>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</si>
  <si>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</si>
  <si>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</si>
  <si>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</si>
  <si>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</si>
  <si>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</si>
  <si>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</si>
  <si>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</si>
  <si>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</si>
  <si>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</si>
  <si>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</si>
  <si>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</si>
  <si>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</si>
  <si>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</si>
  <si>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</si>
  <si>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</si>
  <si>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</si>
  <si>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</si>
  <si>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</si>
  <si>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</si>
  <si>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</si>
  <si>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</si>
  <si>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</si>
  <si>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</si>
  <si>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</si>
  <si>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</si>
  <si>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</si>
  <si>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</si>
  <si>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</si>
  <si>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</si>
  <si>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</si>
  <si>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</si>
  <si>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</si>
  <si>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</si>
  <si>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</si>
  <si>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</si>
  <si>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</si>
  <si>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</si>
  <si>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</si>
  <si>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</si>
  <si>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</si>
  <si>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</si>
  <si>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</si>
  <si>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</si>
  <si>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</si>
  <si>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</si>
  <si>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</si>
  <si>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</si>
  <si>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</si>
  <si>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</si>
  <si>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</si>
  <si>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</si>
  <si>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</si>
  <si>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</si>
  <si>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</si>
  <si>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</si>
  <si>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</si>
  <si>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</si>
  <si>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</si>
  <si>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</si>
  <si>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</si>
  <si>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</si>
  <si>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</si>
  <si>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</si>
  <si>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</si>
  <si>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</si>
  <si>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</si>
  <si>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</si>
  <si>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</si>
  <si>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</si>
  <si>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</si>
  <si>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</si>
  <si>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</si>
  <si>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</si>
  <si>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</si>
  <si>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</si>
  <si>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</si>
  <si>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</si>
  <si>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</si>
  <si>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</si>
  <si>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</si>
  <si>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</si>
  <si>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</si>
  <si>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</si>
  <si>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</si>
  <si>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</si>
  <si>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</si>
  <si>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</si>
  <si>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</si>
  <si>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</si>
  <si>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</si>
  <si>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</si>
  <si>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</si>
  <si>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</si>
  <si>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</si>
  <si>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</si>
  <si>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</si>
  <si>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</si>
  <si>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</si>
  <si>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</si>
  <si>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</si>
  <si>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</si>
  <si>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</si>
  <si>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</si>
  <si>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</si>
  <si>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</si>
  <si>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</si>
  <si>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</si>
  <si>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</si>
  <si>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</si>
  <si>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</si>
  <si>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</si>
  <si>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</si>
  <si>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</si>
  <si>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</si>
  <si>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</si>
  <si>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</si>
  <si>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</si>
  <si>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</si>
  <si>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</si>
  <si>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</si>
  <si>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</si>
  <si>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</si>
  <si>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</si>
  <si>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</si>
  <si>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</si>
  <si>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</si>
  <si>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</si>
  <si>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</si>
  <si>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</si>
  <si>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</si>
  <si>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</si>
  <si>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</si>
  <si>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</si>
  <si>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</si>
  <si>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</si>
  <si>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</si>
  <si>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</si>
  <si>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</si>
  <si>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</si>
  <si>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</si>
  <si>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</si>
  <si>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</si>
  <si>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</si>
  <si>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</si>
  <si>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</si>
  <si>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</si>
  <si>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</si>
  <si>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</si>
  <si>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</si>
  <si>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</si>
  <si>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</si>
  <si>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</si>
  <si>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</si>
  <si>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</si>
  <si>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</si>
  <si>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</si>
  <si>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</si>
  <si>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</si>
  <si>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</si>
  <si>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</si>
  <si>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</si>
  <si>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</si>
  <si>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</si>
  <si>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</si>
  <si>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</si>
  <si>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</si>
  <si>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</si>
  <si>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</si>
  <si>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</si>
  <si>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</si>
  <si>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</si>
  <si>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</si>
  <si>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</si>
  <si>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</si>
  <si>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</si>
  <si>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</si>
  <si>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</si>
  <si>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</si>
  <si>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</si>
  <si>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</si>
  <si>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</si>
  <si>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</si>
  <si>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</si>
  <si>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</si>
  <si>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</si>
  <si>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</si>
  <si>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</si>
  <si>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</si>
  <si>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</si>
  <si>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</si>
  <si>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</si>
  <si>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</si>
  <si>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</si>
  <si>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</si>
  <si>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</si>
  <si>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</si>
  <si>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</si>
  <si>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</si>
  <si>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</si>
  <si>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</si>
  <si>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</si>
  <si>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</si>
  <si>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</si>
  <si>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</si>
  <si>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</si>
  <si>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</si>
  <si>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</si>
  <si>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</si>
  <si>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</si>
  <si>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</si>
  <si>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</si>
  <si>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</si>
  <si>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</si>
  <si>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</si>
  <si>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</si>
  <si>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</si>
  <si>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</si>
  <si>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</si>
  <si>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</si>
  <si>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</si>
  <si>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</si>
  <si>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</si>
  <si>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</si>
  <si>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</si>
  <si>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</si>
  <si>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</si>
  <si>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</si>
  <si>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</si>
  <si>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</si>
  <si>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</si>
  <si>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</si>
  <si>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</si>
  <si>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</si>
  <si>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</si>
  <si>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</si>
  <si>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</si>
  <si>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</si>
  <si>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</si>
  <si>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</si>
  <si>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</si>
  <si>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</si>
  <si>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</si>
  <si>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</si>
  <si>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</si>
  <si>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</si>
  <si>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</si>
  <si>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</si>
  <si>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</si>
  <si>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</si>
  <si>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</si>
  <si>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</si>
  <si>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</si>
  <si>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</si>
  <si>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</si>
  <si>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</si>
  <si>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</si>
  <si>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</si>
  <si>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</si>
  <si>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</si>
  <si>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</si>
  <si>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</si>
  <si>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</si>
  <si>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</si>
  <si>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</si>
  <si>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</si>
  <si>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</si>
  <si>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</si>
  <si>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</si>
  <si>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</si>
  <si>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</si>
  <si>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</si>
  <si>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</si>
  <si>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</si>
  <si>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</si>
  <si>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</si>
  <si>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</si>
  <si>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</si>
  <si>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</si>
  <si>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</si>
  <si>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</si>
  <si>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</si>
  <si>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</si>
  <si>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</si>
  <si>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</si>
  <si>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</si>
  <si>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</si>
  <si>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</si>
  <si>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</si>
  <si>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</si>
  <si>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</si>
  <si>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</si>
  <si>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</si>
  <si>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</si>
  <si>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</si>
  <si>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</si>
  <si>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</si>
  <si>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</si>
  <si>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</si>
  <si>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</si>
  <si>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</si>
  <si>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</si>
  <si>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</si>
  <si>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</si>
  <si>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</si>
  <si>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</si>
  <si>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</si>
  <si>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</si>
  <si>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</si>
  <si>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</si>
  <si>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</si>
  <si>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</si>
  <si>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</si>
  <si>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</si>
  <si>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</si>
  <si>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</si>
  <si>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</si>
  <si>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</si>
  <si>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</si>
  <si>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</si>
  <si>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</si>
  <si>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</si>
  <si>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</si>
  <si>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</si>
  <si>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</si>
  <si>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</si>
  <si>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</si>
  <si>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</si>
  <si>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</si>
  <si>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</si>
  <si>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</si>
  <si>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</si>
  <si>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</si>
  <si>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</si>
  <si>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</si>
  <si>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</si>
  <si>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</si>
  <si>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</si>
  <si>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</si>
  <si>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</si>
  <si>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</si>
  <si>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</si>
  <si>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</si>
  <si>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</si>
  <si>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</si>
  <si>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</si>
  <si>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</si>
  <si>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</si>
  <si>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</si>
  <si>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</si>
  <si>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</si>
  <si>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</si>
  <si>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</si>
  <si>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</si>
  <si>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</si>
  <si>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</si>
  <si>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</si>
  <si>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</si>
  <si>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</si>
  <si>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</si>
  <si>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</si>
  <si>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</si>
  <si>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</si>
  <si>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</si>
  <si>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</si>
  <si>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</si>
  <si>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</si>
  <si>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</si>
  <si>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</si>
  <si>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</si>
  <si>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</si>
  <si>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</si>
  <si>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</si>
  <si>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</si>
  <si>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</si>
  <si>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</si>
  <si>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</si>
  <si>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</si>
  <si>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</si>
  <si>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</si>
  <si>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</si>
  <si>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</si>
  <si>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</si>
  <si>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</si>
  <si>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</si>
  <si>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</si>
  <si>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</si>
  <si>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</si>
  <si>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</si>
  <si>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</si>
  <si>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</si>
  <si>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</si>
  <si>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</si>
  <si>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</si>
  <si>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</si>
  <si>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</si>
  <si>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</si>
  <si>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</si>
  <si>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</si>
  <si>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</si>
  <si>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</si>
  <si>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</si>
  <si>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</si>
  <si>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</si>
  <si>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</si>
  <si>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</si>
  <si>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</si>
  <si>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</si>
  <si>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</si>
  <si>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</si>
  <si>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</si>
  <si>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</si>
  <si>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</si>
  <si>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</si>
  <si>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</si>
  <si>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</si>
  <si>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</si>
  <si>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</si>
  <si>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</si>
  <si>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</si>
  <si>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</si>
  <si>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</si>
  <si>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</si>
  <si>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</si>
  <si>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</si>
  <si>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</si>
  <si>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</si>
  <si>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</si>
  <si>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</si>
  <si>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</si>
  <si>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</si>
  <si>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</si>
  <si>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</si>
  <si>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</si>
  <si>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</si>
  <si>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</si>
  <si>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</si>
  <si>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</si>
  <si>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</si>
  <si>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</si>
  <si>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</si>
  <si>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</si>
  <si>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</si>
  <si>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</si>
  <si>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</si>
  <si>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</si>
  <si>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</si>
  <si>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</si>
  <si>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</si>
  <si>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</si>
  <si>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</si>
  <si>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</si>
  <si>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</si>
  <si>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</si>
  <si>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</si>
  <si>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</si>
  <si>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</si>
  <si>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</si>
  <si>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</si>
  <si>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</si>
  <si>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</si>
  <si>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</si>
  <si>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</si>
  <si>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</si>
  <si>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</si>
  <si>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</si>
  <si>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</si>
  <si>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</si>
  <si>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</si>
  <si>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</si>
  <si>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</si>
  <si>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</si>
  <si>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</si>
  <si>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</si>
  <si>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</si>
  <si>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</si>
  <si>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</si>
  <si>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</si>
  <si>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</si>
  <si>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</si>
  <si>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</si>
  <si>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</si>
  <si>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</si>
  <si>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</si>
  <si>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</si>
  <si>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</si>
  <si>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</si>
  <si>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</si>
  <si>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</si>
  <si>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</si>
  <si>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</si>
  <si>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</si>
  <si>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</si>
  <si>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</si>
  <si>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</si>
  <si>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</si>
  <si>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</si>
  <si>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</si>
  <si>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</si>
  <si>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</si>
  <si>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</si>
  <si>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</si>
  <si>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</si>
  <si>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</si>
  <si>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</si>
  <si>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</si>
  <si>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</si>
  <si>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</si>
  <si>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</si>
  <si>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</si>
  <si>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</si>
  <si>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</si>
  <si>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</si>
  <si>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</si>
  <si>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</si>
  <si>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</si>
  <si>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</si>
  <si>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</si>
  <si>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</si>
  <si>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</si>
  <si>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</si>
  <si>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</si>
  <si>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</si>
  <si>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</si>
  <si>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房地产抵押价值</t>
    <phoneticPr fontId="6" type="noConversion"/>
  </si>
  <si>
    <t>顺义区民泰路13号院12号楼1至4层101工业用房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</si>
</sst>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5" borderId="13" xfId="0" applyFont="1" applyFill="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北京市顺义区民泰路13号院12号楼1至4层101工业用房房地产抵押价值预评估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受贵公司委托，我公司对北京市顺义区民泰路13号院12号楼1至4层101工业用房房地产抵押价值进行了预评估。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民泰路13号院12号楼1至4层101工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2025年5月6日（评估专业人员实地查勘之日）</v>
      </c>
    </row>
    <row r="13" spans="1:2" s="1203" customFormat="1">
      <c r="A13" s="1201" t="s">
        <v>529</v>
      </c>
      <c r="B13" s="1202" t="str">
        <f>'预评函-1'!A18</f>
        <v>本次估价的“房地产价值”是指在正常市场情况下，在价值时点2025年5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北京市顺义区民泰路13号院12号楼1至4层101工业用房房地产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民泰路13号院12号楼1至4层101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9" t="s">
        <v>2580</v>
      </c>
      <c r="J2" s="3509"/>
      <c r="K2" s="3509"/>
      <c r="L2" s="3509"/>
      <c r="M2" s="3509"/>
      <c r="N2" s="3509"/>
      <c r="O2" s="3509"/>
      <c r="P2" s="3509"/>
      <c r="Q2" s="3509"/>
      <c r="R2" s="3509"/>
    </row>
    <row r="3" spans="1:18">
      <c r="A3" s="3018" t="s">
        <v>2501</v>
      </c>
      <c r="B3" s="3019">
        <f>项目基本情况!D3</f>
        <v>45783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1.62</v>
      </c>
      <c r="D5" s="3023">
        <f>IF(ISERROR(ROUND(POWER(1+E5,A5-C5)*(POWER(1+E5,C5)-1)/(POWER(1+E5,A5)-1),3)),0,ROUND(POWER(1+E5,A5-C5)*(POWER(1+E5,C5)-1)/(POWER(1+E5,A5)-1),4))</f>
        <v>7.7799999999999994E-2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11.63</v>
      </c>
      <c r="D6" s="3023">
        <f>IF(ISERROR(ROUND(POWER(1+E6,A6-C6)*(POWER(1+E6,C6)-1)/(POWER(1+E6,A6)-1),3)),0,ROUND(POWER(1+E6,A6-C6)*(POWER(1+E6,C6)-1)/(POWER(1+E6,A6)-1),4))</f>
        <v>0.42630000000000001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31.64</v>
      </c>
      <c r="D7" s="3023">
        <f>IF(ISERROR(ROUND(POWER(1+E7,A7-C7)*(POWER(1+E7,C7)-1)/(POWER(1+E7,A7)-1),3)),0,ROUND(POWER(1+E7,A7-C7)*(POWER(1+E7,C7)-1)/(POWER(1+E7,A7)-1),4))</f>
        <v>0.75970000000000004</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4.25" thickBot="1">
      <c r="A18" s="3029" t="s">
        <v>2516</v>
      </c>
      <c r="B18" s="3030">
        <f>ROUND(B17*F11/F12,2)</f>
        <v>5541.87</v>
      </c>
      <c r="C18" s="3030">
        <f>ROUND(F11/F12,4)</f>
        <v>1.1521999999999999</v>
      </c>
      <c r="D18" s="3031"/>
      <c r="E18" s="3031"/>
      <c r="F18" s="3032"/>
    </row>
    <row r="19" spans="1:14" ht="14.25" thickBot="1"/>
    <row r="20" spans="1:14" s="3067" customFormat="1" ht="14.2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4.2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北京市顺义区民泰路13号院12号楼1至4层101工业用房房地产抵押价值预评估</v>
      </c>
      <c r="C1" s="3511"/>
      <c r="D1" s="3511"/>
      <c r="E1" s="3511"/>
      <c r="F1" s="3511"/>
      <c r="G1" s="3511"/>
      <c r="H1" s="3511"/>
      <c r="I1" s="351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北京市顺义区民泰路13号院12号楼1至4层101工业用房房地产抵押价值</v>
      </c>
      <c r="T1" s="1745"/>
      <c r="U1" s="1745"/>
      <c r="V1" s="1745"/>
      <c r="W1" s="1745"/>
      <c r="X1" s="1745"/>
      <c r="Y1" s="1745"/>
      <c r="Z1" s="1745"/>
      <c r="AA1" s="1745"/>
      <c r="AB1" s="1745"/>
    </row>
    <row r="2" spans="1:30">
      <c r="A2" s="2367" t="s">
        <v>2169</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北京市顺义区民泰路13号院12号楼1至4层101工业用房房地产</v>
      </c>
      <c r="T2" s="1745"/>
      <c r="U2" s="1745"/>
      <c r="V2" s="1745"/>
      <c r="W2" s="1745"/>
      <c r="X2" s="1745"/>
      <c r="Y2" s="1745"/>
      <c r="Z2" s="1745"/>
      <c r="AA2" s="1745"/>
      <c r="AB2" s="1745"/>
    </row>
    <row r="3" spans="1:30">
      <c r="A3" s="302" t="s">
        <v>2170</v>
      </c>
      <c r="B3" s="2373">
        <v>45783</v>
      </c>
      <c r="C3" s="2374" t="s">
        <v>2171</v>
      </c>
      <c r="D3" s="2373">
        <f>B3</f>
        <v>45783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3412</v>
      </c>
      <c r="C8" s="2390"/>
      <c r="D8" s="3513" t="s">
        <v>2177</v>
      </c>
      <c r="E8" s="3465" t="s">
        <v>3416</v>
      </c>
      <c r="F8" s="2391"/>
      <c r="G8" s="2662"/>
      <c r="H8" s="2662"/>
      <c r="I8" s="2662"/>
      <c r="J8" s="2438"/>
      <c r="K8" s="2613"/>
      <c r="L8" s="2612"/>
      <c r="M8" s="2612"/>
      <c r="N8" s="2438"/>
      <c r="O8" s="2449"/>
      <c r="P8" s="2438"/>
      <c r="Q8" s="2438"/>
      <c r="R8" s="2438"/>
    </row>
    <row r="9" spans="1:30" ht="13.5" thickBot="1">
      <c r="A9" s="2392" t="s">
        <v>2178</v>
      </c>
      <c r="B9" s="2393" t="s">
        <v>3413</v>
      </c>
      <c r="C9" s="2394"/>
      <c r="D9" s="3514"/>
      <c r="E9" s="2393"/>
      <c r="F9" s="2395"/>
      <c r="G9" s="2664"/>
      <c r="H9" s="2664"/>
      <c r="I9" s="2664"/>
      <c r="J9" s="2438"/>
      <c r="K9" s="2615"/>
      <c r="L9" s="2612"/>
      <c r="M9" s="2612"/>
      <c r="N9" s="2438"/>
      <c r="O9" s="2449"/>
      <c r="P9" s="2438"/>
      <c r="Q9" s="2438"/>
      <c r="R9" s="2438"/>
    </row>
    <row r="10" spans="1:30" ht="13.5" thickTop="1">
      <c r="A10" s="2396" t="s">
        <v>2179</v>
      </c>
      <c r="B10" s="2397" t="s">
        <v>3414</v>
      </c>
      <c r="C10" s="2398"/>
      <c r="D10" s="2382"/>
      <c r="E10" s="2399" t="s">
        <v>2180</v>
      </c>
      <c r="F10" s="3466" t="s">
        <v>3417</v>
      </c>
      <c r="G10" s="2665"/>
      <c r="H10" s="2666"/>
      <c r="I10" s="2667"/>
      <c r="J10" s="2438"/>
      <c r="K10" s="2615"/>
      <c r="L10" s="2612"/>
      <c r="M10" s="2612"/>
      <c r="N10" s="2438"/>
      <c r="O10" s="2449"/>
      <c r="P10" s="2438"/>
      <c r="Q10" s="2438"/>
      <c r="R10" s="2438"/>
    </row>
    <row r="11" spans="1:30">
      <c r="A11" s="2400" t="s">
        <v>2181</v>
      </c>
      <c r="B11" s="2401" t="s">
        <v>3415</v>
      </c>
      <c r="C11" s="2402"/>
      <c r="D11" s="2403"/>
      <c r="E11" s="2370"/>
      <c r="F11" s="2370"/>
      <c r="G11" s="2370"/>
      <c r="H11" s="2370"/>
      <c r="I11" s="2370"/>
      <c r="J11" s="3059"/>
      <c r="K11" s="3058"/>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2576</v>
      </c>
      <c r="J12" s="3060"/>
      <c r="K12" s="2612"/>
      <c r="L12" s="2612"/>
      <c r="M12" s="2438"/>
      <c r="N12" s="2449"/>
      <c r="O12" s="2438"/>
      <c r="P12" s="2438"/>
      <c r="Q12" s="2438"/>
      <c r="AD12" s="1745"/>
    </row>
    <row r="13" spans="1:30">
      <c r="A13" s="3421" t="s">
        <v>3332</v>
      </c>
      <c r="B13" s="2406" t="s">
        <v>2190</v>
      </c>
      <c r="C13" s="856"/>
      <c r="D13" s="856"/>
      <c r="E13" s="856"/>
      <c r="F13" s="856"/>
      <c r="G13" s="856"/>
      <c r="H13" s="856"/>
      <c r="I13" s="856"/>
      <c r="J13" s="3060"/>
      <c r="K13" s="2612"/>
      <c r="L13" s="2612"/>
      <c r="M13" s="2438"/>
      <c r="N13" s="2449"/>
      <c r="O13" s="2438"/>
      <c r="P13" s="2438"/>
      <c r="Q13" s="2438"/>
      <c r="AD13" s="1745"/>
    </row>
    <row r="14" spans="1:30">
      <c r="A14" s="1081"/>
      <c r="B14" s="2406" t="s">
        <v>2191</v>
      </c>
      <c r="C14" s="2407"/>
      <c r="D14" s="2407"/>
      <c r="E14" s="2407"/>
      <c r="F14" s="2407"/>
      <c r="G14" s="2407"/>
      <c r="H14" s="2407"/>
      <c r="I14" s="2407"/>
      <c r="J14" s="3061"/>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2193</v>
      </c>
      <c r="B16" s="3520"/>
      <c r="C16" s="3521"/>
      <c r="D16" s="3522"/>
      <c r="E16" s="2412" t="s">
        <v>2194</v>
      </c>
      <c r="F16" s="3523"/>
      <c r="G16" s="3524"/>
      <c r="H16" s="3524"/>
      <c r="I16" s="3525"/>
      <c r="J16" s="2438"/>
      <c r="K16" s="2616"/>
      <c r="L16" s="2450"/>
      <c r="M16" s="2450"/>
      <c r="N16" s="2508"/>
      <c r="O16" s="2450"/>
      <c r="P16" s="2508"/>
      <c r="Q16" s="2438"/>
      <c r="R16" s="2438"/>
    </row>
    <row r="17" spans="1:28">
      <c r="A17" s="313" t="s">
        <v>2195</v>
      </c>
      <c r="B17" s="302" t="s">
        <v>2196</v>
      </c>
      <c r="C17" s="8">
        <f>'数据-汇总表'!E3</f>
        <v>0</v>
      </c>
      <c r="D17" s="2322" t="s">
        <v>2197</v>
      </c>
      <c r="E17" s="3526" t="s">
        <v>2198</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2199</v>
      </c>
      <c r="B18" s="1090" t="s">
        <v>2200</v>
      </c>
      <c r="C18" s="2414" t="e">
        <f>'数据-汇总表'!D3</f>
        <v>#DIV/0!</v>
      </c>
      <c r="D18" s="1092" t="s">
        <v>2201</v>
      </c>
      <c r="E18" s="3529" t="s">
        <v>2202</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6" t="s">
        <v>2206</v>
      </c>
      <c r="C20" s="3517"/>
      <c r="D20" s="3518" t="s">
        <v>2207</v>
      </c>
      <c r="E20" s="3519"/>
      <c r="F20" s="2646" t="s">
        <v>1056</v>
      </c>
      <c r="G20" s="2663"/>
      <c r="H20" s="2663"/>
      <c r="I20" s="2663"/>
      <c r="J20" s="2438"/>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4"/>
      <c r="B30" s="302" t="s">
        <v>2218</v>
      </c>
      <c r="C30" s="3535"/>
      <c r="D30" s="3536"/>
      <c r="E30" s="2663"/>
      <c r="F30" s="2663"/>
      <c r="G30" s="2663"/>
      <c r="H30" s="2663"/>
      <c r="I30" s="2663"/>
      <c r="J30" s="2438"/>
      <c r="K30" s="2615"/>
      <c r="L30" s="2612"/>
      <c r="M30" s="2612"/>
      <c r="N30" s="2438"/>
      <c r="O30" s="2449"/>
      <c r="P30" s="2438"/>
      <c r="Q30" s="2438"/>
      <c r="R30" s="2438"/>
      <c r="S30" s="2438"/>
      <c r="T30" s="2438"/>
      <c r="U30" s="2438"/>
      <c r="V30" s="2438"/>
    </row>
    <row r="31" spans="1:28">
      <c r="A31" s="3537"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32" t="s">
        <v>2228</v>
      </c>
      <c r="T34" s="2427" t="str">
        <f>NUMBERSTRING(7-K34,1)&amp;"通"</f>
        <v>七通</v>
      </c>
      <c r="U34" s="2438"/>
      <c r="V34" s="2438"/>
    </row>
    <row r="35" spans="1:30">
      <c r="A35" s="2428"/>
      <c r="B35" s="3539" t="s">
        <v>2229</v>
      </c>
      <c r="C35" s="3539"/>
      <c r="D35" s="3539"/>
      <c r="E35" s="353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8"/>
      <c r="G2" s="2649"/>
      <c r="H2" s="2650"/>
      <c r="I2" s="2325" t="s">
        <v>1132</v>
      </c>
      <c r="J2" s="2658"/>
      <c r="K2" s="2658"/>
      <c r="L2" s="2658"/>
      <c r="M2" s="2658"/>
      <c r="N2" s="2660"/>
      <c r="O2" s="2658"/>
      <c r="P2" s="2658"/>
    </row>
    <row r="3" spans="1:16" ht="15.75" thickBot="1">
      <c r="A3" s="3550" t="s">
        <v>1105</v>
      </c>
      <c r="B3" s="3550"/>
      <c r="C3" s="3550"/>
      <c r="D3" s="43" t="e">
        <f>'数据-基础表'!AY6</f>
        <v>#DIV/0!</v>
      </c>
      <c r="E3" s="43">
        <f>'数据-基础表'!AZ5</f>
        <v>0</v>
      </c>
      <c r="F3" s="2658"/>
      <c r="G3" s="1145"/>
      <c r="H3" s="1026" t="s">
        <v>1106</v>
      </c>
      <c r="I3" s="855" t="e">
        <f>ROUND('数据-基础表'!B3/'数据-基础表'!A3,2)</f>
        <v>#DIV/0!</v>
      </c>
      <c r="J3" s="2658"/>
      <c r="K3" s="2658"/>
      <c r="L3" s="2658"/>
      <c r="M3" s="2658"/>
      <c r="N3" s="2660"/>
      <c r="O3" s="2658"/>
      <c r="P3" s="2658"/>
    </row>
    <row r="4" spans="1:16" ht="15">
      <c r="A4" s="3551"/>
      <c r="B4" s="3552"/>
      <c r="C4" s="3553"/>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4" t="s">
        <v>1110</v>
      </c>
      <c r="C5" s="3554"/>
      <c r="D5" s="45" t="e">
        <f>ROUND($D$3*E5/$E$3,2)</f>
        <v>#DIV/0!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4" t="s">
        <v>1111</v>
      </c>
      <c r="C6" s="3554"/>
      <c r="D6" s="45" t="e">
        <f>ROUND($D$3*E6/$E$3,2)</f>
        <v>#DIV/0!</v>
      </c>
      <c r="E6" s="46">
        <f>E3-E5</f>
        <v>0</v>
      </c>
      <c r="F6" s="2658"/>
      <c r="G6" s="2652" t="s">
        <v>1112</v>
      </c>
      <c r="H6" s="1146" t="s">
        <v>1113</v>
      </c>
      <c r="I6" s="2653" t="e">
        <f>ROUND(F31/D31,2)</f>
        <v>#DIV/0!</v>
      </c>
      <c r="J6" s="2658"/>
      <c r="K6" s="2658"/>
      <c r="L6" s="2658"/>
      <c r="M6" s="2658"/>
      <c r="N6" s="2658"/>
      <c r="O6" s="2658"/>
      <c r="P6" s="2658"/>
    </row>
    <row r="7" spans="1:16" ht="15.75" thickBot="1">
      <c r="A7" s="3546"/>
      <c r="B7" s="3547"/>
      <c r="C7" s="3548"/>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t="e">
        <f t="shared" ref="D8:D15" si="0">ROUND($D$3*E8/$E$3,2)</f>
        <v>#DIV/0!</v>
      </c>
      <c r="E8" s="48">
        <f>SUMIF('数据-基础表'!BB10:BK10,"地上",'数据-基础表'!BB5:BK5)</f>
        <v>0</v>
      </c>
      <c r="F8" s="2658"/>
      <c r="G8" s="2659"/>
      <c r="H8" s="2659"/>
      <c r="I8" s="2658"/>
      <c r="J8" s="2658"/>
      <c r="K8" s="2658"/>
      <c r="L8" s="2658"/>
      <c r="M8" s="2658"/>
      <c r="N8" s="2658"/>
      <c r="O8" s="2658"/>
      <c r="P8" s="2658"/>
    </row>
    <row r="9" spans="1:16">
      <c r="A9" s="1646"/>
      <c r="B9" s="1647"/>
      <c r="C9" s="45" t="s">
        <v>1119</v>
      </c>
      <c r="D9" s="45" t="e">
        <f t="shared" si="0"/>
        <v>#DIV/0!</v>
      </c>
      <c r="E9" s="49">
        <v>0</v>
      </c>
      <c r="F9" s="2658"/>
      <c r="G9" s="2659"/>
      <c r="H9" s="2659"/>
      <c r="I9" s="2658"/>
      <c r="J9" s="2658"/>
      <c r="K9" s="2658"/>
      <c r="L9" s="2658"/>
      <c r="M9" s="2658"/>
      <c r="N9" s="2658"/>
      <c r="O9" s="2658"/>
      <c r="P9" s="2658"/>
    </row>
    <row r="10" spans="1:16">
      <c r="A10" s="1646"/>
      <c r="B10" s="1647"/>
      <c r="C10" s="45" t="s">
        <v>1128</v>
      </c>
      <c r="D10" s="45" t="e">
        <f t="shared" si="0"/>
        <v>#DIV/0!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t="e">
        <f t="shared" si="0"/>
        <v>#DIV/0!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t="e">
        <f t="shared" si="0"/>
        <v>#DIV/0!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t="e">
        <f t="shared" si="0"/>
        <v>#DIV/0!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t="e">
        <f t="shared" si="0"/>
        <v>#DIV/0!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t="e">
        <f t="shared" si="0"/>
        <v>#DIV/0!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t="e">
        <f>SUM(D8:D15)</f>
        <v>#DIV/0!</v>
      </c>
      <c r="E16" s="50">
        <f>SUM(E8:E15)</f>
        <v>0</v>
      </c>
      <c r="F16" s="2658"/>
      <c r="G16" s="2659"/>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c r="D19" s="45" t="e">
        <f>ROUND($D$3*E19/$E$3,2)</f>
        <v>#DIV/0!</v>
      </c>
      <c r="E19" s="53">
        <f t="shared" ref="E19:E26" si="1">SUM(F19:G19)</f>
        <v>0</v>
      </c>
      <c r="F19" s="2793"/>
      <c r="G19" s="2794"/>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5"/>
      <c r="D20" s="45" t="e">
        <f t="shared" ref="D20:D26" si="6">ROUND($D$3*E20/$E$3,2)</f>
        <v>#DIV/0!</v>
      </c>
      <c r="E20" s="53">
        <f t="shared" si="1"/>
        <v>0</v>
      </c>
      <c r="F20" s="2793"/>
      <c r="G20" s="2794"/>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5"/>
      <c r="D21" s="45" t="e">
        <f t="shared" si="6"/>
        <v>#DIV/0!</v>
      </c>
      <c r="E21" s="53">
        <f t="shared" si="1"/>
        <v>0</v>
      </c>
      <c r="F21" s="2793"/>
      <c r="G21" s="2794"/>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6"/>
      <c r="D22" s="45" t="e">
        <f t="shared" si="6"/>
        <v>#DIV/0!</v>
      </c>
      <c r="E22" s="53">
        <f t="shared" si="1"/>
        <v>0</v>
      </c>
      <c r="F22" s="2795"/>
      <c r="G22" s="2796"/>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6"/>
      <c r="D23" s="45" t="e">
        <f>ROUND($D$3*E23/$E$3,2)</f>
        <v>#DIV/0!</v>
      </c>
      <c r="E23" s="53">
        <f>SUM(F23:G23)</f>
        <v>0</v>
      </c>
      <c r="F23" s="2795"/>
      <c r="G23" s="2796"/>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6"/>
      <c r="D24" s="45" t="e">
        <f>ROUND($D$3*E24/$E$3,2)</f>
        <v>#DIV/0!</v>
      </c>
      <c r="E24" s="53">
        <f>SUM(F24:G24)</f>
        <v>0</v>
      </c>
      <c r="F24" s="2795"/>
      <c r="G24" s="2796"/>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6"/>
      <c r="D25" s="45" t="e">
        <f t="shared" si="6"/>
        <v>#DIV/0!</v>
      </c>
      <c r="E25" s="53">
        <f t="shared" si="1"/>
        <v>0</v>
      </c>
      <c r="F25" s="2795"/>
      <c r="G25" s="2796"/>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5"/>
      <c r="G26" s="2796"/>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t="e">
        <f>ROUND($D$3*E29/$E$3,2)</f>
        <v>#DIV/0!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t="e">
        <f>SUM(D28:D29)</f>
        <v>#DIV/0!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t="e">
        <f>D27+D30</f>
        <v>#DIV/0!</v>
      </c>
      <c r="E31" s="676">
        <f>E27+E30</f>
        <v>0</v>
      </c>
      <c r="F31" s="677">
        <f>F27+F30</f>
        <v>0</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45783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0</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2304</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2294</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t="e">
        <f ca="1">IF(A40="利息：取LPR",存贷款利率!G1,存贷款利率!G1+C40)</f>
        <v>#VALUE!</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0</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0</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60"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5" t="s">
        <v>2286</v>
      </c>
      <c r="B1" s="3556"/>
      <c r="C1" s="3556"/>
      <c r="D1" s="3556"/>
      <c r="E1" s="3556"/>
      <c r="F1" s="3556"/>
      <c r="G1" s="355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2150.17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45783</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SUM(D14:D23)</f>
        <v>1330</v>
      </c>
      <c r="C5" s="2511">
        <f ca="1">IF(B5=D14,结果表!H102,ROUND(B5*10000/$B$1,0))</f>
        <v>0</v>
      </c>
      <c r="D5" s="2511" t="e">
        <f>ROUND(B5*10000/$B$2,0)</f>
        <v>#DIV/0!</v>
      </c>
      <c r="E5" s="2684"/>
      <c r="F5" s="2685"/>
      <c r="G5" s="2685"/>
      <c r="H5" s="2686"/>
      <c r="I5" s="2686"/>
      <c r="J5" s="2686"/>
      <c r="K5" s="2686"/>
    </row>
    <row r="6" spans="1:11" ht="16.5">
      <c r="A6" s="2511" t="s">
        <v>656</v>
      </c>
      <c r="B6" s="2511">
        <f>SUM(G14:G23)</f>
        <v>1330</v>
      </c>
      <c r="C6" s="2511">
        <f ca="1">IF(B6=G14,结果表!H108,ROUND(B6*10000/$B$1,0))</f>
        <v>0</v>
      </c>
      <c r="D6" s="2511" t="e">
        <f>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3356</v>
      </c>
      <c r="D10" s="2511" t="s">
        <v>3357</v>
      </c>
      <c r="E10" s="3439"/>
      <c r="F10" s="3443" t="s">
        <v>3358</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v>2150.17</v>
      </c>
      <c r="C14" s="2517"/>
      <c r="D14" s="2517">
        <v>1330</v>
      </c>
      <c r="E14" s="2517">
        <f>ROUND(D14*10000/B14,0)</f>
        <v>6186</v>
      </c>
      <c r="F14" s="2517" t="e">
        <f>ROUND(D14*10000/C14,0)</f>
        <v>#DIV/0!</v>
      </c>
      <c r="G14" s="2517">
        <f>D14</f>
        <v>1330</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8" sqref="J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北京市顺义区民泰路13号院12号楼1至4层101工业用房房地产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c r="D4" s="1756"/>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c r="D14" s="3618"/>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49" t="s">
        <v>2131</v>
      </c>
      <c r="F18" s="3650"/>
      <c r="G18" s="3650"/>
      <c r="H18" s="3650"/>
      <c r="I18" s="3650"/>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t="e">
        <f ca="1">ROUND(H101*F45,0)</f>
        <v>#REF!</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2">
        <v>1</v>
      </c>
      <c r="K46" s="3560" t="s">
        <v>1331</v>
      </c>
      <c r="L46" s="3560"/>
      <c r="M46" s="3561"/>
      <c r="N46" s="3561"/>
      <c r="O46" s="3561"/>
    </row>
    <row r="47" spans="1:15" ht="12" customHeight="1">
      <c r="A47" s="160" t="s">
        <v>1332</v>
      </c>
      <c r="B47" s="161"/>
      <c r="C47" s="162"/>
      <c r="D47" s="1087" t="s">
        <v>1333</v>
      </c>
      <c r="E47" s="302" t="s">
        <v>1334</v>
      </c>
      <c r="F47" s="163" t="s">
        <v>1335</v>
      </c>
      <c r="G47" s="2545" t="s">
        <v>1336</v>
      </c>
      <c r="H47" s="2546"/>
      <c r="I47" s="159"/>
      <c r="J47" s="2522">
        <v>2</v>
      </c>
      <c r="K47" s="3560" t="s">
        <v>1337</v>
      </c>
      <c r="L47" s="3560"/>
      <c r="M47" s="3562">
        <f>'数据-取费表'!B2</f>
        <v>45783</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7">
        <f>IF(H48="情况1","免征",'数据-取费表'!B41)</f>
        <v>0</v>
      </c>
      <c r="G48" s="2548" t="s">
        <v>1339</v>
      </c>
      <c r="H48" s="2549"/>
      <c r="I48" s="1806"/>
      <c r="J48" s="2522">
        <v>3</v>
      </c>
      <c r="K48" s="3560" t="s">
        <v>1340</v>
      </c>
      <c r="L48" s="3560"/>
      <c r="M48" s="3563" t="e">
        <f ca="1">H101</f>
        <v>#REF!</v>
      </c>
      <c r="N48" s="3563"/>
      <c r="O48" s="3563"/>
    </row>
    <row r="49" spans="1:35" ht="25.5" customHeight="1">
      <c r="A49" s="2333" t="s">
        <v>1341</v>
      </c>
      <c r="B49" s="3608" t="s">
        <v>1342</v>
      </c>
      <c r="C49" s="3608"/>
      <c r="D49" s="1590">
        <v>0</v>
      </c>
      <c r="E49" s="324" t="s">
        <v>1343</v>
      </c>
      <c r="F49" s="2423" t="s">
        <v>28</v>
      </c>
      <c r="G49" s="3591"/>
      <c r="H49" s="2310" t="s">
        <v>2134</v>
      </c>
      <c r="I49" s="2311"/>
      <c r="J49" s="2522">
        <v>4</v>
      </c>
      <c r="K49" s="3560" t="str">
        <f>IF(项目基本情况!E8="房地产抵押价值","房地产抵押价值","抵押担保权已注销时的房地产抵押价值")</f>
        <v>房地产抵押价值</v>
      </c>
      <c r="L49" s="3560"/>
      <c r="M49" s="3563" t="str">
        <f ca="1">IF(项目基本情况!E8="房地产抵押价值",H107,H109)</f>
        <v>——</v>
      </c>
      <c r="N49" s="3563"/>
      <c r="O49" s="3563"/>
    </row>
    <row r="50" spans="1:35" ht="25.5" customHeight="1">
      <c r="A50" s="2550"/>
      <c r="B50" s="3608" t="s">
        <v>1344</v>
      </c>
      <c r="C50" s="3608"/>
      <c r="D50" s="2551"/>
      <c r="E50" s="332"/>
      <c r="F50" s="2423"/>
      <c r="G50" s="3592"/>
      <c r="H50" s="2312" t="s">
        <v>2135</v>
      </c>
      <c r="I50" s="2311"/>
      <c r="J50" s="3559" t="s">
        <v>1345</v>
      </c>
      <c r="K50" s="3559"/>
      <c r="L50" s="3559"/>
      <c r="M50" s="3559"/>
      <c r="N50" s="3559"/>
      <c r="O50" s="3559"/>
    </row>
    <row r="51" spans="1:35" ht="20.45" customHeight="1">
      <c r="A51" s="2552"/>
      <c r="B51" s="3608" t="s">
        <v>1346</v>
      </c>
      <c r="C51" s="3608"/>
      <c r="D51" s="1087"/>
      <c r="E51" s="327"/>
      <c r="F51" s="2423"/>
      <c r="G51" s="3593"/>
      <c r="H51" s="2312" t="s">
        <v>2136</v>
      </c>
      <c r="I51" s="2311"/>
      <c r="J51" s="2523" t="s">
        <v>1347</v>
      </c>
      <c r="K51" s="3560" t="s">
        <v>1348</v>
      </c>
      <c r="L51" s="3560"/>
      <c r="M51" s="2523" t="s">
        <v>1349</v>
      </c>
      <c r="N51" s="2523" t="s">
        <v>1350</v>
      </c>
      <c r="O51" s="2523" t="s">
        <v>1351</v>
      </c>
    </row>
    <row r="52" spans="1:35" ht="24" customHeight="1">
      <c r="A52" s="2335" t="s">
        <v>1352</v>
      </c>
      <c r="B52" s="3608" t="s">
        <v>1353</v>
      </c>
      <c r="C52" s="3608"/>
      <c r="D52" s="1087" t="e">
        <f ca="1">ROUND(D45*'数据-取费表'!B41/(1+'数据-取费表'!C42),0)</f>
        <v>#REF!</v>
      </c>
      <c r="E52" s="2334" t="s">
        <v>1354</v>
      </c>
      <c r="F52" s="2553">
        <f>'数据-取费表'!B41</f>
        <v>0</v>
      </c>
      <c r="G52" s="2554"/>
      <c r="H52" s="2543"/>
      <c r="I52" s="1807"/>
      <c r="J52" s="2522">
        <v>1</v>
      </c>
      <c r="K52" s="3585" t="s">
        <v>1355</v>
      </c>
      <c r="L52" s="3585"/>
      <c r="M52" s="2524" t="b">
        <f>D48</f>
        <v>0</v>
      </c>
      <c r="N52" s="2522" t="str">
        <f>E48</f>
        <v>销售额×税（费）率</v>
      </c>
      <c r="O52" s="2525">
        <f>F48</f>
        <v>0</v>
      </c>
    </row>
    <row r="53" spans="1:35" ht="12" customHeight="1">
      <c r="A53" s="2335" t="s">
        <v>1356</v>
      </c>
      <c r="B53" s="3609" t="s">
        <v>2291</v>
      </c>
      <c r="C53" s="3610"/>
      <c r="D53" s="1087" t="e">
        <f ca="1">ROUND(D45*'数据-取费表'!B41/(1+'数据-取费表'!C42),0)</f>
        <v>#REF!</v>
      </c>
      <c r="E53" s="2334" t="s">
        <v>1354</v>
      </c>
      <c r="F53" s="2553">
        <f>'数据-取费表'!B41</f>
        <v>0</v>
      </c>
      <c r="G53" s="2554"/>
      <c r="H53" s="2543"/>
      <c r="I53" s="1807"/>
      <c r="J53" s="2522">
        <v>2</v>
      </c>
      <c r="K53" s="3585" t="s">
        <v>1357</v>
      </c>
      <c r="L53" s="3585"/>
      <c r="M53" s="2524" t="e">
        <f t="shared" ref="M53:O54" ca="1" si="0">D55</f>
        <v>#REF!</v>
      </c>
      <c r="N53" s="2522" t="str">
        <f t="shared" si="0"/>
        <v>销售额×税（费）率</v>
      </c>
      <c r="O53" s="2525" t="str">
        <f t="shared" si="0"/>
        <v>免征</v>
      </c>
    </row>
    <row r="54" spans="1:35" ht="12" customHeight="1">
      <c r="A54" s="2335" t="s">
        <v>1358</v>
      </c>
      <c r="B54" s="3609" t="s">
        <v>2292</v>
      </c>
      <c r="C54" s="3610"/>
      <c r="D54" s="1087" t="e">
        <f ca="1">C68</f>
        <v>#REF!</v>
      </c>
      <c r="E54" s="327" t="s">
        <v>1359</v>
      </c>
      <c r="F54" s="2553">
        <f>'数据-取费表'!B41</f>
        <v>0</v>
      </c>
      <c r="G54" s="2554"/>
      <c r="H54" s="2555"/>
      <c r="I54" s="1807"/>
      <c r="J54" s="2522">
        <v>3</v>
      </c>
      <c r="K54" s="3585" t="s">
        <v>1360</v>
      </c>
      <c r="L54" s="3585"/>
      <c r="M54" s="2524" t="e">
        <f t="shared" ca="1" si="0"/>
        <v>#REF!</v>
      </c>
      <c r="N54" s="2522" t="str">
        <f t="shared" si="0"/>
        <v>增值额×税（费）率</v>
      </c>
      <c r="O54" s="2526" t="str">
        <f t="shared" si="0"/>
        <v>免征</v>
      </c>
    </row>
    <row r="55" spans="1:35" ht="24" customHeight="1">
      <c r="A55" s="3645" t="s">
        <v>1361</v>
      </c>
      <c r="B55" s="3623"/>
      <c r="C55" s="3623"/>
      <c r="D55" s="2324" t="e">
        <f ca="1">IF(H55="个人住宅",0,ROUND(D45*I55,0))</f>
        <v>#REF!</v>
      </c>
      <c r="E55" s="2334" t="s">
        <v>1362</v>
      </c>
      <c r="F55" s="2553" t="str">
        <f>IF(H55="正常",I55,"免征")</f>
        <v>免征</v>
      </c>
      <c r="G55" s="2554"/>
      <c r="H55" s="2549"/>
      <c r="I55" s="165">
        <f>'数据-取费表'!B49</f>
        <v>0</v>
      </c>
      <c r="J55" s="2522">
        <f>IF(H59="非个人房产","",4)</f>
        <v>4</v>
      </c>
      <c r="K55" s="3585" t="str">
        <f>IF(H59="非个人房产","——","个人所得税")</f>
        <v>个人所得税</v>
      </c>
      <c r="L55" s="3585"/>
      <c r="M55" s="2527" t="e">
        <f ca="1">D59</f>
        <v>#REF!</v>
      </c>
      <c r="N55" s="2040" t="str">
        <f>E59</f>
        <v>差额计税</v>
      </c>
      <c r="O55" s="2528">
        <f>F59</f>
        <v>0.01</v>
      </c>
    </row>
    <row r="56" spans="1:35" ht="24.75">
      <c r="A56" s="3645" t="s">
        <v>1363</v>
      </c>
      <c r="B56" s="3623"/>
      <c r="C56" s="3623"/>
      <c r="D56" s="2324" t="e">
        <f ca="1">IF(H56="个人住宅",D57,D58)</f>
        <v>#REF!</v>
      </c>
      <c r="E56" s="2334" t="s">
        <v>1364</v>
      </c>
      <c r="F56" s="2553" t="str">
        <f>IF(H56="正常",F58,"免征")</f>
        <v>免征</v>
      </c>
      <c r="G56" s="2556" t="s">
        <v>1365</v>
      </c>
      <c r="H56" s="2557"/>
      <c r="I56" s="1808"/>
      <c r="J56" s="2522" t="str">
        <f>IF(项目基本情况!K6="上海银行",IF(J55="",4,J55+1),"")</f>
        <v/>
      </c>
      <c r="K56" s="3566" t="str">
        <f>IF(项目基本情况!K6="上海银行","其他处置费用","")</f>
        <v/>
      </c>
      <c r="L56" s="3567"/>
      <c r="M56" s="2524"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4"/>
      <c r="H57" s="2558"/>
      <c r="I57" s="1808"/>
      <c r="J57" s="3585">
        <f>IF(AND(J55="",J56=""),4,IF(项目基本情况!K6="上海银行",结果表!J56+1,结果表!J55+1))</f>
        <v>5</v>
      </c>
      <c r="K57" s="3585" t="s">
        <v>1367</v>
      </c>
      <c r="L57" s="2529" t="s">
        <v>1368</v>
      </c>
      <c r="M57" s="2530"/>
      <c r="N57" s="2531">
        <f ca="1">SUMIF(M52:M56,"&lt;9e307")</f>
        <v>0</v>
      </c>
      <c r="O57" s="2532"/>
      <c r="P57" s="2688" t="e">
        <f ca="1">N57/M49</f>
        <v>#VALUE!</v>
      </c>
    </row>
    <row r="58" spans="1:35" ht="24.75">
      <c r="A58" s="2335" t="s">
        <v>1352</v>
      </c>
      <c r="B58" s="3609" t="s">
        <v>1369</v>
      </c>
      <c r="C58" s="3608"/>
      <c r="D58" s="2324" t="e">
        <f ca="1">IF(H58="转让取得",C81,C97)</f>
        <v>#REF!</v>
      </c>
      <c r="E58" s="2334" t="s">
        <v>1364</v>
      </c>
      <c r="F58" s="302" t="s">
        <v>28</v>
      </c>
      <c r="G58" s="2554"/>
      <c r="H58" s="2557"/>
      <c r="I58" s="1808"/>
      <c r="J58" s="3585"/>
      <c r="K58" s="3585"/>
      <c r="L58" s="2529" t="s">
        <v>1370</v>
      </c>
      <c r="M58" s="2533"/>
      <c r="N58" s="2534" t="str">
        <f ca="1">NUMBERSTRING(INT(N57*10000),2)&amp;"元整"</f>
        <v>零元整</v>
      </c>
      <c r="O58" s="2535"/>
    </row>
    <row r="59" spans="1:35" ht="24.75" thickBot="1">
      <c r="A59" s="3589" t="s">
        <v>1371</v>
      </c>
      <c r="B59" s="3590"/>
      <c r="C59" s="359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87">
        <f>J57+1</f>
        <v>6</v>
      </c>
      <c r="K59" s="3585" t="s">
        <v>1372</v>
      </c>
      <c r="L59" s="2522" t="s">
        <v>1368</v>
      </c>
      <c r="M59" s="2536"/>
      <c r="N59" s="2537" t="e">
        <f ca="1">M49-N57</f>
        <v>#VALUE!</v>
      </c>
      <c r="O59" s="2538"/>
    </row>
    <row r="60" spans="1:35" ht="12" customHeight="1">
      <c r="A60" s="1809"/>
      <c r="B60" s="1747"/>
      <c r="C60" s="1747"/>
      <c r="D60" s="1747"/>
      <c r="E60" s="1578"/>
      <c r="F60" s="1808"/>
      <c r="G60" s="1808"/>
      <c r="H60" s="1810"/>
      <c r="I60" s="129"/>
      <c r="J60" s="3588"/>
      <c r="K60" s="3585"/>
      <c r="L60" s="2529" t="s">
        <v>1370</v>
      </c>
      <c r="M60" s="2533"/>
      <c r="N60" s="2534" t="e">
        <f ca="1">NUMBERSTRING(INT(N59*10000),2)&amp;"元整"</f>
        <v>#VALUE!</v>
      </c>
      <c r="O60" s="2535"/>
    </row>
    <row r="61" spans="1:35" ht="13.5" thickBot="1">
      <c r="A61" s="3644" t="s">
        <v>1373</v>
      </c>
      <c r="B61" s="3644"/>
      <c r="C61" s="3644"/>
      <c r="D61" s="3644"/>
      <c r="E61" s="3644"/>
      <c r="F61" s="1808"/>
      <c r="G61" s="1808"/>
      <c r="H61" s="1810"/>
      <c r="I61" s="129"/>
      <c r="J61" s="2522">
        <f>J59+1</f>
        <v>7</v>
      </c>
      <c r="K61" s="3585" t="s">
        <v>1374</v>
      </c>
      <c r="L61" s="3585"/>
      <c r="M61" s="2539"/>
      <c r="N61" s="2540" t="e">
        <f ca="1">ROUND(N59*10000/'数据-汇总表'!E3,0)</f>
        <v>#VALUE!</v>
      </c>
      <c r="O61" s="2541"/>
    </row>
    <row r="62" spans="1:35" ht="12.75">
      <c r="A62" s="3604" t="s">
        <v>1375</v>
      </c>
      <c r="B62" s="3605"/>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68" t="s">
        <v>1379</v>
      </c>
      <c r="K63" s="1332" t="s">
        <v>1380</v>
      </c>
      <c r="L63" s="1332" t="e">
        <f ca="1">IF(M49&gt;10000,M49*0.5%,IF(AND(M49&gt;1000,M49&lt;=10000),M49*1%,IF(AND(M49&gt;100,M49&lt;=1000),M49*3%,IF(AND(M49&gt;10,M49&lt;=100),M49*5%,M49*8%))))</f>
        <v>#VALUE!</v>
      </c>
      <c r="M63" s="302" t="e">
        <f ca="1">ROUND(L63,1)</f>
        <v>#VALUE!</v>
      </c>
      <c r="N63" s="2542"/>
      <c r="Z63" s="1752"/>
      <c r="AI63" s="1753"/>
    </row>
    <row r="64" spans="1:35" ht="14.25" customHeight="1">
      <c r="A64" s="169" t="s">
        <v>325</v>
      </c>
      <c r="B64" s="170" t="s">
        <v>1381</v>
      </c>
      <c r="C64" s="2564" t="e">
        <f ca="1">D45</f>
        <v>#REF!</v>
      </c>
      <c r="D64" s="170" t="s">
        <v>26</v>
      </c>
      <c r="E64" s="172"/>
      <c r="F64" s="1808"/>
      <c r="G64" s="1808"/>
      <c r="H64" s="1810"/>
      <c r="I64" s="129"/>
      <c r="J64" s="356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2"/>
      <c r="AI64" s="1753"/>
    </row>
    <row r="65" spans="1:35" ht="14.25" customHeight="1">
      <c r="A65" s="169" t="s">
        <v>326</v>
      </c>
      <c r="B65" s="170" t="s">
        <v>1384</v>
      </c>
      <c r="C65" s="2565"/>
      <c r="D65" s="170"/>
      <c r="E65" s="172"/>
      <c r="F65" s="1808"/>
      <c r="G65" s="1808"/>
      <c r="H65" s="1810"/>
      <c r="I65" s="129"/>
      <c r="J65" s="3568"/>
      <c r="K65" s="1332" t="s">
        <v>1385</v>
      </c>
      <c r="L65" s="1332" t="e">
        <f ca="1">IF(M49&gt;1000,M49*0.1%,IF(AND(M49&gt;500,M49&lt;=1000),M49*0.5%,IF(AND(M49&gt;50,M49&lt;=500),M49*1%,IF(AND(M49&gt;1,M49&lt;=50),M49*1.5%))))</f>
        <v>#VALUE!</v>
      </c>
      <c r="M65" s="302" t="e">
        <f t="shared" ca="1" si="1"/>
        <v>#VALUE!</v>
      </c>
      <c r="N65" s="2543" t="s">
        <v>1383</v>
      </c>
      <c r="Z65" s="1752"/>
      <c r="AI65" s="1753"/>
    </row>
    <row r="66" spans="1:35" ht="14.25" customHeight="1">
      <c r="A66" s="173" t="s">
        <v>327</v>
      </c>
      <c r="B66" s="174" t="s">
        <v>1386</v>
      </c>
      <c r="C66" s="2566"/>
      <c r="D66" s="174" t="s">
        <v>26</v>
      </c>
      <c r="E66" s="1338" t="s">
        <v>671</v>
      </c>
      <c r="F66" s="1808"/>
      <c r="G66" s="1808"/>
      <c r="H66" s="1810"/>
      <c r="I66" s="129"/>
      <c r="J66" s="3568"/>
      <c r="K66" s="1332" t="s">
        <v>1387</v>
      </c>
      <c r="L66" s="1332" t="e">
        <f ca="1">M49*0.5%</f>
        <v>#VALUE!</v>
      </c>
      <c r="M66" s="302" t="e">
        <f ca="1">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6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2"/>
      <c r="AI67" s="1753"/>
    </row>
    <row r="68" spans="1:35" ht="14.25" customHeight="1" thickBot="1">
      <c r="A68" s="176" t="s">
        <v>329</v>
      </c>
      <c r="B68" s="177" t="s">
        <v>1391</v>
      </c>
      <c r="C68" s="2568" t="e">
        <f ca="1">IF(C67&lt;=0,0,ROUND(C67*D68,0))</f>
        <v>#REF!</v>
      </c>
      <c r="D68" s="2569">
        <f>'数据-取费表'!B41</f>
        <v>0</v>
      </c>
      <c r="E68" s="178"/>
      <c r="F68" s="1808"/>
      <c r="G68" s="1808"/>
      <c r="H68" s="1810"/>
      <c r="I68" s="129"/>
      <c r="J68" s="3568"/>
      <c r="K68" s="1332" t="s">
        <v>1392</v>
      </c>
      <c r="L68" s="1332" t="e">
        <f ca="1">IF(M49&gt;10000,M49*0.5%,IF(AND(M49&gt;5000,M49&lt;=10000),M49*1%,IF(AND(M49&gt;1000,M49&lt;=5000),M49*2%,IF(AND(M49&gt;200,M49&lt;=1000),M49*3%,M49*5%))))</f>
        <v>#VALUE!</v>
      </c>
      <c r="M68" s="302" t="e">
        <f ca="1">ROUND(L68,1)</f>
        <v>#VALUE!</v>
      </c>
      <c r="N68" s="2542"/>
      <c r="Z68" s="1752"/>
      <c r="AI68" s="1753"/>
    </row>
    <row r="69" spans="1:35" s="1772" customFormat="1" ht="16.5" customHeight="1">
      <c r="A69" s="1811"/>
      <c r="B69" s="1812"/>
      <c r="C69" s="1813"/>
      <c r="D69" s="1814"/>
      <c r="E69" s="1815"/>
      <c r="F69" s="1578"/>
      <c r="G69" s="1578"/>
      <c r="H69" s="1577"/>
      <c r="I69" s="1747"/>
      <c r="J69" s="3568"/>
      <c r="K69" s="1332" t="s">
        <v>1393</v>
      </c>
      <c r="L69" s="1332"/>
      <c r="M69" s="302" t="e">
        <f ca="1">ROUND(SUM(M63:M68),0)</f>
        <v>#VALUE!</v>
      </c>
      <c r="N69" s="2544"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0</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70" t="s">
        <v>2129</v>
      </c>
      <c r="H90" s="357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1" t="s">
        <v>1422</v>
      </c>
      <c r="F92" s="3602"/>
      <c r="G92" s="3602"/>
      <c r="H92" s="360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0</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4">
        <f>C4</f>
        <v>0</v>
      </c>
      <c r="D101" s="2585">
        <f>D4</f>
        <v>0</v>
      </c>
      <c r="E101" s="3564" t="s">
        <v>1431</v>
      </c>
      <c r="F101" s="3565"/>
      <c r="G101" s="1827" t="s">
        <v>1432</v>
      </c>
      <c r="H101" s="2594" t="e">
        <f ca="1">H118</f>
        <v>#REF!</v>
      </c>
      <c r="I101" s="129"/>
    </row>
    <row r="102" spans="1:35" ht="18.75" customHeight="1">
      <c r="A102" s="3596" t="s">
        <v>1433</v>
      </c>
      <c r="B102" s="2583" t="s">
        <v>1432</v>
      </c>
      <c r="C102" s="2584" t="e">
        <f ca="1">IF(D32="楼面单价",ROUND(C19,0),C19)</f>
        <v>#REF!</v>
      </c>
      <c r="D102" s="2585" t="e">
        <f ca="1">IF(D32="楼面单价",ROUND(D19,0),D19)</f>
        <v>#REF!</v>
      </c>
      <c r="E102" s="3564"/>
      <c r="F102" s="3565"/>
      <c r="G102" s="1827" t="s">
        <v>1434</v>
      </c>
      <c r="H102" s="2554" t="e">
        <f ca="1">I118</f>
        <v>#REF!</v>
      </c>
      <c r="I102" s="129"/>
    </row>
    <row r="103" spans="1:35" ht="42.75" customHeight="1">
      <c r="A103" s="3596"/>
      <c r="B103" s="2583" t="s">
        <v>1434</v>
      </c>
      <c r="C103" s="2586" t="e">
        <f ca="1">C20</f>
        <v>#REF!</v>
      </c>
      <c r="D103" s="2587" t="e">
        <f ca="1">D20</f>
        <v>#REF!</v>
      </c>
      <c r="E103" s="3557" t="s">
        <v>1435</v>
      </c>
      <c r="F103" s="3558"/>
      <c r="G103" s="1828" t="s">
        <v>1436</v>
      </c>
      <c r="H103" s="2594">
        <f>IF(D36="正常操作",H104+H105+H106,H105+H106)</f>
        <v>0</v>
      </c>
      <c r="I103" s="129"/>
    </row>
    <row r="104" spans="1:35" ht="18.75" customHeight="1">
      <c r="A104" s="3596"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06"/>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7" t="str">
        <f>IF(项目基本情况!E8="已注销","——","3.房地产抵押价值")</f>
        <v>3.房地产抵押价值</v>
      </c>
      <c r="F107" s="3565"/>
      <c r="G107" s="1827" t="s">
        <v>1432</v>
      </c>
      <c r="H107" s="2594" t="e">
        <f ca="1">IF(E107="——","——",H101-H103)</f>
        <v>#REF!</v>
      </c>
      <c r="I107" s="129"/>
    </row>
    <row r="108" spans="1:35" ht="18.75" customHeight="1">
      <c r="A108" s="129"/>
      <c r="B108" s="129"/>
      <c r="C108" s="129"/>
      <c r="D108" s="129"/>
      <c r="E108" s="3597"/>
      <c r="F108" s="3565"/>
      <c r="G108" s="1827" t="s">
        <v>1434</v>
      </c>
      <c r="H108" s="2554">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7" t="str">
        <f>IF(E109="——","——",H101-H105-H106)</f>
        <v>——</v>
      </c>
      <c r="I109" s="129"/>
    </row>
    <row r="110" spans="1:35" ht="18.75" customHeight="1">
      <c r="A110" s="129"/>
      <c r="B110" s="129"/>
      <c r="C110" s="129"/>
      <c r="D110" s="129"/>
      <c r="E110" s="3597"/>
      <c r="F110" s="3565"/>
      <c r="G110" s="1827" t="s">
        <v>1434</v>
      </c>
      <c r="H110" s="2554"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4" t="str">
        <f>IF(E111="——","——",N59)</f>
        <v>——</v>
      </c>
      <c r="I111" s="129"/>
    </row>
    <row r="112" spans="1:35" ht="18.75" customHeight="1" thickBot="1">
      <c r="A112" s="129"/>
      <c r="B112" s="129"/>
      <c r="C112" s="129"/>
      <c r="D112" s="129"/>
      <c r="E112" s="3599"/>
      <c r="F112" s="3600"/>
      <c r="G112" s="1830" t="s">
        <v>1434</v>
      </c>
      <c r="H112" s="2598"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599" t="str">
        <f>项目基本情况!S2</f>
        <v>北京市顺义区民泰路13号院12号楼1至4层101工业用房房地产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2" t="s">
        <v>1452</v>
      </c>
      <c r="B119" s="3572"/>
      <c r="C119" s="3572"/>
      <c r="D119" s="3578" t="e">
        <f ca="1">NUMBERSTRING(INT(D118*10000),2)&amp;"元整"</f>
        <v>#REF!</v>
      </c>
      <c r="E119" s="3579"/>
      <c r="F119" s="3578" t="e">
        <f ca="1">NUMBERSTRING(INT(F118*10000),2)&amp;"元整"</f>
        <v>#REF!</v>
      </c>
      <c r="G119" s="3579"/>
      <c r="H119" s="3578" t="e">
        <f ca="1">NUMBERSTRING(INT(H118*10000),2)&amp;"元整"</f>
        <v>#REF!</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t="e">
        <f ca="1">H107</f>
        <v>#REF!</v>
      </c>
      <c r="E122" s="3574"/>
      <c r="F122" s="3574"/>
      <c r="G122" s="3574"/>
      <c r="H122" s="3574"/>
      <c r="I122" s="3575"/>
      <c r="AA122" s="725"/>
    </row>
    <row r="123" spans="1:27" ht="18.75" customHeight="1">
      <c r="A123" s="3572" t="s">
        <v>1452</v>
      </c>
      <c r="B123" s="3572"/>
      <c r="C123" s="3572"/>
      <c r="D123" s="3578" t="e">
        <f ca="1">NUMBERSTRING(INT(D122*10000),2)&amp;"元整"</f>
        <v>#REF!</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1" t="s">
        <v>1544</v>
      </c>
    </row>
    <row r="43" spans="1:7" ht="13.5" customHeight="1">
      <c r="A43" s="780" t="s">
        <v>347</v>
      </c>
      <c r="B43" s="215" t="s">
        <v>1545</v>
      </c>
      <c r="C43" s="238" t="e">
        <f ca="1">ROUND(IF('数据-取费表'!B22&lt;=1,C39*F22*'数据-取费表'!B21/2,C39*(POWER((1+F22),'数据-取费表'!B21/2)-1)),0)</f>
        <v>#VALUE!</v>
      </c>
      <c r="D43" s="238"/>
      <c r="E43" s="238"/>
      <c r="F43" s="239"/>
      <c r="G43" s="3652"/>
    </row>
    <row r="44" spans="1:7" ht="13.5" customHeight="1">
      <c r="A44" s="780" t="s">
        <v>348</v>
      </c>
      <c r="B44" s="215" t="s">
        <v>1546</v>
      </c>
      <c r="C44" s="238" t="e">
        <f ca="1">ROUND(IF('数据-取费表'!B22&lt;=1,C40*F22*'数据-取费表'!B21/2,C40*(POWER((1+F22),'数据-取费表'!B21/2)-1)),4)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北京市顺义区民泰路13号院12号楼1至4层101工业用房房地产抵押价值预评估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2"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1" t="s">
        <v>1591</v>
      </c>
    </row>
    <row r="43" spans="1:7" ht="13.5" customHeight="1">
      <c r="A43" s="780" t="s">
        <v>347</v>
      </c>
      <c r="B43" s="215" t="s">
        <v>1545</v>
      </c>
      <c r="C43" s="238" t="e">
        <f ca="1">ROUND(IF('数据-取费表'!B22&lt;=1,C39*F22*'数据-取费表'!B20/2,C39*(POWER((1+F22),'数据-取费表'!B20/2)-1)),0)</f>
        <v>#VALUE!</v>
      </c>
      <c r="D43" s="238"/>
      <c r="E43" s="238"/>
      <c r="F43" s="239"/>
      <c r="G43" s="3652"/>
    </row>
    <row r="44" spans="1:7" ht="13.5" customHeight="1">
      <c r="A44" s="780" t="s">
        <v>348</v>
      </c>
      <c r="B44" s="215" t="s">
        <v>1546</v>
      </c>
      <c r="C44" s="238" t="e">
        <f ca="1">ROUND(IF('数据-取费表'!B22&lt;=1,C40*F22*'数据-取费表'!B20/2,C40*(POWER((1+F22),'数据-取费表'!B20/2)-1)),4)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6</v>
      </c>
    </row>
    <row r="2" spans="1:33" ht="18" customHeight="1">
      <c r="A2" s="201" t="s">
        <v>1462</v>
      </c>
      <c r="B2" s="204" t="e">
        <f ca="1">C32</f>
        <v>#VALUE!</v>
      </c>
      <c r="C2" s="276" t="s">
        <v>1595</v>
      </c>
      <c r="D2" s="276"/>
      <c r="E2" s="2804"/>
      <c r="F2" s="2804"/>
      <c r="G2" s="2804"/>
      <c r="H2" s="2804"/>
      <c r="I2" s="2804"/>
      <c r="J2" s="2804"/>
      <c r="K2" s="2804"/>
    </row>
    <row r="3" spans="1:33" ht="18" customHeight="1" thickBot="1">
      <c r="A3" s="203" t="s">
        <v>1464</v>
      </c>
      <c r="B3" s="204" t="e">
        <f ca="1">ROUND(B2*10000/IF(C1="",'数据-汇总表'!E3,INDIRECT("'数据-取费表'!K"&amp;$K$1)),0)</f>
        <v>#VALUE!</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ROUND(C29*F36,2)</f>
        <v>#VALUE!</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t="e">
        <f ca="1">ROUND(C13*F37,2)</f>
        <v>#VALUE!</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#VALUE!</v>
      </c>
      <c r="C2" s="1387" t="s">
        <v>879</v>
      </c>
      <c r="D2" s="1471" t="e">
        <f ca="1">C40+J29+L46</f>
        <v>#VALUE!</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2306</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ROUND(C29*F36,0)</f>
        <v>#VALUE!</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t="e">
        <f ca="1">ROUND(C13*F37,0)</f>
        <v>#VALUE!</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#VALUE!</v>
      </c>
      <c r="D45" s="3430"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659" t="s">
        <v>2317</v>
      </c>
      <c r="K2" s="3660"/>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1" t="s">
        <v>2327</v>
      </c>
      <c r="K3" s="3662"/>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1" t="s">
        <v>2329</v>
      </c>
      <c r="K4" s="3662"/>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3" t="s">
        <v>2333</v>
      </c>
      <c r="B6" s="3664"/>
      <c r="C6" s="3665"/>
      <c r="D6" s="2868"/>
      <c r="E6" s="2869"/>
      <c r="F6" s="2870"/>
      <c r="G6" s="2871"/>
      <c r="H6" s="2846"/>
      <c r="I6" s="2847"/>
      <c r="J6" s="3666">
        <v>1</v>
      </c>
      <c r="K6" s="3667"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66"/>
      <c r="K7" s="3668"/>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70" t="s">
        <v>2347</v>
      </c>
      <c r="C8" s="3671"/>
      <c r="D8" s="2887" t="s">
        <v>2348</v>
      </c>
      <c r="E8" s="2888" t="s">
        <v>2349</v>
      </c>
      <c r="F8" s="2889" t="s">
        <v>2350</v>
      </c>
      <c r="G8" s="2890"/>
      <c r="H8" s="2846"/>
      <c r="I8" s="2847"/>
      <c r="J8" s="3666"/>
      <c r="K8" s="3668"/>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70" t="s">
        <v>2353</v>
      </c>
      <c r="C9" s="3671"/>
      <c r="D9" s="2887">
        <f>ROUND(D6*E9,0)</f>
        <v>0</v>
      </c>
      <c r="E9" s="2891"/>
      <c r="F9" s="2892" t="s">
        <v>2354</v>
      </c>
      <c r="G9" s="2871"/>
      <c r="H9" s="2846"/>
      <c r="I9" s="2847"/>
      <c r="J9" s="3666"/>
      <c r="K9" s="3668"/>
      <c r="L9" s="2881" t="s">
        <v>2355</v>
      </c>
      <c r="M9" s="2882"/>
      <c r="N9" s="2858"/>
      <c r="O9" s="2883"/>
      <c r="P9" s="2883"/>
      <c r="Q9" s="2884">
        <v>365</v>
      </c>
      <c r="R9" s="2885">
        <f t="shared" si="0"/>
        <v>0</v>
      </c>
      <c r="S9" s="2839"/>
      <c r="T9" s="2839"/>
      <c r="U9" s="2839"/>
      <c r="V9" s="2847"/>
    </row>
    <row r="10" spans="1:22" s="2851" customFormat="1" ht="13.15" customHeight="1">
      <c r="A10" s="2886">
        <v>2</v>
      </c>
      <c r="B10" s="3670" t="s">
        <v>2356</v>
      </c>
      <c r="C10" s="3671"/>
      <c r="D10" s="2887">
        <f>ROUND(D6*E10,0)</f>
        <v>0</v>
      </c>
      <c r="E10" s="2891"/>
      <c r="F10" s="2892" t="s">
        <v>2357</v>
      </c>
      <c r="G10" s="2871"/>
      <c r="H10" s="2846"/>
      <c r="I10" s="2847"/>
      <c r="J10" s="3666"/>
      <c r="K10" s="3668"/>
      <c r="L10" s="2881" t="s">
        <v>2358</v>
      </c>
      <c r="M10" s="2882"/>
      <c r="N10" s="2858"/>
      <c r="O10" s="2883"/>
      <c r="P10" s="2883"/>
      <c r="Q10" s="2884">
        <v>365</v>
      </c>
      <c r="R10" s="2885">
        <f t="shared" si="0"/>
        <v>0</v>
      </c>
      <c r="S10" s="2839"/>
      <c r="T10" s="2839"/>
      <c r="U10" s="2839"/>
      <c r="V10" s="2847"/>
    </row>
    <row r="11" spans="1:22" s="2851" customFormat="1" ht="13.15" customHeight="1">
      <c r="A11" s="2886">
        <v>3</v>
      </c>
      <c r="B11" s="3670" t="s">
        <v>2359</v>
      </c>
      <c r="C11" s="3671"/>
      <c r="D11" s="2887">
        <f>D12+D14+D15+D16</f>
        <v>0</v>
      </c>
      <c r="E11" s="2893" t="e">
        <f>D11/D6</f>
        <v>#DIV/0!</v>
      </c>
      <c r="F11" s="2889"/>
      <c r="G11" s="2890"/>
      <c r="H11" s="2846"/>
      <c r="I11" s="2847"/>
      <c r="J11" s="3666"/>
      <c r="K11" s="3668"/>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2" t="s">
        <v>2362</v>
      </c>
      <c r="C12" s="3673"/>
      <c r="D12" s="2895">
        <f>ROUND(D13*1.2%*(1-30%),0)</f>
        <v>0</v>
      </c>
      <c r="E12" s="2896">
        <v>1.2E-2</v>
      </c>
      <c r="F12" s="2889" t="s">
        <v>2363</v>
      </c>
      <c r="G12" s="2890"/>
      <c r="H12" s="2846"/>
      <c r="I12" s="2847"/>
      <c r="J12" s="3666"/>
      <c r="K12" s="3668"/>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66"/>
      <c r="K13" s="3668"/>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2" t="s">
        <v>2368</v>
      </c>
      <c r="C14" s="3673"/>
      <c r="D14" s="2895">
        <f>ROUND(E14*B5/10000,0)</f>
        <v>0</v>
      </c>
      <c r="E14" s="2884"/>
      <c r="F14" s="2889" t="s">
        <v>2369</v>
      </c>
      <c r="G14" s="2890"/>
      <c r="H14" s="2846"/>
      <c r="I14" s="2847"/>
      <c r="J14" s="3666"/>
      <c r="K14" s="3669"/>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2" t="s">
        <v>2372</v>
      </c>
      <c r="C15" s="3673"/>
      <c r="D15" s="2895">
        <f>ROUND(D6*E15,0)</f>
        <v>0</v>
      </c>
      <c r="E15" s="2896">
        <v>5.5E-2</v>
      </c>
      <c r="F15" s="2889" t="s">
        <v>2373</v>
      </c>
      <c r="G15" s="2871"/>
      <c r="H15" s="2846"/>
      <c r="I15" s="2847"/>
      <c r="J15" s="3666">
        <v>2</v>
      </c>
      <c r="K15" s="3667"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2" t="s">
        <v>2381</v>
      </c>
      <c r="C16" s="3673"/>
      <c r="D16" s="2906">
        <f>D6*E16</f>
        <v>0</v>
      </c>
      <c r="E16" s="2907"/>
      <c r="F16" s="2892" t="s">
        <v>2382</v>
      </c>
      <c r="G16" s="2871"/>
      <c r="H16" s="2846"/>
      <c r="I16" s="2847"/>
      <c r="J16" s="3666"/>
      <c r="K16" s="3668"/>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4" t="s">
        <v>2384</v>
      </c>
      <c r="C17" s="3675"/>
      <c r="D17" s="2909">
        <f>ROUND(D6*E17,0)</f>
        <v>0</v>
      </c>
      <c r="E17" s="2910"/>
      <c r="F17" s="2911" t="s">
        <v>2385</v>
      </c>
      <c r="G17" s="2871"/>
      <c r="H17" s="2846"/>
      <c r="I17" s="2847"/>
      <c r="J17" s="3666"/>
      <c r="K17" s="3668"/>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66"/>
      <c r="K18" s="3668"/>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66"/>
      <c r="K19" s="3669"/>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6">
        <v>3</v>
      </c>
      <c r="K20" s="3667"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66"/>
      <c r="K21" s="3668"/>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66"/>
      <c r="K22" s="3668"/>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66"/>
      <c r="K23" s="3668"/>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66"/>
      <c r="K24" s="3669"/>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76">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7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9" t="s">
        <v>2317</v>
      </c>
      <c r="K32" s="3660"/>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1" t="s">
        <v>2327</v>
      </c>
      <c r="K33" s="3662"/>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1" t="s">
        <v>2329</v>
      </c>
      <c r="K34" s="366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66">
        <v>1</v>
      </c>
      <c r="K36" s="3667"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66"/>
      <c r="K37" s="3668"/>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6"/>
      <c r="K38" s="3668"/>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66"/>
      <c r="K39" s="3668"/>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66"/>
      <c r="K40" s="3669"/>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6">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7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5"/>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1653</v>
      </c>
      <c r="B5" s="3678" t="s">
        <v>1654</v>
      </c>
      <c r="C5" s="3679"/>
      <c r="D5" s="2706"/>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7"/>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7"/>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7"/>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7"/>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7"/>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7"/>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7"/>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8"/>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3"/>
      <c r="M4" s="2714"/>
      <c r="N4" s="2714"/>
      <c r="O4" s="2714"/>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45783</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3"/>
      <c r="M4" s="2714"/>
      <c r="N4" s="2714"/>
      <c r="O4" s="2714"/>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691" t="s">
        <v>1673</v>
      </c>
      <c r="D5" s="3692"/>
      <c r="E5" s="3689" t="s">
        <v>1674</v>
      </c>
      <c r="F5" s="3690"/>
      <c r="G5" s="3691" t="s">
        <v>1675</v>
      </c>
      <c r="H5" s="3692"/>
      <c r="I5" s="3691" t="s">
        <v>1676</v>
      </c>
      <c r="J5" s="3692"/>
      <c r="K5" s="559"/>
      <c r="L5" s="2713"/>
      <c r="M5" s="2714"/>
      <c r="N5" s="2714"/>
      <c r="O5" s="2714"/>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1677</v>
      </c>
      <c r="F6" s="3696"/>
      <c r="G6" s="3693" t="s">
        <v>1677</v>
      </c>
      <c r="H6" s="3694"/>
      <c r="I6" s="3693" t="s">
        <v>1677</v>
      </c>
      <c r="J6" s="3694"/>
      <c r="K6" s="559" t="s">
        <v>1678</v>
      </c>
      <c r="L6" s="2713"/>
      <c r="M6" s="2714"/>
      <c r="N6" s="2714"/>
      <c r="O6" s="2714"/>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45783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7"/>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5" t="str">
        <f>A47</f>
        <v>成交单价（元/平方米）</v>
      </c>
      <c r="Q47" s="3715"/>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3"/>
      <c r="M4" s="2714"/>
      <c r="N4" s="2714"/>
      <c r="O4" s="2714"/>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ht="15">
      <c r="A5" s="358"/>
      <c r="B5" s="359"/>
      <c r="C5" s="3691" t="s">
        <v>1673</v>
      </c>
      <c r="D5" s="3692"/>
      <c r="E5" s="3689" t="s">
        <v>1674</v>
      </c>
      <c r="F5" s="3690"/>
      <c r="G5" s="3691" t="s">
        <v>1675</v>
      </c>
      <c r="H5" s="3692"/>
      <c r="I5" s="3691" t="s">
        <v>1676</v>
      </c>
      <c r="J5" s="3692"/>
      <c r="K5" s="559"/>
      <c r="L5" s="2713"/>
      <c r="M5" s="2714"/>
      <c r="N5" s="2714"/>
      <c r="O5" s="2714"/>
      <c r="P5" s="3734"/>
      <c r="Q5" s="3705"/>
      <c r="R5" s="3687"/>
      <c r="S5" s="3688"/>
      <c r="T5" s="3687"/>
      <c r="U5" s="3688"/>
      <c r="V5" s="3710"/>
      <c r="W5" s="3710"/>
      <c r="X5" s="1355"/>
      <c r="Y5" s="3687"/>
      <c r="Z5" s="3688"/>
      <c r="AA5" s="3681"/>
      <c r="AB5" s="3681"/>
      <c r="AC5" s="3730"/>
    </row>
    <row r="6" spans="1:29" ht="15.75" thickBot="1">
      <c r="A6" s="360"/>
      <c r="B6" s="361"/>
      <c r="C6" s="3693" t="s">
        <v>1677</v>
      </c>
      <c r="D6" s="3694"/>
      <c r="E6" s="3695" t="s">
        <v>1677</v>
      </c>
      <c r="F6" s="3696"/>
      <c r="G6" s="3693" t="s">
        <v>1677</v>
      </c>
      <c r="H6" s="3694"/>
      <c r="I6" s="3693" t="s">
        <v>1677</v>
      </c>
      <c r="J6" s="3694"/>
      <c r="K6" s="559" t="s">
        <v>1678</v>
      </c>
      <c r="L6" s="2713"/>
      <c r="M6" s="2714"/>
      <c r="N6" s="2714"/>
      <c r="O6" s="2714"/>
      <c r="P6" s="3735"/>
      <c r="Q6" s="3707"/>
      <c r="R6" s="3687"/>
      <c r="S6" s="3688"/>
      <c r="T6" s="3708"/>
      <c r="U6" s="3709"/>
      <c r="V6" s="3710"/>
      <c r="W6" s="3710"/>
      <c r="X6" s="1355"/>
      <c r="Y6" s="3708"/>
      <c r="Z6" s="3709"/>
      <c r="AA6" s="3682"/>
      <c r="AB6" s="3682"/>
      <c r="AC6" s="3731"/>
    </row>
    <row r="7" spans="1:29" s="108" customFormat="1" ht="15.75" thickBot="1">
      <c r="A7" s="362" t="s">
        <v>1679</v>
      </c>
      <c r="B7" s="363"/>
      <c r="C7" s="364">
        <f>'数据-取费表'!B2</f>
        <v>45783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7"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45783</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受贵公司委托，我公司对北京市顺义区民泰路13号院12号楼1至4层101工业用房房地产抵押价值进行了预评估。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民泰路13号院12号楼1至4层101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3"/>
      <c r="M4" s="2714"/>
      <c r="N4" s="2714"/>
      <c r="O4" s="27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45783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3"/>
      <c r="M4" s="2714"/>
      <c r="N4" s="2714"/>
      <c r="O4" s="27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45783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3"/>
      <c r="M4" s="2714"/>
      <c r="N4" s="2714"/>
      <c r="O4" s="27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3"/>
      <c r="M5" s="2714"/>
      <c r="N5" s="2714"/>
      <c r="O5" s="2714"/>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3"/>
      <c r="M6" s="2714"/>
      <c r="N6" s="2714"/>
      <c r="O6" s="2714"/>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45783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15"/>
      <c r="Q10" s="1343" t="str">
        <f t="shared" si="6"/>
        <v>土地使用年限（年）</v>
      </c>
      <c r="R10" s="701" t="s">
        <v>14</v>
      </c>
      <c r="S10" s="702" t="e">
        <f t="shared" si="0"/>
        <v>#DIV/0!</v>
      </c>
      <c r="T10" s="701" t="s">
        <v>14</v>
      </c>
      <c r="U10" s="702" t="e">
        <f t="shared" si="1"/>
        <v>#DIV/0!</v>
      </c>
      <c r="V10" s="701" t="s">
        <v>14</v>
      </c>
      <c r="W10" s="702" t="e">
        <f t="shared" si="2"/>
        <v>#DIV/0!</v>
      </c>
      <c r="X10" s="703"/>
      <c r="Y10" s="362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1"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697"/>
      <c r="H56" s="371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3"/>
      <c r="M4" s="2714"/>
      <c r="N4" s="2714"/>
      <c r="O4" s="27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746" t="s">
        <v>1919</v>
      </c>
      <c r="D6" s="3747"/>
      <c r="E6" s="3748" t="s">
        <v>1919</v>
      </c>
      <c r="F6" s="3749"/>
      <c r="G6" s="3746" t="s">
        <v>1919</v>
      </c>
      <c r="H6" s="3747"/>
      <c r="I6" s="3746" t="s">
        <v>1919</v>
      </c>
      <c r="J6" s="3747"/>
      <c r="K6" s="559" t="s">
        <v>1678</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45783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15"/>
      <c r="Q10" s="1343" t="str">
        <f t="shared" si="6"/>
        <v>土地使用年限（年）</v>
      </c>
      <c r="R10" s="701" t="s">
        <v>14</v>
      </c>
      <c r="S10" s="702" t="e">
        <f t="shared" si="0"/>
        <v>#DIV/0!</v>
      </c>
      <c r="T10" s="701" t="s">
        <v>14</v>
      </c>
      <c r="U10" s="702" t="e">
        <f t="shared" si="1"/>
        <v>#DIV/0!</v>
      </c>
      <c r="V10" s="701" t="s">
        <v>14</v>
      </c>
      <c r="W10" s="702" t="e">
        <f t="shared" si="2"/>
        <v>#DIV/0!</v>
      </c>
      <c r="X10" s="703"/>
      <c r="Y10" s="362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1"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697"/>
      <c r="H51" s="371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1" t="e">
        <f ca="1">SUMIF(B6:B13,"&lt;&gt;#ref!",B6:B13)</f>
        <v>#DIV/0!</v>
      </c>
      <c r="C2" s="2145" t="s">
        <v>2074</v>
      </c>
      <c r="D2" s="2145" t="s">
        <v>2075</v>
      </c>
      <c r="E2" s="2611">
        <f ca="1">SUMIF(E6:E13,"&lt;&gt;#ref!",E6:E13)</f>
        <v>0</v>
      </c>
      <c r="F2" s="2791"/>
      <c r="G2" s="2791"/>
      <c r="H2" s="2791"/>
      <c r="I2" s="2791"/>
      <c r="J2" s="2791"/>
      <c r="K2" s="2791"/>
      <c r="L2" s="2791"/>
      <c r="M2" s="2791"/>
      <c r="N2" s="2791"/>
      <c r="O2" s="2791"/>
      <c r="P2" s="2791"/>
    </row>
    <row r="3" spans="1:16" ht="15.75">
      <c r="A3" s="2145" t="s">
        <v>2076</v>
      </c>
      <c r="B3" s="2601"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6"/>
      <c r="D5" s="2791"/>
      <c r="E5" s="2610" t="s">
        <v>2079</v>
      </c>
      <c r="F5" s="2791"/>
      <c r="G5" s="2791"/>
      <c r="H5" s="2791"/>
      <c r="I5" s="2791"/>
      <c r="J5" s="2791"/>
      <c r="K5" s="2791"/>
      <c r="L5" s="2791"/>
      <c r="M5" s="2791"/>
      <c r="N5" s="2791"/>
      <c r="O5" s="2791"/>
      <c r="P5" s="2791"/>
    </row>
    <row r="6" spans="1:16" ht="15.75">
      <c r="A6" s="2608" t="s">
        <v>2080</v>
      </c>
      <c r="B6" s="2601" t="e">
        <f ca="1">SUMIF(INDIRECT("'"&amp;A6&amp;"'"&amp;"!A:A"),"总价",INDIRECT("'"&amp;A6&amp;"'"&amp;"!B:B"))</f>
        <v>#DIV/0!</v>
      </c>
      <c r="C6" s="2145" t="s">
        <v>2074</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7" t="s">
        <v>3254</v>
      </c>
      <c r="B20" s="167" t="s">
        <v>1994</v>
      </c>
      <c r="C20" s="3323" t="e">
        <f>ROUND(IF(F21="与级别开发程度一致",0,(G21-E21)/C21),0)</f>
        <v>#DIV/0!</v>
      </c>
      <c r="D20" s="3339" t="s">
        <v>1998</v>
      </c>
      <c r="E20" s="3340"/>
      <c r="F20" s="3773" t="s">
        <v>1995</v>
      </c>
      <c r="G20" s="3774"/>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45783</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t="e">
        <f ca="1">'数据-取费表'!B40</f>
        <v>#VALUE!</v>
      </c>
      <c r="M36" s="3356" t="e">
        <f ca="1">ROUND($L$36*(1+M31),3)</f>
        <v>#VALUE!</v>
      </c>
      <c r="N36" s="3356" t="e">
        <f ca="1">ROUND($L$36*(1+N31),3)</f>
        <v>#VALUE!</v>
      </c>
      <c r="O36" s="3356" t="e">
        <f ca="1">ROUND($L$36*(1+O31),3)</f>
        <v>#VALUE!</v>
      </c>
      <c r="P36" s="3356" t="e">
        <f ca="1">ROUND($L$36*(1+P31),3)</f>
        <v>#VALUE!</v>
      </c>
      <c r="Q36" s="3356"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t="e">
        <f ca="1">L36+K38</f>
        <v>#VALUE!</v>
      </c>
      <c r="M37" s="3356" t="e">
        <f ca="1">ROUND($L$37*(1+M31),3)</f>
        <v>#VALUE!</v>
      </c>
      <c r="N37" s="3356" t="e">
        <f t="shared" ref="N37:Q37" ca="1" si="3">ROUND($L$37*(1+N31),3)</f>
        <v>#VALUE!</v>
      </c>
      <c r="O37" s="3356" t="e">
        <f t="shared" ca="1" si="3"/>
        <v>#VALUE!</v>
      </c>
      <c r="P37" s="3356" t="e">
        <f t="shared" ca="1" si="3"/>
        <v>#VALUE!</v>
      </c>
      <c r="Q37" s="3356"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9" t="s">
        <v>3294</v>
      </c>
      <c r="B103" s="3769"/>
      <c r="C103" s="3769"/>
      <c r="D103" s="3769"/>
      <c r="E103" s="3769"/>
      <c r="F103" s="3769"/>
      <c r="G103" s="3769"/>
      <c r="H103" s="3769"/>
      <c r="I103" s="3769"/>
      <c r="J103" s="3769"/>
      <c r="K103" s="3388"/>
      <c r="L103" s="3388"/>
      <c r="M103" s="3388"/>
      <c r="N103" s="3388"/>
    </row>
    <row r="104" spans="1:14">
      <c r="A104" s="3770" t="s">
        <v>3295</v>
      </c>
      <c r="B104" s="3770" t="s">
        <v>3296</v>
      </c>
      <c r="C104" s="3389" t="s">
        <v>3297</v>
      </c>
      <c r="D104" s="3390"/>
      <c r="E104" s="3390"/>
      <c r="F104" s="3390"/>
      <c r="G104" s="3390"/>
      <c r="H104" s="3390"/>
      <c r="I104" s="3390"/>
      <c r="J104" s="3391"/>
      <c r="K104" s="3392"/>
      <c r="L104" s="3392"/>
      <c r="M104" s="3392"/>
      <c r="N104" s="3392"/>
    </row>
    <row r="105" spans="1:14">
      <c r="A105" s="3770"/>
      <c r="B105" s="377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5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9" t="s">
        <v>3311</v>
      </c>
      <c r="B113" s="3759"/>
      <c r="C113" s="3759"/>
      <c r="D113" s="3759"/>
      <c r="E113" s="3759"/>
      <c r="F113" s="3759"/>
      <c r="G113" s="3759"/>
      <c r="H113" s="3759"/>
      <c r="I113" s="3759"/>
      <c r="J113" s="375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2" t="s">
        <v>2607</v>
      </c>
      <c r="B20" s="3775" t="s">
        <v>2628</v>
      </c>
      <c r="C20" s="3101" t="s">
        <v>2439</v>
      </c>
      <c r="D20" s="3102"/>
      <c r="E20" s="3103">
        <v>1</v>
      </c>
      <c r="F20" s="3104" t="s">
        <v>2440</v>
      </c>
      <c r="G20" s="3104"/>
    </row>
    <row r="21" spans="1:13" ht="19.5" customHeight="1">
      <c r="A21" s="3783"/>
      <c r="B21" s="3776"/>
      <c r="C21" s="3105" t="s">
        <v>2441</v>
      </c>
      <c r="D21" s="3106"/>
      <c r="E21" s="3107">
        <v>1</v>
      </c>
      <c r="F21" s="3104" t="s">
        <v>2442</v>
      </c>
      <c r="G21" s="3104"/>
    </row>
    <row r="22" spans="1:13" ht="19.5" customHeight="1">
      <c r="A22" s="3783"/>
      <c r="B22" s="3776"/>
      <c r="C22" s="3105" t="s">
        <v>2443</v>
      </c>
      <c r="D22" s="3106"/>
      <c r="E22" s="3107">
        <v>0.9</v>
      </c>
      <c r="F22" s="3104" t="s">
        <v>2444</v>
      </c>
      <c r="G22" s="3104"/>
    </row>
    <row r="23" spans="1:13" ht="19.5" customHeight="1">
      <c r="A23" s="3783"/>
      <c r="B23" s="3776"/>
      <c r="C23" s="3105" t="s">
        <v>2445</v>
      </c>
      <c r="D23" s="3106"/>
      <c r="E23" s="3107">
        <v>0.9</v>
      </c>
      <c r="F23" s="3104" t="s">
        <v>2446</v>
      </c>
      <c r="G23" s="3104"/>
    </row>
    <row r="24" spans="1:13" ht="19.5" customHeight="1">
      <c r="A24" s="3783"/>
      <c r="B24" s="3776"/>
      <c r="C24" s="3105" t="s">
        <v>2447</v>
      </c>
      <c r="D24" s="3106"/>
      <c r="E24" s="3107">
        <v>0.8</v>
      </c>
      <c r="F24" s="3104" t="s">
        <v>2448</v>
      </c>
      <c r="G24" s="3104"/>
    </row>
    <row r="25" spans="1:13" ht="19.5" customHeight="1" thickBot="1">
      <c r="A25" s="3784"/>
      <c r="B25" s="3777"/>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8" t="s">
        <v>2631</v>
      </c>
      <c r="B27" s="3775" t="s">
        <v>2612</v>
      </c>
      <c r="C27" s="3101" t="s">
        <v>2452</v>
      </c>
      <c r="D27" s="3102"/>
      <c r="E27" s="3103">
        <v>1</v>
      </c>
      <c r="F27" s="3104" t="s">
        <v>2453</v>
      </c>
      <c r="G27" s="3104"/>
    </row>
    <row r="28" spans="1:13" ht="19.5" customHeight="1">
      <c r="A28" s="3779"/>
      <c r="B28" s="3776"/>
      <c r="C28" s="3105" t="s">
        <v>2454</v>
      </c>
      <c r="D28" s="3106"/>
      <c r="E28" s="3107">
        <v>1</v>
      </c>
      <c r="F28" s="3104" t="s">
        <v>2455</v>
      </c>
      <c r="G28" s="3104"/>
    </row>
    <row r="29" spans="1:13" ht="19.5" customHeight="1">
      <c r="A29" s="3779"/>
      <c r="B29" s="3776"/>
      <c r="C29" s="3105" t="s">
        <v>2456</v>
      </c>
      <c r="D29" s="3106"/>
      <c r="E29" s="3107">
        <v>0.8</v>
      </c>
      <c r="F29" s="3104" t="s">
        <v>2457</v>
      </c>
      <c r="G29" s="3104"/>
    </row>
    <row r="30" spans="1:13" ht="19.5" customHeight="1">
      <c r="A30" s="3779"/>
      <c r="B30" s="3776"/>
      <c r="C30" s="3105" t="s">
        <v>2458</v>
      </c>
      <c r="D30" s="3106"/>
      <c r="E30" s="3107">
        <v>0.8</v>
      </c>
      <c r="F30" s="3104" t="s">
        <v>2459</v>
      </c>
      <c r="G30" s="3104"/>
    </row>
    <row r="31" spans="1:13" ht="19.5" customHeight="1">
      <c r="A31" s="3779"/>
      <c r="B31" s="3776"/>
      <c r="C31" s="3105" t="s">
        <v>2460</v>
      </c>
      <c r="D31" s="3106"/>
      <c r="E31" s="3107">
        <v>0.8</v>
      </c>
      <c r="F31" s="3104" t="s">
        <v>2461</v>
      </c>
      <c r="G31" s="3104"/>
    </row>
    <row r="32" spans="1:13" ht="19.5" customHeight="1">
      <c r="A32" s="3779"/>
      <c r="B32" s="3776"/>
      <c r="C32" s="3105" t="s">
        <v>2462</v>
      </c>
      <c r="D32" s="3106"/>
      <c r="E32" s="3107">
        <v>0.7</v>
      </c>
      <c r="F32" s="3104" t="s">
        <v>2463</v>
      </c>
      <c r="G32" s="3104"/>
    </row>
    <row r="33" spans="1:7" ht="19.5" customHeight="1">
      <c r="A33" s="3779"/>
      <c r="B33" s="3776"/>
      <c r="C33" s="3105" t="s">
        <v>2464</v>
      </c>
      <c r="D33" s="3106"/>
      <c r="E33" s="3107">
        <v>0.8</v>
      </c>
      <c r="F33" s="3104" t="s">
        <v>2465</v>
      </c>
      <c r="G33" s="3104"/>
    </row>
    <row r="34" spans="1:7" ht="19.5" customHeight="1">
      <c r="A34" s="3779"/>
      <c r="B34" s="3776"/>
      <c r="C34" s="3105" t="s">
        <v>2466</v>
      </c>
      <c r="D34" s="3106"/>
      <c r="E34" s="3107">
        <v>0.6</v>
      </c>
      <c r="F34" s="3104" t="s">
        <v>2467</v>
      </c>
      <c r="G34" s="3104"/>
    </row>
    <row r="35" spans="1:7" ht="19.5" customHeight="1">
      <c r="A35" s="3779"/>
      <c r="B35" s="3776"/>
      <c r="C35" s="3105" t="s">
        <v>2468</v>
      </c>
      <c r="D35" s="3106"/>
      <c r="E35" s="3107">
        <v>0.2</v>
      </c>
      <c r="F35" s="3104" t="s">
        <v>2469</v>
      </c>
      <c r="G35" s="3104"/>
    </row>
    <row r="36" spans="1:7" ht="19.5" customHeight="1">
      <c r="A36" s="3779"/>
      <c r="B36" s="3776"/>
      <c r="C36" s="3105" t="s">
        <v>2470</v>
      </c>
      <c r="D36" s="3106"/>
      <c r="E36" s="3107">
        <v>0.2</v>
      </c>
      <c r="F36" s="3104" t="s">
        <v>2471</v>
      </c>
      <c r="G36" s="3104"/>
    </row>
    <row r="37" spans="1:7" ht="19.5" customHeight="1">
      <c r="A37" s="3779"/>
      <c r="B37" s="3781" t="s">
        <v>2632</v>
      </c>
      <c r="C37" s="3105" t="s">
        <v>2472</v>
      </c>
      <c r="D37" s="3106"/>
      <c r="E37" s="3107">
        <v>0.6</v>
      </c>
      <c r="F37" s="3104" t="s">
        <v>2473</v>
      </c>
      <c r="G37" s="3104"/>
    </row>
    <row r="38" spans="1:7" ht="19.5" customHeight="1">
      <c r="A38" s="3779"/>
      <c r="B38" s="3776"/>
      <c r="C38" s="3105" t="s">
        <v>2474</v>
      </c>
      <c r="D38" s="3106"/>
      <c r="E38" s="3107">
        <v>0.6</v>
      </c>
      <c r="F38" s="3104" t="s">
        <v>2475</v>
      </c>
      <c r="G38" s="3104"/>
    </row>
    <row r="39" spans="1:7" ht="19.5" customHeight="1" thickBot="1">
      <c r="A39" s="3780"/>
      <c r="B39" s="3777"/>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2" t="s">
        <v>2610</v>
      </c>
      <c r="B41" s="3775" t="s">
        <v>2634</v>
      </c>
      <c r="C41" s="3101" t="s">
        <v>2479</v>
      </c>
      <c r="D41" s="3102"/>
      <c r="E41" s="3103">
        <v>1</v>
      </c>
      <c r="F41" s="3104" t="s">
        <v>2480</v>
      </c>
      <c r="G41" s="3104"/>
    </row>
    <row r="42" spans="1:7" ht="19.5" customHeight="1">
      <c r="A42" s="3783"/>
      <c r="B42" s="3776"/>
      <c r="C42" s="3105" t="s">
        <v>2481</v>
      </c>
      <c r="D42" s="3106"/>
      <c r="E42" s="3107">
        <v>1</v>
      </c>
      <c r="F42" s="3104" t="s">
        <v>2482</v>
      </c>
      <c r="G42" s="3104"/>
    </row>
    <row r="43" spans="1:7" ht="19.5" customHeight="1">
      <c r="A43" s="3783"/>
      <c r="B43" s="3785"/>
      <c r="C43" s="3105" t="s">
        <v>2483</v>
      </c>
      <c r="D43" s="3106"/>
      <c r="E43" s="3107">
        <v>1.5</v>
      </c>
      <c r="F43" s="3104" t="s">
        <v>2484</v>
      </c>
      <c r="G43" s="3104"/>
    </row>
    <row r="44" spans="1:7" ht="19.5" customHeight="1">
      <c r="A44" s="3783"/>
      <c r="B44" s="3116" t="s">
        <v>2635</v>
      </c>
      <c r="C44" s="3105" t="s">
        <v>2636</v>
      </c>
      <c r="D44" s="3106"/>
      <c r="E44" s="3107">
        <v>2</v>
      </c>
      <c r="F44" s="3104" t="s">
        <v>2485</v>
      </c>
      <c r="G44" s="3104"/>
    </row>
    <row r="45" spans="1:7" ht="19.5" customHeight="1">
      <c r="A45" s="3783"/>
      <c r="B45" s="3781" t="s">
        <v>2637</v>
      </c>
      <c r="C45" s="3105" t="s">
        <v>2486</v>
      </c>
      <c r="D45" s="3106"/>
      <c r="E45" s="3107">
        <v>1</v>
      </c>
      <c r="F45" s="3104" t="s">
        <v>2487</v>
      </c>
      <c r="G45" s="3104"/>
    </row>
    <row r="46" spans="1:7" ht="19.5" customHeight="1">
      <c r="A46" s="3783"/>
      <c r="B46" s="3776"/>
      <c r="C46" s="3105" t="s">
        <v>2488</v>
      </c>
      <c r="D46" s="3106"/>
      <c r="E46" s="3107">
        <v>1</v>
      </c>
      <c r="F46" s="3104" t="s">
        <v>2489</v>
      </c>
      <c r="G46" s="3104"/>
    </row>
    <row r="47" spans="1:7" ht="19.5" customHeight="1">
      <c r="A47" s="3783"/>
      <c r="B47" s="3776"/>
      <c r="C47" s="3105" t="s">
        <v>2490</v>
      </c>
      <c r="D47" s="3106"/>
      <c r="E47" s="3107">
        <v>1</v>
      </c>
      <c r="F47" s="3104" t="s">
        <v>2491</v>
      </c>
      <c r="G47" s="3104"/>
    </row>
    <row r="48" spans="1:7" ht="19.5" customHeight="1">
      <c r="A48" s="3783"/>
      <c r="B48" s="3776"/>
      <c r="C48" s="3105" t="s">
        <v>2492</v>
      </c>
      <c r="D48" s="3106"/>
      <c r="E48" s="3107">
        <v>1</v>
      </c>
      <c r="F48" s="3104" t="s">
        <v>2493</v>
      </c>
      <c r="G48" s="3104"/>
    </row>
    <row r="49" spans="1:7" ht="19.5" customHeight="1">
      <c r="A49" s="3783"/>
      <c r="B49" s="3776"/>
      <c r="C49" s="3105" t="s">
        <v>2494</v>
      </c>
      <c r="D49" s="3106"/>
      <c r="E49" s="3107">
        <v>1</v>
      </c>
      <c r="F49" s="3104" t="s">
        <v>2495</v>
      </c>
      <c r="G49" s="3104"/>
    </row>
    <row r="50" spans="1:7" ht="19.5" customHeight="1">
      <c r="A50" s="3783"/>
      <c r="B50" s="3776"/>
      <c r="C50" s="3105" t="s">
        <v>2496</v>
      </c>
      <c r="D50" s="3106"/>
      <c r="E50" s="3107">
        <v>1</v>
      </c>
      <c r="F50" s="3104" t="s">
        <v>2497</v>
      </c>
      <c r="G50" s="3104"/>
    </row>
    <row r="51" spans="1:7" ht="19.5" customHeight="1" thickBot="1">
      <c r="A51" s="3784"/>
      <c r="B51" s="3777"/>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1" t="s">
        <v>2651</v>
      </c>
      <c r="C73" s="3090" t="s">
        <v>2652</v>
      </c>
      <c r="D73" s="3090" t="s">
        <v>2653</v>
      </c>
      <c r="E73" s="3116">
        <v>0.2</v>
      </c>
      <c r="F73" s="3116">
        <v>25</v>
      </c>
    </row>
    <row r="74" spans="1:7" ht="24">
      <c r="A74" s="3116">
        <v>2</v>
      </c>
      <c r="B74" s="3776"/>
      <c r="C74" s="3090" t="s">
        <v>2654</v>
      </c>
      <c r="D74" s="3090" t="s">
        <v>2655</v>
      </c>
      <c r="E74" s="3116">
        <v>0.2</v>
      </c>
      <c r="F74" s="3116">
        <v>25</v>
      </c>
    </row>
    <row r="75" spans="1:7" ht="24">
      <c r="A75" s="3116">
        <v>3</v>
      </c>
      <c r="B75" s="3776"/>
      <c r="C75" s="3090" t="s">
        <v>2656</v>
      </c>
      <c r="D75" s="3090" t="s">
        <v>2657</v>
      </c>
      <c r="E75" s="3116">
        <v>0.2</v>
      </c>
      <c r="F75" s="3116">
        <v>25</v>
      </c>
    </row>
    <row r="76" spans="1:7" ht="13.5">
      <c r="A76" s="3116">
        <v>4</v>
      </c>
      <c r="B76" s="3776"/>
      <c r="C76" s="3090" t="s">
        <v>2658</v>
      </c>
      <c r="D76" s="3090" t="s">
        <v>2659</v>
      </c>
      <c r="E76" s="3116">
        <v>0.15</v>
      </c>
      <c r="F76" s="3116">
        <v>20</v>
      </c>
    </row>
    <row r="77" spans="1:7" ht="24">
      <c r="A77" s="3116">
        <v>5</v>
      </c>
      <c r="B77" s="3776"/>
      <c r="C77" s="3090" t="s">
        <v>2660</v>
      </c>
      <c r="D77" s="3090" t="s">
        <v>2661</v>
      </c>
      <c r="E77" s="3116">
        <v>0.15</v>
      </c>
      <c r="F77" s="3116">
        <v>20</v>
      </c>
    </row>
    <row r="78" spans="1:7" ht="24">
      <c r="A78" s="3116">
        <v>6</v>
      </c>
      <c r="B78" s="3776"/>
      <c r="C78" s="3090" t="s">
        <v>2662</v>
      </c>
      <c r="D78" s="3090" t="s">
        <v>2663</v>
      </c>
      <c r="E78" s="3116">
        <v>0.15</v>
      </c>
      <c r="F78" s="3116">
        <v>20</v>
      </c>
    </row>
    <row r="79" spans="1:7" ht="24">
      <c r="A79" s="3116">
        <v>7</v>
      </c>
      <c r="B79" s="3776"/>
      <c r="C79" s="3090" t="s">
        <v>2664</v>
      </c>
      <c r="D79" s="3090" t="s">
        <v>2665</v>
      </c>
      <c r="E79" s="3116">
        <v>0.15</v>
      </c>
      <c r="F79" s="3116">
        <v>20</v>
      </c>
    </row>
    <row r="80" spans="1:7" ht="24">
      <c r="A80" s="3116">
        <v>8</v>
      </c>
      <c r="B80" s="3776"/>
      <c r="C80" s="3090" t="s">
        <v>2666</v>
      </c>
      <c r="D80" s="3090" t="s">
        <v>2667</v>
      </c>
      <c r="E80" s="3116">
        <v>0.1</v>
      </c>
      <c r="F80" s="3116">
        <v>15</v>
      </c>
    </row>
    <row r="81" spans="1:6" ht="24">
      <c r="A81" s="3116">
        <v>9</v>
      </c>
      <c r="B81" s="3776"/>
      <c r="C81" s="3090" t="s">
        <v>2668</v>
      </c>
      <c r="D81" s="3090" t="s">
        <v>2669</v>
      </c>
      <c r="E81" s="3116">
        <v>0.1</v>
      </c>
      <c r="F81" s="3116">
        <v>15</v>
      </c>
    </row>
    <row r="82" spans="1:6" ht="24">
      <c r="A82" s="3116">
        <v>10</v>
      </c>
      <c r="B82" s="3776"/>
      <c r="C82" s="3090" t="s">
        <v>2670</v>
      </c>
      <c r="D82" s="3090" t="s">
        <v>2671</v>
      </c>
      <c r="E82" s="3116">
        <v>0.1</v>
      </c>
      <c r="F82" s="3116">
        <v>15</v>
      </c>
    </row>
    <row r="83" spans="1:6" ht="24">
      <c r="A83" s="3116">
        <v>11</v>
      </c>
      <c r="B83" s="3776"/>
      <c r="C83" s="3090" t="s">
        <v>2672</v>
      </c>
      <c r="D83" s="3090" t="s">
        <v>2673</v>
      </c>
      <c r="E83" s="3116">
        <v>0.1</v>
      </c>
      <c r="F83" s="3116">
        <v>15</v>
      </c>
    </row>
    <row r="84" spans="1:6" ht="24">
      <c r="A84" s="3116">
        <v>12</v>
      </c>
      <c r="B84" s="3776"/>
      <c r="C84" s="3090" t="s">
        <v>2674</v>
      </c>
      <c r="D84" s="3090" t="s">
        <v>2675</v>
      </c>
      <c r="E84" s="3116">
        <v>0.1</v>
      </c>
      <c r="F84" s="3116">
        <v>15</v>
      </c>
    </row>
    <row r="85" spans="1:6" ht="13.5">
      <c r="A85" s="3116">
        <v>13</v>
      </c>
      <c r="B85" s="3776"/>
      <c r="C85" s="3090" t="s">
        <v>2676</v>
      </c>
      <c r="D85" s="3090" t="s">
        <v>2677</v>
      </c>
      <c r="E85" s="3116">
        <v>0.1</v>
      </c>
      <c r="F85" s="3116">
        <v>15</v>
      </c>
    </row>
    <row r="86" spans="1:6" ht="13.5">
      <c r="A86" s="3116">
        <v>14</v>
      </c>
      <c r="B86" s="3776"/>
      <c r="C86" s="3090" t="s">
        <v>2678</v>
      </c>
      <c r="D86" s="3090" t="s">
        <v>2679</v>
      </c>
      <c r="E86" s="3116">
        <v>0.1</v>
      </c>
      <c r="F86" s="3116">
        <v>15</v>
      </c>
    </row>
    <row r="87" spans="1:6" ht="13.5">
      <c r="A87" s="3116">
        <v>15</v>
      </c>
      <c r="B87" s="3776"/>
      <c r="C87" s="3090" t="s">
        <v>2680</v>
      </c>
      <c r="D87" s="3090" t="s">
        <v>2681</v>
      </c>
      <c r="E87" s="3116">
        <v>0.1</v>
      </c>
      <c r="F87" s="3116">
        <v>15</v>
      </c>
    </row>
    <row r="88" spans="1:6" ht="24">
      <c r="A88" s="3116">
        <v>16</v>
      </c>
      <c r="B88" s="3776"/>
      <c r="C88" s="3090" t="s">
        <v>2682</v>
      </c>
      <c r="D88" s="3090" t="s">
        <v>2683</v>
      </c>
      <c r="E88" s="3116">
        <v>0.1</v>
      </c>
      <c r="F88" s="3116">
        <v>15</v>
      </c>
    </row>
    <row r="89" spans="1:6" ht="24">
      <c r="A89" s="3116">
        <v>17</v>
      </c>
      <c r="B89" s="3785"/>
      <c r="C89" s="3090" t="s">
        <v>2684</v>
      </c>
      <c r="D89" s="3090" t="s">
        <v>2685</v>
      </c>
      <c r="E89" s="3116">
        <v>0.1</v>
      </c>
      <c r="F89" s="3116">
        <v>15</v>
      </c>
    </row>
    <row r="90" spans="1:6" ht="13.5">
      <c r="A90" s="3116">
        <v>18</v>
      </c>
      <c r="B90" s="3781" t="s">
        <v>2686</v>
      </c>
      <c r="C90" s="3090" t="s">
        <v>2687</v>
      </c>
      <c r="D90" s="3090" t="s">
        <v>2688</v>
      </c>
      <c r="E90" s="3116">
        <v>0.2</v>
      </c>
      <c r="F90" s="3116">
        <v>25</v>
      </c>
    </row>
    <row r="91" spans="1:6" ht="24">
      <c r="A91" s="3116">
        <v>19</v>
      </c>
      <c r="B91" s="3776"/>
      <c r="C91" s="3090" t="s">
        <v>2689</v>
      </c>
      <c r="D91" s="3090" t="s">
        <v>2690</v>
      </c>
      <c r="E91" s="3116">
        <v>0.2</v>
      </c>
      <c r="F91" s="3116">
        <v>25</v>
      </c>
    </row>
    <row r="92" spans="1:6" ht="13.5">
      <c r="A92" s="3116">
        <v>20</v>
      </c>
      <c r="B92" s="3776"/>
      <c r="C92" s="3090" t="s">
        <v>2691</v>
      </c>
      <c r="D92" s="3090" t="s">
        <v>2692</v>
      </c>
      <c r="E92" s="3116">
        <v>0.15</v>
      </c>
      <c r="F92" s="3116">
        <v>20</v>
      </c>
    </row>
    <row r="93" spans="1:6" ht="13.5">
      <c r="A93" s="3116">
        <v>21</v>
      </c>
      <c r="B93" s="3776"/>
      <c r="C93" s="3090" t="s">
        <v>2693</v>
      </c>
      <c r="D93" s="3090" t="s">
        <v>2694</v>
      </c>
      <c r="E93" s="3116">
        <v>0.15</v>
      </c>
      <c r="F93" s="3116">
        <v>20</v>
      </c>
    </row>
    <row r="94" spans="1:6" ht="13.5">
      <c r="A94" s="3116">
        <v>22</v>
      </c>
      <c r="B94" s="3776"/>
      <c r="C94" s="3090" t="s">
        <v>2695</v>
      </c>
      <c r="D94" s="3090" t="s">
        <v>2696</v>
      </c>
      <c r="E94" s="3116">
        <v>0.15</v>
      </c>
      <c r="F94" s="3116">
        <v>20</v>
      </c>
    </row>
    <row r="95" spans="1:6" ht="36">
      <c r="A95" s="3116">
        <v>23</v>
      </c>
      <c r="B95" s="3776"/>
      <c r="C95" s="3090" t="s">
        <v>2697</v>
      </c>
      <c r="D95" s="3090" t="s">
        <v>2698</v>
      </c>
      <c r="E95" s="3116">
        <v>0.15</v>
      </c>
      <c r="F95" s="3116">
        <v>20</v>
      </c>
    </row>
    <row r="96" spans="1:6" ht="13.5">
      <c r="A96" s="3116">
        <v>24</v>
      </c>
      <c r="B96" s="3776"/>
      <c r="C96" s="3090" t="s">
        <v>2699</v>
      </c>
      <c r="D96" s="3090" t="s">
        <v>2700</v>
      </c>
      <c r="E96" s="3116">
        <v>0.1</v>
      </c>
      <c r="F96" s="3116">
        <v>15</v>
      </c>
    </row>
    <row r="97" spans="1:6" ht="13.5">
      <c r="A97" s="3116">
        <v>25</v>
      </c>
      <c r="B97" s="3776"/>
      <c r="C97" s="3090" t="s">
        <v>2701</v>
      </c>
      <c r="D97" s="3090" t="s">
        <v>2702</v>
      </c>
      <c r="E97" s="3116">
        <v>0.1</v>
      </c>
      <c r="F97" s="3116">
        <v>15</v>
      </c>
    </row>
    <row r="98" spans="1:6" ht="24">
      <c r="A98" s="3116">
        <v>26</v>
      </c>
      <c r="B98" s="3776"/>
      <c r="C98" s="3090" t="s">
        <v>2703</v>
      </c>
      <c r="D98" s="3090" t="s">
        <v>2704</v>
      </c>
      <c r="E98" s="3116">
        <v>0.1</v>
      </c>
      <c r="F98" s="3116">
        <v>15</v>
      </c>
    </row>
    <row r="99" spans="1:6" ht="24">
      <c r="A99" s="3116">
        <v>27</v>
      </c>
      <c r="B99" s="3776"/>
      <c r="C99" s="3090" t="s">
        <v>2705</v>
      </c>
      <c r="D99" s="3090" t="s">
        <v>2706</v>
      </c>
      <c r="E99" s="3116">
        <v>0.1</v>
      </c>
      <c r="F99" s="3116">
        <v>15</v>
      </c>
    </row>
    <row r="100" spans="1:6" ht="13.5">
      <c r="A100" s="3116">
        <v>28</v>
      </c>
      <c r="B100" s="3776"/>
      <c r="C100" s="3090" t="s">
        <v>2707</v>
      </c>
      <c r="D100" s="3090" t="s">
        <v>2708</v>
      </c>
      <c r="E100" s="3116">
        <v>0.1</v>
      </c>
      <c r="F100" s="3116">
        <v>15</v>
      </c>
    </row>
    <row r="101" spans="1:6" ht="13.5">
      <c r="A101" s="3116">
        <v>29</v>
      </c>
      <c r="B101" s="3776"/>
      <c r="C101" s="3090" t="s">
        <v>2709</v>
      </c>
      <c r="D101" s="3090" t="s">
        <v>2710</v>
      </c>
      <c r="E101" s="3116">
        <v>0.1</v>
      </c>
      <c r="F101" s="3116">
        <v>15</v>
      </c>
    </row>
    <row r="102" spans="1:6" ht="13.5">
      <c r="A102" s="3116">
        <v>30</v>
      </c>
      <c r="B102" s="3776"/>
      <c r="C102" s="3090" t="s">
        <v>2711</v>
      </c>
      <c r="D102" s="3090" t="s">
        <v>2712</v>
      </c>
      <c r="E102" s="3116">
        <v>0.1</v>
      </c>
      <c r="F102" s="3116">
        <v>15</v>
      </c>
    </row>
    <row r="103" spans="1:6" ht="24">
      <c r="A103" s="3116">
        <v>31</v>
      </c>
      <c r="B103" s="3776"/>
      <c r="C103" s="3090" t="s">
        <v>2713</v>
      </c>
      <c r="D103" s="3090" t="s">
        <v>2714</v>
      </c>
      <c r="E103" s="3116">
        <v>0.1</v>
      </c>
      <c r="F103" s="3116">
        <v>15</v>
      </c>
    </row>
    <row r="104" spans="1:6" ht="24">
      <c r="A104" s="3116">
        <v>32</v>
      </c>
      <c r="B104" s="3776"/>
      <c r="C104" s="3090" t="s">
        <v>2715</v>
      </c>
      <c r="D104" s="3090" t="s">
        <v>2716</v>
      </c>
      <c r="E104" s="3116">
        <v>0.1</v>
      </c>
      <c r="F104" s="3116">
        <v>15</v>
      </c>
    </row>
    <row r="105" spans="1:6" ht="24">
      <c r="A105" s="3116">
        <v>33</v>
      </c>
      <c r="B105" s="3776"/>
      <c r="C105" s="3090" t="s">
        <v>2717</v>
      </c>
      <c r="D105" s="3090" t="s">
        <v>2718</v>
      </c>
      <c r="E105" s="3116">
        <v>0.1</v>
      </c>
      <c r="F105" s="3116">
        <v>15</v>
      </c>
    </row>
    <row r="106" spans="1:6" ht="24">
      <c r="A106" s="3116">
        <v>34</v>
      </c>
      <c r="B106" s="3785"/>
      <c r="C106" s="3090" t="s">
        <v>2719</v>
      </c>
      <c r="D106" s="3090" t="s">
        <v>2720</v>
      </c>
      <c r="E106" s="3116">
        <v>0.1</v>
      </c>
      <c r="F106" s="3116">
        <v>15</v>
      </c>
    </row>
    <row r="107" spans="1:6" ht="24">
      <c r="A107" s="3116">
        <v>35</v>
      </c>
      <c r="B107" s="3781" t="s">
        <v>2721</v>
      </c>
      <c r="C107" s="3116" t="s">
        <v>2722</v>
      </c>
      <c r="D107" s="3090" t="s">
        <v>2723</v>
      </c>
      <c r="E107" s="3116">
        <v>0.15</v>
      </c>
      <c r="F107" s="3116">
        <v>20</v>
      </c>
    </row>
    <row r="108" spans="1:6" ht="13.5">
      <c r="A108" s="3116">
        <v>36</v>
      </c>
      <c r="B108" s="3776"/>
      <c r="C108" s="3116" t="s">
        <v>2724</v>
      </c>
      <c r="D108" s="3090" t="s">
        <v>2725</v>
      </c>
      <c r="E108" s="3116">
        <v>0.15</v>
      </c>
      <c r="F108" s="3116">
        <v>20</v>
      </c>
    </row>
    <row r="109" spans="1:6" ht="13.5">
      <c r="A109" s="3116">
        <v>37</v>
      </c>
      <c r="B109" s="3776"/>
      <c r="C109" s="3116" t="s">
        <v>2726</v>
      </c>
      <c r="D109" s="3090" t="s">
        <v>2727</v>
      </c>
      <c r="E109" s="3116">
        <v>0.15</v>
      </c>
      <c r="F109" s="3116">
        <v>20</v>
      </c>
    </row>
    <row r="110" spans="1:6" ht="13.5">
      <c r="A110" s="3116">
        <v>38</v>
      </c>
      <c r="B110" s="3776"/>
      <c r="C110" s="3116" t="s">
        <v>2728</v>
      </c>
      <c r="D110" s="3090" t="s">
        <v>2729</v>
      </c>
      <c r="E110" s="3116">
        <v>0.1</v>
      </c>
      <c r="F110" s="3116">
        <v>15</v>
      </c>
    </row>
    <row r="111" spans="1:6" ht="24">
      <c r="A111" s="3116">
        <v>39</v>
      </c>
      <c r="B111" s="3776"/>
      <c r="C111" s="3116" t="s">
        <v>2730</v>
      </c>
      <c r="D111" s="3090" t="s">
        <v>2731</v>
      </c>
      <c r="E111" s="3116">
        <v>0.1</v>
      </c>
      <c r="F111" s="3116">
        <v>15</v>
      </c>
    </row>
    <row r="112" spans="1:6" ht="24">
      <c r="A112" s="3116">
        <v>40</v>
      </c>
      <c r="B112" s="3785"/>
      <c r="C112" s="3116" t="s">
        <v>2732</v>
      </c>
      <c r="D112" s="3090" t="s">
        <v>2733</v>
      </c>
      <c r="E112" s="3116">
        <v>0.1</v>
      </c>
      <c r="F112" s="3116">
        <v>15</v>
      </c>
    </row>
    <row r="113" spans="1:6" ht="13.5">
      <c r="A113" s="3116">
        <v>41</v>
      </c>
      <c r="B113" s="3786" t="s">
        <v>2734</v>
      </c>
      <c r="C113" s="3116" t="s">
        <v>2735</v>
      </c>
      <c r="D113" s="3090" t="s">
        <v>2736</v>
      </c>
      <c r="E113" s="3116">
        <v>0.1</v>
      </c>
      <c r="F113" s="3116">
        <v>15</v>
      </c>
    </row>
    <row r="114" spans="1:6" ht="13.5">
      <c r="A114" s="3116">
        <v>42</v>
      </c>
      <c r="B114" s="3786"/>
      <c r="C114" s="3116" t="s">
        <v>2737</v>
      </c>
      <c r="D114" s="3090" t="s">
        <v>2738</v>
      </c>
      <c r="E114" s="3116">
        <v>0.1</v>
      </c>
      <c r="F114" s="3116">
        <v>15</v>
      </c>
    </row>
    <row r="115" spans="1:6" ht="24">
      <c r="A115" s="3116">
        <v>43</v>
      </c>
      <c r="B115" s="3786"/>
      <c r="C115" s="3116" t="s">
        <v>2739</v>
      </c>
      <c r="D115" s="3090" t="s">
        <v>2740</v>
      </c>
      <c r="E115" s="3116">
        <v>0.1</v>
      </c>
      <c r="F115" s="3116">
        <v>15</v>
      </c>
    </row>
    <row r="116" spans="1:6" ht="13.5">
      <c r="A116" s="3116">
        <v>44</v>
      </c>
      <c r="B116" s="3781" t="s">
        <v>2741</v>
      </c>
      <c r="C116" s="3116" t="s">
        <v>2742</v>
      </c>
      <c r="D116" s="3090" t="s">
        <v>2743</v>
      </c>
      <c r="E116" s="3116">
        <v>0.1</v>
      </c>
      <c r="F116" s="3116">
        <v>15</v>
      </c>
    </row>
    <row r="117" spans="1:6" ht="24">
      <c r="A117" s="3116">
        <v>45</v>
      </c>
      <c r="B117" s="3785"/>
      <c r="C117" s="3090" t="s">
        <v>2744</v>
      </c>
      <c r="D117" s="3090" t="s">
        <v>2745</v>
      </c>
      <c r="E117" s="3116">
        <v>0.1</v>
      </c>
      <c r="F117" s="3116">
        <v>15</v>
      </c>
    </row>
    <row r="118" spans="1:6" ht="24">
      <c r="A118" s="3116">
        <v>46</v>
      </c>
      <c r="B118" s="3781" t="s">
        <v>2746</v>
      </c>
      <c r="C118" s="3116" t="s">
        <v>2747</v>
      </c>
      <c r="D118" s="3090" t="s">
        <v>2748</v>
      </c>
      <c r="E118" s="3116">
        <v>0.1</v>
      </c>
      <c r="F118" s="3116">
        <v>15</v>
      </c>
    </row>
    <row r="119" spans="1:6" ht="24">
      <c r="A119" s="3116">
        <v>47</v>
      </c>
      <c r="B119" s="3785"/>
      <c r="C119" s="3116" t="s">
        <v>2749</v>
      </c>
      <c r="D119" s="3090" t="s">
        <v>2750</v>
      </c>
      <c r="E119" s="3116">
        <v>0.1</v>
      </c>
      <c r="F119" s="3116">
        <v>15</v>
      </c>
    </row>
    <row r="120" spans="1:6" ht="13.5">
      <c r="A120" s="3116">
        <v>48</v>
      </c>
      <c r="B120" s="3781" t="s">
        <v>2751</v>
      </c>
      <c r="C120" s="3116" t="s">
        <v>2752</v>
      </c>
      <c r="D120" s="3090" t="s">
        <v>2753</v>
      </c>
      <c r="E120" s="3116">
        <v>0.1</v>
      </c>
      <c r="F120" s="3116">
        <v>15</v>
      </c>
    </row>
    <row r="121" spans="1:6" ht="13.5">
      <c r="A121" s="3116">
        <v>49</v>
      </c>
      <c r="B121" s="3785"/>
      <c r="C121" s="3116" t="s">
        <v>2754</v>
      </c>
      <c r="D121" s="3090" t="s">
        <v>2755</v>
      </c>
      <c r="E121" s="3116">
        <v>0.1</v>
      </c>
      <c r="F121" s="3116">
        <v>15</v>
      </c>
    </row>
    <row r="122" spans="1:6" ht="24">
      <c r="A122" s="3116">
        <v>50</v>
      </c>
      <c r="B122" s="3786" t="s">
        <v>2756</v>
      </c>
      <c r="C122" s="3116" t="s">
        <v>2757</v>
      </c>
      <c r="D122" s="3090" t="s">
        <v>2758</v>
      </c>
      <c r="E122" s="3116">
        <v>0.1</v>
      </c>
      <c r="F122" s="3116">
        <v>15</v>
      </c>
    </row>
    <row r="123" spans="1:6" ht="24">
      <c r="A123" s="3116">
        <v>51</v>
      </c>
      <c r="B123" s="3786"/>
      <c r="C123" s="3116" t="s">
        <v>2759</v>
      </c>
      <c r="D123" s="3090" t="s">
        <v>2760</v>
      </c>
      <c r="E123" s="3116">
        <v>0.1</v>
      </c>
      <c r="F123" s="3116">
        <v>15</v>
      </c>
    </row>
    <row r="124" spans="1:6" ht="24">
      <c r="A124" s="3116">
        <v>52</v>
      </c>
      <c r="B124" s="3786" t="s">
        <v>2761</v>
      </c>
      <c r="C124" s="3116" t="s">
        <v>2762</v>
      </c>
      <c r="D124" s="3090" t="s">
        <v>2763</v>
      </c>
      <c r="E124" s="3116">
        <v>0.1</v>
      </c>
      <c r="F124" s="3116">
        <v>15</v>
      </c>
    </row>
    <row r="125" spans="1:6" ht="24">
      <c r="A125" s="3116">
        <v>53</v>
      </c>
      <c r="B125" s="3786"/>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86" t="s">
        <v>2769</v>
      </c>
      <c r="C127" s="3116" t="s">
        <v>2770</v>
      </c>
      <c r="D127" s="3090" t="s">
        <v>2771</v>
      </c>
      <c r="E127" s="3116">
        <v>0.1</v>
      </c>
      <c r="F127" s="3116">
        <v>15</v>
      </c>
    </row>
    <row r="128" spans="1:6" ht="13.5">
      <c r="A128" s="3116">
        <v>56</v>
      </c>
      <c r="B128" s="3786"/>
      <c r="C128" s="3116" t="s">
        <v>2772</v>
      </c>
      <c r="D128" s="3090" t="s">
        <v>2773</v>
      </c>
      <c r="E128" s="3116">
        <v>0.1</v>
      </c>
      <c r="F128" s="3116">
        <v>15</v>
      </c>
    </row>
    <row r="129" spans="1:6" ht="24">
      <c r="A129" s="3116">
        <v>57</v>
      </c>
      <c r="B129" s="3786"/>
      <c r="C129" s="3116" t="s">
        <v>2774</v>
      </c>
      <c r="D129" s="3090" t="s">
        <v>2775</v>
      </c>
      <c r="E129" s="3116">
        <v>0.1</v>
      </c>
      <c r="F129" s="3116">
        <v>15</v>
      </c>
    </row>
    <row r="130" spans="1:6" ht="24">
      <c r="A130" s="3116">
        <v>58</v>
      </c>
      <c r="B130" s="3786" t="s">
        <v>2776</v>
      </c>
      <c r="C130" s="3116" t="s">
        <v>2777</v>
      </c>
      <c r="D130" s="3090" t="s">
        <v>2778</v>
      </c>
      <c r="E130" s="3116">
        <v>0.1</v>
      </c>
      <c r="F130" s="3116">
        <v>15</v>
      </c>
    </row>
    <row r="131" spans="1:6" ht="13.5">
      <c r="A131" s="3116">
        <v>59</v>
      </c>
      <c r="B131" s="3786"/>
      <c r="C131" s="3116" t="s">
        <v>2779</v>
      </c>
      <c r="D131" s="3090" t="s">
        <v>2780</v>
      </c>
      <c r="E131" s="3116">
        <v>0.1</v>
      </c>
      <c r="F131" s="3116">
        <v>15</v>
      </c>
    </row>
    <row r="132" spans="1:6" ht="13.5">
      <c r="A132" s="3116">
        <v>60</v>
      </c>
      <c r="B132" s="3781" t="s">
        <v>2781</v>
      </c>
      <c r="C132" s="3116" t="s">
        <v>2782</v>
      </c>
      <c r="D132" s="3090" t="s">
        <v>2783</v>
      </c>
      <c r="E132" s="3116">
        <v>0.1</v>
      </c>
      <c r="F132" s="3116">
        <v>15</v>
      </c>
    </row>
    <row r="133" spans="1:6" ht="13.5">
      <c r="A133" s="3116">
        <v>61</v>
      </c>
      <c r="B133" s="3785"/>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86" t="s">
        <v>2789</v>
      </c>
      <c r="C135" s="3116" t="s">
        <v>2790</v>
      </c>
      <c r="D135" s="3090" t="s">
        <v>2791</v>
      </c>
      <c r="E135" s="3116">
        <v>0.1</v>
      </c>
      <c r="F135" s="3116">
        <v>15</v>
      </c>
    </row>
    <row r="136" spans="1:6" ht="13.5">
      <c r="A136" s="3116">
        <v>64</v>
      </c>
      <c r="B136" s="3786"/>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1" t="s">
        <v>94</v>
      </c>
    </row>
    <row r="43" spans="1:7" ht="13.5" customHeight="1">
      <c r="A43" s="780" t="s">
        <v>347</v>
      </c>
      <c r="B43" s="215" t="s">
        <v>426</v>
      </c>
      <c r="C43" s="238" t="e">
        <f ca="1">ROUND(IF('数据-取费表'!B22&lt;=1,C39*F22*'数据-取费表'!B21/2,C39*(POWER((1+F22),'数据-取费表'!B21/2)-1)),0)</f>
        <v>#VALUE!</v>
      </c>
      <c r="D43" s="238"/>
      <c r="E43" s="238"/>
      <c r="F43" s="239"/>
      <c r="G43" s="3652"/>
    </row>
    <row r="44" spans="1:7" ht="13.5" customHeight="1">
      <c r="A44" s="780" t="s">
        <v>348</v>
      </c>
      <c r="B44" s="215" t="s">
        <v>428</v>
      </c>
      <c r="C44" s="238" t="e">
        <f ca="1">ROUND(IF('数据-取费表'!B22&lt;=1,C40*F22*'数据-取费表'!B21/2,C40*(POWER((1+F22),'数据-取费表'!B21/2)-1)),4)</f>
        <v>#VALUE!</v>
      </c>
      <c r="D44" s="238"/>
      <c r="E44" s="238"/>
      <c r="F44" s="239"/>
      <c r="G44" s="365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t="e">
        <f ca="1">结果表!H101</f>
        <v>#REF!</v>
      </c>
      <c r="E5" s="1491"/>
    </row>
    <row r="6" spans="1:5" ht="15.75">
      <c r="A6" s="1491"/>
      <c r="B6" s="3470"/>
      <c r="C6" s="1494" t="s">
        <v>911</v>
      </c>
      <c r="D6" s="850" t="e">
        <f ca="1">NUMBERSTRING(INT(D5*10000),2)&amp;"元整"</f>
        <v>#REF!</v>
      </c>
      <c r="E6" s="1491"/>
    </row>
    <row r="7" spans="1:5" ht="15.75">
      <c r="A7" s="1491"/>
      <c r="B7" s="3475"/>
      <c r="C7" s="1495" t="s">
        <v>912</v>
      </c>
      <c r="D7" s="851" t="e">
        <f ca="1">结果表!H102</f>
        <v>#REF!</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t="e">
        <f ca="1">结果表!H107</f>
        <v>#REF!</v>
      </c>
      <c r="E13" s="1491"/>
    </row>
    <row r="14" spans="1:5" ht="15.75">
      <c r="A14" s="1491"/>
      <c r="B14" s="3470"/>
      <c r="C14" s="1494" t="s">
        <v>911</v>
      </c>
      <c r="D14" s="850" t="e">
        <f ca="1">NUMBERSTRING(INT(D13*10000),2)&amp;"元整"</f>
        <v>#REF!</v>
      </c>
      <c r="E14" s="1491"/>
    </row>
    <row r="15" spans="1:5" ht="15">
      <c r="A15" s="1491"/>
      <c r="B15" s="3475"/>
      <c r="C15" s="1495" t="s">
        <v>921</v>
      </c>
      <c r="D15" s="859" t="e">
        <f ca="1">结果表!H108</f>
        <v>#REF!</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7" t="s">
        <v>3181</v>
      </c>
      <c r="B1" s="3787"/>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8" t="s">
        <v>3232</v>
      </c>
      <c r="B1" s="3788"/>
      <c r="C1" s="3788"/>
      <c r="D1" s="3788"/>
      <c r="E1" s="3788"/>
      <c r="F1" s="3789"/>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9">
        <f>基准地价修正!G23</f>
        <v>45783</v>
      </c>
      <c r="B1" s="3208" t="s">
        <v>3378</v>
      </c>
      <c r="C1" s="3209"/>
      <c r="D1" s="3209"/>
      <c r="E1" s="3209"/>
      <c r="F1" s="3209"/>
      <c r="G1" s="3209"/>
      <c r="H1" s="3209"/>
      <c r="I1" s="3209"/>
      <c r="J1" s="3163"/>
      <c r="K1" s="3209" t="s">
        <v>454</v>
      </c>
      <c r="L1" s="3209"/>
      <c r="M1" s="3209"/>
      <c r="N1" s="3209"/>
      <c r="O1" s="3209"/>
      <c r="P1" s="3209"/>
      <c r="Q1" s="3163"/>
      <c r="R1" s="3790" t="s">
        <v>456</v>
      </c>
      <c r="S1" s="3791"/>
      <c r="T1" s="3791"/>
      <c r="U1" s="3791"/>
      <c r="V1" s="3791"/>
      <c r="W1" s="3791"/>
      <c r="X1" s="3163"/>
      <c r="Y1" s="3790" t="s">
        <v>457</v>
      </c>
      <c r="Z1" s="3791"/>
      <c r="AA1" s="3791"/>
      <c r="AB1" s="3791"/>
      <c r="AC1" s="3791"/>
      <c r="AD1" s="3791"/>
    </row>
    <row r="2" spans="1:44"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2.75">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5"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2.75">
      <c r="A6" s="2205"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5"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2.75">
      <c r="A9" s="2205"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2.75">
      <c r="A10" s="2205"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2.75">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2.75">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2.75">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2.75">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2.75">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2.75">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2.75">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2.75">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2.75">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2.75">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2.75">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2.75">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2.75">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4.2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4.25" thickTop="1"/>
    <row r="26" spans="1:44" s="3007" customFormat="1">
      <c r="A26" s="3446" t="s">
        <v>3381</v>
      </c>
    </row>
    <row r="27" spans="1:44" s="3007" customFormat="1">
      <c r="I27" s="3206" t="s">
        <v>2825</v>
      </c>
    </row>
    <row r="28" spans="1:44" s="3007" customFormat="1"/>
    <row r="29" spans="1:44" s="3207" customFormat="1" ht="12.75">
      <c r="B29" s="3208" t="s">
        <v>3379</v>
      </c>
      <c r="C29" s="3209"/>
      <c r="D29" s="3209"/>
      <c r="E29" s="3209"/>
      <c r="F29" s="3209"/>
      <c r="G29" s="3209"/>
      <c r="H29" s="3209"/>
      <c r="I29" s="3209"/>
      <c r="J29" s="3163"/>
      <c r="K29" s="3209" t="s">
        <v>2826</v>
      </c>
      <c r="L29" s="3209"/>
      <c r="M29" s="3209"/>
      <c r="N29" s="3209"/>
      <c r="O29" s="3209"/>
      <c r="P29" s="3209"/>
      <c r="Q29" s="3163"/>
      <c r="R29" s="3790" t="s">
        <v>2827</v>
      </c>
      <c r="S29" s="3791"/>
      <c r="T29" s="3791"/>
      <c r="U29" s="3791"/>
      <c r="V29" s="3791"/>
      <c r="W29" s="3791"/>
      <c r="X29" s="3163"/>
      <c r="Y29" s="3790" t="s">
        <v>2828</v>
      </c>
      <c r="Z29" s="3791"/>
      <c r="AA29" s="3791"/>
      <c r="AB29" s="3791"/>
      <c r="AC29" s="3791"/>
      <c r="AD29" s="3791"/>
    </row>
    <row r="30" spans="1:44" s="3141" customFormat="1" ht="14.2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2.75">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5"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2.75">
      <c r="A34" s="2205"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2.75">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5"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2.75">
      <c r="A37" s="2205"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2.75">
      <c r="A38" s="2205"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2.75">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2.75">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2.75">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2.75">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2.75">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2.75">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2.75">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2.75">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2.75">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2.75">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2.75">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2.75">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2.75">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4.2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4.2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5" t="s">
        <v>2839</v>
      </c>
      <c r="B1" s="3805"/>
      <c r="C1" s="3805"/>
      <c r="D1" s="3805"/>
      <c r="E1" s="3805"/>
      <c r="F1" s="3805"/>
      <c r="G1" s="3806"/>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3"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4"/>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45783</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2309</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
  <sheetViews>
    <sheetView workbookViewId="0">
      <selection activeCell="I12" sqref="I12"/>
    </sheetView>
  </sheetViews>
  <sheetFormatPr defaultRowHeight="13.5"/>
  <sheetData>
    <row r="7" spans="6:6">
      <c r="F7" s="3467"/>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45">
      <c r="A4" s="1505" t="str">
        <f>项目基本情况!S2</f>
        <v>北京市顺义区民泰路13号院12号楼1至4层101工业用房房地产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t="e">
        <f ca="1">结果表!D122</f>
        <v>#REF!</v>
      </c>
      <c r="E8" s="3482"/>
      <c r="F8" s="3482"/>
      <c r="G8" s="3482"/>
      <c r="H8" s="3482"/>
      <c r="I8" s="3482"/>
    </row>
    <row r="9" spans="1:9" ht="15">
      <c r="A9" s="3481" t="s">
        <v>927</v>
      </c>
      <c r="B9" s="3481"/>
      <c r="C9" s="3481"/>
      <c r="D9" s="3481" t="e">
        <f ca="1">结果表!D123</f>
        <v>#REF!</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45783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2025-05-06T05:47:42Z</dcterms:modified>
</cp:coreProperties>
</file>