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90" windowWidth="11565" windowHeight="9555" tabRatio="875" firstSheet="15" activeTab="16"/>
  </bookViews>
  <sheets>
    <sheet name="致函链接" sheetId="63" state="hidden"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地图" sheetId="69" r:id="rId42"/>
    <sheet name="土地比较法"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八级">区片价!$P$1:$P$40</definedName>
    <definedName name="办公层高" localSheetId="42">'[2]不动产比较法-办公'!$B$119:$M$119</definedName>
    <definedName name="办公层高">'不动产比较法-办公'!$B$119:$M$119</definedName>
    <definedName name="办公朝向" localSheetId="42">'[2]不动产比较法-办公'!$B$91:$M$91</definedName>
    <definedName name="办公朝向">'不动产比较法-办公'!$B$91:$M$91</definedName>
    <definedName name="办公道路级别" localSheetId="42">'[2]不动产比较法-办公'!$B$87:$M$87</definedName>
    <definedName name="办公道路级别">'不动产比较法-办公'!$B$87:$M$87</definedName>
    <definedName name="办公公共部分装修" localSheetId="42">'[2]不动产比较法-办公'!$B$108:$M$108</definedName>
    <definedName name="办公公共部分装修">'不动产比较法-办公'!$B$108:$M$108</definedName>
    <definedName name="办公基础设施水平" localSheetId="42">'[2]不动产比较法-办公'!$B$117:$M$117</definedName>
    <definedName name="办公基础设施水平">'不动产比较法-办公'!$B$117:$M$117</definedName>
    <definedName name="办公集聚程度" localSheetId="42">[2]定义!$M$1:$M$6</definedName>
    <definedName name="办公集聚程度">定义!$M$1:$M$6</definedName>
    <definedName name="办公建筑结构" localSheetId="42">'[2]不动产比较法-办公'!$B$106:$M$106</definedName>
    <definedName name="办公建筑结构">'不动产比较法-办公'!$B$106:$M$106</definedName>
    <definedName name="办公建筑类型" localSheetId="42">'[2]不动产比较法-办公'!$B$101:$M$101</definedName>
    <definedName name="办公建筑类型">'不动产比较法-办公'!$B$101:$M$101</definedName>
    <definedName name="办公交易情况" localSheetId="42">'[2]不动产比较法-办公'!$A$62:$M$62</definedName>
    <definedName name="办公交易情况">'不动产比较法-办公'!$A$62:$M$62</definedName>
    <definedName name="办公楼层" localSheetId="42">'[2]不动产比较法-办公'!$B$89:$M$89</definedName>
    <definedName name="办公楼层">'不动产比较法-办公'!$B$89:$M$89</definedName>
    <definedName name="办公内部装修" localSheetId="42">'[2]不动产比较法-办公'!$B$123:$M$123</definedName>
    <definedName name="办公内部装修">'不动产比较法-办公'!$B$123:$M$123</definedName>
    <definedName name="办公物业管理" localSheetId="42">'[2]不动产比较法-办公'!$B$115:$M$115</definedName>
    <definedName name="办公物业管理">'不动产比较法-办公'!$B$115:$M$115</definedName>
    <definedName name="办公用途" localSheetId="42">'[2]不动产比较法-办公'!$B$64:$M$64</definedName>
    <definedName name="办公用途">'不动产比较法-办公'!$B$64:$M$64</definedName>
    <definedName name="仓储公共部分装修" localSheetId="42">'[2]不动产比较法-仓储'!$B$77:$M$77</definedName>
    <definedName name="仓储公共部分装修">'不动产比较法-仓储'!$B$77:$M$77</definedName>
    <definedName name="仓储交易情况" localSheetId="42">'[2]不动产比较法-仓储'!$A$49:$M$49</definedName>
    <definedName name="仓储交易情况">'不动产比较法-仓储'!$A$49:$M$49</definedName>
    <definedName name="仓储楼层" localSheetId="42">'[2]不动产比较法-仓储'!$B$69:$M$69</definedName>
    <definedName name="仓储楼层">'不动产比较法-仓储'!$B$69:$M$69</definedName>
    <definedName name="仓储物业等级" localSheetId="42">'[2]不动产比较法-仓储'!$B$82:$M$82</definedName>
    <definedName name="仓储物业等级">'不动产比较法-仓储'!$B$82:$M$82</definedName>
    <definedName name="仓储用途" localSheetId="42">'[2]不动产比较法-仓储'!$B$51:$M$51</definedName>
    <definedName name="仓储用途">'不动产比较法-仓储'!$B$51:$M$51</definedName>
    <definedName name="产业集聚程度" localSheetId="42">[2]定义!$N$1:$N$6</definedName>
    <definedName name="产业集聚程度">定义!$N$1:$N$6</definedName>
    <definedName name="车位公共部分装修" localSheetId="42">'[2]不动产比较法-车位'!$B$83:$M$83</definedName>
    <definedName name="车位公共部分装修">'不动产比较法-车位'!$B$83:$M$83</definedName>
    <definedName name="车位交易情况" localSheetId="42">'[2]不动产比较法-车位'!$A$51:$M$51</definedName>
    <definedName name="车位交易情况">'不动产比较法-车位'!$A$51:$M$51</definedName>
    <definedName name="车位类型" localSheetId="42">'[2]不动产比较法-车位'!$B$93:$M$93</definedName>
    <definedName name="车位类型">'不动产比较法-车位'!$B$93:$M$93</definedName>
    <definedName name="车位楼层" localSheetId="42">'[2]不动产比较法-车位'!$B$71:$M$71</definedName>
    <definedName name="车位楼层">'不动产比较法-车位'!$B$71:$M$71</definedName>
    <definedName name="车位配套类型" localSheetId="42">'[2]不动产比较法-车位'!$B$79:$M$79</definedName>
    <definedName name="车位配套类型">'不动产比较法-车位'!$B$79:$M$79</definedName>
    <definedName name="车位物业等级" localSheetId="42">'[2]不动产比较法-车位'!$B$88:$M$88</definedName>
    <definedName name="车位物业等级">'不动产比较法-车位'!$B$88:$M$88</definedName>
    <definedName name="车位用途" localSheetId="42">'[2]不动产比较法-车位'!$B$53:$M$53</definedName>
    <definedName name="车位用途">'不动产比较法-车位'!$B$53:$M$53</definedName>
    <definedName name="城镇土地纳税等级分级范围" localSheetId="42">'[2]数据-取费表'!$A$53:$A$63</definedName>
    <definedName name="城镇土地纳税等级分级范围">'数据-取费表'!$A$53:$A$63</definedName>
    <definedName name="单价内涵" localSheetId="42">[2]定义!$V$1:$V$3</definedName>
    <definedName name="单价内涵">定义!$V$1:$V$3</definedName>
    <definedName name="地类判定" localSheetId="42">[2]定义!$H$1:$H$9</definedName>
    <definedName name="地类判定">定义!$H$1:$H$9</definedName>
    <definedName name="二级">区片价!$J$1:$J$20</definedName>
    <definedName name="二级分类" localSheetId="42">[2]修正!$C$17:$C$39</definedName>
    <definedName name="二级分类">修正!$C$17:$C$39</definedName>
    <definedName name="法定最高年限" localSheetId="42">[2]定义!$G$2:$G$4</definedName>
    <definedName name="法定最高年限">定义!$G$2:$G$4</definedName>
    <definedName name="工业公共部分装修" localSheetId="42">'[2]不动产比较法-工业'!$B$95:$M$95</definedName>
    <definedName name="工业公共部分装修">'不动产比较法-工业'!$B$95:$M$95</definedName>
    <definedName name="工业基础设施水平" localSheetId="42">'[2]不动产比较法-工业'!$B$102:$M$102</definedName>
    <definedName name="工业基础设施水平">'不动产比较法-工业'!$B$102:$M$102</definedName>
    <definedName name="工业建筑结构" localSheetId="42">'[2]不动产比较法-工业'!$B$93:$M$93</definedName>
    <definedName name="工业建筑结构">'不动产比较法-工业'!$B$93:$M$93</definedName>
    <definedName name="工业建筑类型" localSheetId="42">'[2]不动产比较法-工业'!$B$88:$M$88</definedName>
    <definedName name="工业建筑类型">'不动产比较法-工业'!$B$88:$M$88</definedName>
    <definedName name="工业交易情况" localSheetId="42">'[2]不动产比较法-工业'!$A$55:$M$55</definedName>
    <definedName name="工业交易情况">'不动产比较法-工业'!$A$55:$M$55</definedName>
    <definedName name="工业内部装修" localSheetId="42">'[2]不动产比较法-工业'!$B$104:$M$104</definedName>
    <definedName name="工业内部装修">'不动产比较法-工业'!$B$104:$M$104</definedName>
    <definedName name="工业物业管理" localSheetId="42">'[2]不动产比较法-工业'!$B$100:$M$100</definedName>
    <definedName name="工业物业管理">'不动产比较法-工业'!$B$100:$M$100</definedName>
    <definedName name="工业用途" localSheetId="42">'[2]不动产比较法-工业'!$B$57:$M$57</definedName>
    <definedName name="工业用途">'不动产比较法-工业'!$B$57:$M$57</definedName>
    <definedName name="公共配套设施" localSheetId="42">[2]定义!$Q$1:$Q$6</definedName>
    <definedName name="公共配套设施">定义!$Q$1:$Q$6</definedName>
    <definedName name="公用设施及基础设施水平">[1]定义!$Q$1:$Q$6</definedName>
    <definedName name="估价方法" localSheetId="42">[2]定义!$B$1:$B$50</definedName>
    <definedName name="估价方法">定义!$B$1:$B$50</definedName>
    <definedName name="环境" localSheetId="42">[2]定义!$S$1:$S$6</definedName>
    <definedName name="环境">定义!$S$1:$S$6</definedName>
    <definedName name="基础设施水平" localSheetId="42">[2]定义!$R$1:$R$6</definedName>
    <definedName name="基础设施水平">定义!$R$1:$R$6</definedName>
    <definedName name="季度">基准地价!$N$19:$AB$19</definedName>
    <definedName name="季度2014">地价!$A$2:$A$27</definedName>
    <definedName name="价值类型2" localSheetId="42">[2]定义!$B$54:$B$56</definedName>
    <definedName name="价值类型2">定义!$B$54:$B$56</definedName>
    <definedName name="交通便捷度" localSheetId="42">[2]定义!$O$1:$O$6</definedName>
    <definedName name="交通便捷度">定义!$O$1:$O$6</definedName>
    <definedName name="九级">区片价!$Q$1:$Q$46</definedName>
    <definedName name="居住社区成熟度" localSheetId="42">[2]定义!$K$1:$K$6</definedName>
    <definedName name="居住社区成熟度">定义!$K$1:$K$6</definedName>
    <definedName name="类别" localSheetId="42">[2]定义!$J$1:$J$3</definedName>
    <definedName name="类别">定义!$J$1:$J$3</definedName>
    <definedName name="临街状况" localSheetId="42">[2]定义!$T$1:$T$5</definedName>
    <definedName name="临街状况">定义!$T$1:$T$5</definedName>
    <definedName name="六级">区片价!$N$1:$N$49</definedName>
    <definedName name="内部装修维护情况" localSheetId="42">[2]定义!$U$1:$U$6</definedName>
    <definedName name="内部装修维护情况">定义!$U$1:$U$6</definedName>
    <definedName name="判定" localSheetId="42">[2]定义!$D$1:$D$4</definedName>
    <definedName name="判定">定义!$D$1:$D$4</definedName>
    <definedName name="七级">区片价!$O$1:$O$49</definedName>
    <definedName name="七通一平" localSheetId="42">[2]修正!$A$6:$A$14</definedName>
    <definedName name="七通一平">修正!$A$6:$A$14</definedName>
    <definedName name="区域土地利用方向" localSheetId="42">[2]定义!$P$1:$P$6</definedName>
    <definedName name="区域土地利用方向">定义!$P$1:$P$6</definedName>
    <definedName name="三级">区片价!$K$1:$K$21</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2">[2]定义!$L$1:$L$6</definedName>
    <definedName name="商业繁华度">定义!$L$1:$L$6</definedName>
    <definedName name="商业公共部分装修" localSheetId="42">'[2]不动产比较法-商业'!$B$107:$M$107</definedName>
    <definedName name="商业公共部分装修">'不动产比较法-商业'!$B$107:$M$107</definedName>
    <definedName name="商业基础设施水平" localSheetId="42">'[2]不动产比较法-商业'!$B$112:$M$112</definedName>
    <definedName name="商业基础设施水平">'不动产比较法-商业'!$B$112:$M$112</definedName>
    <definedName name="商业建筑结构" localSheetId="42">'[2]不动产比较法-商业'!$B$105:$M$105</definedName>
    <definedName name="商业建筑结构">'不动产比较法-商业'!$B$105:$M$105</definedName>
    <definedName name="商业交易情况" localSheetId="42">'[2]不动产比较法-商业'!$A$61:$M$61</definedName>
    <definedName name="商业交易情况">'不动产比较法-商业'!$A$61:$M$61</definedName>
    <definedName name="商业街名称" localSheetId="42">[2]修正!$C$59:$C$119</definedName>
    <definedName name="商业街名称">修正!$C$59:$C$119</definedName>
    <definedName name="商业进深比" localSheetId="42">'[2]不动产比较法-商业'!$B$120:$M$120</definedName>
    <definedName name="商业进深比">'不动产比较法-商业'!$B$120:$M$120</definedName>
    <definedName name="商业类型" localSheetId="42">'[2]不动产比较法-商业'!$B$100:$M$100</definedName>
    <definedName name="商业类型">'不动产比较法-商业'!$B$100:$M$100</definedName>
    <definedName name="商业临街状况" localSheetId="42">'[2]不动产比较法-商业'!$B$86:$M$86</definedName>
    <definedName name="商业临街状况">'不动产比较法-商业'!$B$86:$M$86</definedName>
    <definedName name="商业楼层" localSheetId="42">'[2]不动产比较法-商业'!$B$92:$M$92</definedName>
    <definedName name="商业楼层">'不动产比较法-商业'!$B$92:$M$92</definedName>
    <definedName name="商业内部装修" localSheetId="42">'[2]不动产比较法-商业'!$B$122:$M$122</definedName>
    <definedName name="商业内部装修">'不动产比较法-商业'!$B$122:$M$122</definedName>
    <definedName name="商业人流量" localSheetId="42">'[2]不动产比较法-商业'!$B$90:$M$90</definedName>
    <definedName name="商业人流量">'不动产比较法-商业'!$B$90:$M$90</definedName>
    <definedName name="商业业态" localSheetId="42">'[2]不动产比较法-商业'!$B$114:$M$114</definedName>
    <definedName name="商业业态">'不动产比较法-商业'!$B$114:$M$114</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'[2]不动产比较法-仓储'!$B$89:$M$89</definedName>
    <definedName name="是否封闭">'不动产比较法-仓储'!$B$89:$M$89</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2">'[2]比较法-工业'!$B$116:$M$116</definedName>
    <definedName name="套工工程地质条件">'比较法-工业'!$B$116:$M$116</definedName>
    <definedName name="套工交易情况" localSheetId="42">'[2]比较法-住宅、综合'!$A$75:$M$75</definedName>
    <definedName name="套工交易情况">'比较法-住宅、综合'!$A$75:$M$75</definedName>
    <definedName name="套工开发程度" localSheetId="42">'[2]比较法-工业'!$B$114:$M$114</definedName>
    <definedName name="套工开发程度">'比较法-工业'!$B$114:$M$114</definedName>
    <definedName name="套工临街等级" localSheetId="42">'[2]比较法-工业'!$B$99:$M$99</definedName>
    <definedName name="套工临街等级">'比较法-工业'!$B$99:$M$99</definedName>
    <definedName name="套工土地级别" localSheetId="42">'[2]比较法-工业'!$B$101:$M$101</definedName>
    <definedName name="套工土地级别">'比较法-工业'!$B$101:$M$101</definedName>
    <definedName name="套工用途" localSheetId="42">'[2]比较法-工业'!$B$72:$M$72</definedName>
    <definedName name="套工用途">'比较法-工业'!$B$72:$M$72</definedName>
    <definedName name="套工宗地形状" localSheetId="42">'[2]比较法-工业'!$B$112:$M$112</definedName>
    <definedName name="套工宗地形状">'比较法-工业'!$B$112:$M$112</definedName>
    <definedName name="套综道路等级" localSheetId="42">'[2]比较法-住宅、综合'!$B$108:$M$108</definedName>
    <definedName name="套综道路等级">'比较法-住宅、综合'!$B$108:$M$108</definedName>
    <definedName name="套综工程地质条件" localSheetId="42">'[2]比较法-住宅、综合'!$B$127:$M$127</definedName>
    <definedName name="套综工程地质条件">'比较法-住宅、综合'!$B$127:$M$127</definedName>
    <definedName name="套综交易情况" localSheetId="42">'[2]比较法-住宅、综合'!$A$75:$M$75</definedName>
    <definedName name="套综交易情况">'比较法-住宅、综合'!$A$75:$M$75</definedName>
    <definedName name="套综临街宽度及深度" localSheetId="42">'[2]比较法-住宅、综合'!$B$123:$M$123</definedName>
    <definedName name="套综临街宽度及深度">'比较法-住宅、综合'!$B$123:$M$123</definedName>
    <definedName name="套综土地级别" localSheetId="42">'[2]比较法-住宅、综合'!$B$110:$M$110</definedName>
    <definedName name="套综土地级别">'比较法-住宅、综合'!$B$110:$M$110</definedName>
    <definedName name="套综用途" localSheetId="42">'[2]比较法-住宅、综合'!$B$77:$M$77</definedName>
    <definedName name="套综用途">'比较法-住宅、综合'!$B$77:$M$77</definedName>
    <definedName name="套综宗地内开发程度" localSheetId="42">'[2]比较法-住宅、综合'!$B$125:$M$125</definedName>
    <definedName name="套综宗地内开发程度">'比较法-住宅、综合'!$B$125:$M$125</definedName>
    <definedName name="套综宗地形状" localSheetId="42">'[2]比较法-住宅、综合'!$B$121:$M$121</definedName>
    <definedName name="套综宗地形状">'比较法-住宅、综合'!$B$121:$M$121</definedName>
    <definedName name="土地估价师" localSheetId="42">[2]估价师及机构信息!$D$3:$D$24</definedName>
    <definedName name="土地估价师">估价师及机构信息!$D$3:$D$24</definedName>
    <definedName name="土地级别" localSheetId="42">[2]定义!$C$1:$C$14</definedName>
    <definedName name="土地级别">定义!$C$1:$C$14</definedName>
    <definedName name="土地利用方向">定义!$P$1:$P$6</definedName>
    <definedName name="土地年限区间" localSheetId="42">[2]定义!$I$1:$I$8</definedName>
    <definedName name="土地年限区间">定义!$I$1:$I$8</definedName>
    <definedName name="位置" localSheetId="42">[2]定义!$E$2:$E$4</definedName>
    <definedName name="位置">定义!$E$2:$E$4</definedName>
    <definedName name="五等判定" localSheetId="42">[2]定义!$W$1:$W$6</definedName>
    <definedName name="五等判定">定义!$W$1:$W$6</definedName>
    <definedName name="五级">区片价!$M$1:$M$35</definedName>
    <definedName name="项目类型" localSheetId="42">'[2]数据-汇总表'!$C$17:$C$26</definedName>
    <definedName name="项目类型">'数据-汇总表'!$C$17:$C$26</definedName>
    <definedName name="写字楼等级" localSheetId="42">'[2]不动产比较法-办公'!$B$113:$M$113</definedName>
    <definedName name="写字楼等级">'不动产比较法-办公'!$B$113:$M$113</definedName>
    <definedName name="一级">区片价!$I$1:$I$6</definedName>
    <definedName name="一修多修正项2" localSheetId="42">[2]典型户型修正!$5:$5</definedName>
    <definedName name="一修多修正项2">典型户型修正!$5:$5</definedName>
    <definedName name="一修多修正项3" localSheetId="42">[2]典型户型修正!$7:$7</definedName>
    <definedName name="一修多修正项3">典型户型修正!$7:$7</definedName>
    <definedName name="一修多修正项4" localSheetId="42">[2]典型户型修正!$9:$9</definedName>
    <definedName name="一修多修正项4">典型户型修正!$9:$9</definedName>
    <definedName name="一修多修正项5" localSheetId="42">[2]典型户型修正!$11:$11</definedName>
    <definedName name="一修多修正项5">典型户型修正!$11:$11</definedName>
    <definedName name="一修多修正项6" localSheetId="42">[2]典型户型修正!$13:$13</definedName>
    <definedName name="一修多修正项6">典型户型修正!$13:$13</definedName>
    <definedName name="一修多修正项7" localSheetId="42">[2]典型户型修正!$15:$15</definedName>
    <definedName name="一修多修正项7">典型户型修正!$15:$15</definedName>
    <definedName name="一修多修正项8" localSheetId="42">[2]典型户型修正!$17:$17</definedName>
    <definedName name="一修多修正项8">典型户型修正!$17:$17</definedName>
    <definedName name="用途类型" localSheetId="42">[2]定义!$A$1:$A$50</definedName>
    <definedName name="用途类型">定义!$A$1:$A$50</definedName>
    <definedName name="有无电梯" localSheetId="42">'[2]不动产比较法-仓储'!$B$84:$M$84</definedName>
    <definedName name="有无电梯">'不动产比较法-仓储'!$B$84:$M$84</definedName>
    <definedName name="主用途" localSheetId="42">[2]定义!$F$1:$F$10</definedName>
    <definedName name="主用途">定义!$F$1:$F$10</definedName>
    <definedName name="住宅朝向" localSheetId="42">'[2]不动产比较法-住宅'!$B$88:$M$88</definedName>
    <definedName name="住宅朝向">'不动产比较法-住宅'!$B$88:$M$88</definedName>
    <definedName name="住宅房型" localSheetId="42">'[2]不动产比较法-住宅'!$B$118:$M$118</definedName>
    <definedName name="住宅房型">'不动产比较法-住宅'!$B$118:$M$118</definedName>
    <definedName name="住宅公共部分装修" localSheetId="42">'[2]不动产比较法-住宅'!$B$109:$M$109</definedName>
    <definedName name="住宅公共部分装修">'不动产比较法-住宅'!$B$109:$M$109</definedName>
    <definedName name="住宅基础设施水平" localSheetId="42">'[2]不动产比较法-住宅'!$B$116:$M$116</definedName>
    <definedName name="住宅基础设施水平">'不动产比较法-住宅'!$B$116:$M$116</definedName>
    <definedName name="住宅建筑结构" localSheetId="42">'[2]不动产比较法-住宅'!$B$105:$M$105</definedName>
    <definedName name="住宅建筑结构">'不动产比较法-住宅'!$B$105:$M$105</definedName>
    <definedName name="住宅建筑类型" localSheetId="42">'[2]不动产比较法-住宅'!$B$100:$M$100</definedName>
    <definedName name="住宅建筑类型">'不动产比较法-住宅'!$B$100:$M$100</definedName>
    <definedName name="住宅建筑品质" localSheetId="42">'[2]不动产比较法-住宅'!$B$107:$M$107</definedName>
    <definedName name="住宅建筑品质">'不动产比较法-住宅'!$B$107:$M$107</definedName>
    <definedName name="住宅交易情况" localSheetId="42">'[2]不动产比较法-住宅'!$A$61:$M$61</definedName>
    <definedName name="住宅交易情况">'不动产比较法-住宅'!$A$61:$M$61</definedName>
    <definedName name="住宅楼层" localSheetId="42">'[2]不动产比较法-住宅'!$B$86:$M$86</definedName>
    <definedName name="住宅楼层">'不动产比较法-住宅'!$B$86:$M$86</definedName>
    <definedName name="住宅内部装修" localSheetId="42">'[2]不动产比较法-住宅'!$B$122:$M$122</definedName>
    <definedName name="住宅内部装修">'不动产比较法-住宅'!$B$122:$M$122</definedName>
    <definedName name="住宅物业管理" localSheetId="42">'[2]不动产比较法-住宅'!$B$114:$M$114</definedName>
    <definedName name="住宅物业管理">'不动产比较法-住宅'!$B$114:$M$114</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9" i="70" l="1"/>
  <c r="I4" i="70"/>
  <c r="G4" i="70"/>
  <c r="K17" i="70" l="1"/>
  <c r="I17" i="70"/>
  <c r="G17" i="70"/>
  <c r="E17" i="70"/>
  <c r="C17" i="70"/>
  <c r="E26" i="70"/>
  <c r="K4" i="70"/>
  <c r="E4" i="70"/>
  <c r="I12" i="11"/>
  <c r="I14" i="11" s="1"/>
  <c r="U9" i="70"/>
  <c r="V9" i="70" s="1"/>
  <c r="R9" i="70" s="1"/>
  <c r="Q9" i="70" s="1"/>
  <c r="V8" i="70"/>
  <c r="U8" i="70"/>
  <c r="R8" i="70"/>
  <c r="Q8" i="70" s="1"/>
  <c r="U7" i="70"/>
  <c r="V7" i="70" s="1"/>
  <c r="R7" i="70" s="1"/>
  <c r="Q7" i="70" s="1"/>
  <c r="S7" i="70" s="1"/>
  <c r="N7" i="70"/>
  <c r="M26" i="70" s="1"/>
  <c r="L7" i="70"/>
  <c r="J7" i="70"/>
  <c r="H7" i="70"/>
  <c r="U6" i="70"/>
  <c r="V6" i="70" s="1"/>
  <c r="U5" i="70"/>
  <c r="V5" i="70" s="1"/>
  <c r="Q5" i="70"/>
  <c r="M5" i="70"/>
  <c r="K5" i="70"/>
  <c r="I5" i="70"/>
  <c r="G5" i="70"/>
  <c r="E5" i="70"/>
  <c r="K26" i="70" l="1"/>
  <c r="I26" i="70"/>
  <c r="C8" i="11" s="1"/>
  <c r="G26" i="70"/>
  <c r="A27" i="70" s="1"/>
  <c r="R6" i="70"/>
  <c r="Q6" i="70" s="1"/>
  <c r="S6" i="70" s="1"/>
  <c r="R5" i="70"/>
  <c r="S5" i="70" s="1"/>
  <c r="I28" i="70" l="1"/>
  <c r="K12" i="11" l="1"/>
  <c r="K14" i="11" s="1"/>
  <c r="J12" i="11"/>
  <c r="I13" i="3"/>
  <c r="F19" i="6" s="1"/>
  <c r="D5" i="9"/>
  <c r="I7" i="11"/>
  <c r="K7" i="11"/>
  <c r="J7" i="11"/>
  <c r="F1" i="46"/>
  <c r="D29" i="46" s="1"/>
  <c r="J8" i="11" l="1"/>
  <c r="J14" i="11"/>
  <c r="J16" i="11" s="1"/>
  <c r="M12" i="11"/>
  <c r="AH5" i="59"/>
  <c r="AG5" i="59"/>
  <c r="AE5" i="59"/>
  <c r="AF5" i="59" s="1"/>
  <c r="AD5" i="59"/>
  <c r="Q5" i="59"/>
  <c r="P5" i="59"/>
  <c r="O5" i="59"/>
  <c r="N5" i="59"/>
  <c r="F25" i="12" l="1"/>
  <c r="AH6" i="59" l="1"/>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J3" i="59"/>
  <c r="AE3" i="59" s="1"/>
  <c r="AF3" i="59" s="1"/>
  <c r="I3" i="59"/>
  <c r="AH8" i="59"/>
  <c r="AG8" i="59"/>
  <c r="AE8" i="59"/>
  <c r="AF8" i="59" s="1"/>
  <c r="AD8" i="59"/>
  <c r="Q8" i="59"/>
  <c r="Q9" i="59"/>
  <c r="P8" i="59"/>
  <c r="P9" i="59"/>
  <c r="O8" i="59"/>
  <c r="O9" i="59"/>
  <c r="N8" i="59"/>
  <c r="N9" i="59"/>
  <c r="AH9" i="59"/>
  <c r="AG9" i="59"/>
  <c r="AE9" i="59"/>
  <c r="AF9" i="59" s="1"/>
  <c r="AD9" i="59"/>
  <c r="Q10" i="59"/>
  <c r="P10" i="59"/>
  <c r="O10" i="59"/>
  <c r="N10" i="59"/>
  <c r="J50" i="15"/>
  <c r="J51" i="15" s="1"/>
  <c r="D12" i="59"/>
  <c r="AH10" i="59"/>
  <c r="AG10" i="59"/>
  <c r="AE10" i="59"/>
  <c r="AF10" i="59" s="1"/>
  <c r="AD10" i="59"/>
  <c r="AE11" i="59"/>
  <c r="AF11" i="59"/>
  <c r="AG11" i="59"/>
  <c r="AH11" i="59"/>
  <c r="AD11" i="59"/>
  <c r="Q11" i="59"/>
  <c r="F11" i="59" s="1"/>
  <c r="V11" i="59" s="1"/>
  <c r="P11" i="59"/>
  <c r="O11" i="59"/>
  <c r="C11" i="59" s="1"/>
  <c r="N11" i="59"/>
  <c r="N12" i="59"/>
  <c r="Q12" i="59"/>
  <c r="P12" i="59"/>
  <c r="O1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13" i="59"/>
  <c r="O13" i="59"/>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B11" i="59"/>
  <c r="B10" i="59" s="1"/>
  <c r="B9" i="59" s="1"/>
  <c r="E11" i="59"/>
  <c r="E10" i="59" s="1"/>
  <c r="E9" i="59" s="1"/>
  <c r="E8" i="59" s="1"/>
  <c r="E7" i="59" s="1"/>
  <c r="S11" i="59"/>
  <c r="AD3" i="59"/>
  <c r="AG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s="1"/>
  <c r="B40" i="50"/>
  <c r="B3" i="63" s="1"/>
  <c r="B67" i="63"/>
  <c r="I19" i="46"/>
  <c r="Q15" i="59"/>
  <c r="F15" i="59" s="1"/>
  <c r="P15" i="59"/>
  <c r="E15" i="59" s="1"/>
  <c r="O15" i="59"/>
  <c r="C15" i="59" s="1"/>
  <c r="N15" i="59"/>
  <c r="D76" i="59"/>
  <c r="F75" i="59"/>
  <c r="F74" i="59" s="1"/>
  <c r="F73" i="59" s="1"/>
  <c r="E75" i="59"/>
  <c r="E74" i="59" s="1"/>
  <c r="E73" i="59" s="1"/>
  <c r="C75" i="59"/>
  <c r="D75" i="59" s="1"/>
  <c r="B75" i="59"/>
  <c r="B74" i="59" s="1"/>
  <c r="B73" i="59"/>
  <c r="D72" i="59"/>
  <c r="F71" i="59"/>
  <c r="F70" i="59" s="1"/>
  <c r="F69" i="59" s="1"/>
  <c r="E71" i="59"/>
  <c r="E70" i="59"/>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s="1"/>
  <c r="E55" i="59"/>
  <c r="E54" i="59" s="1"/>
  <c r="C55" i="59"/>
  <c r="O55" i="59" s="1"/>
  <c r="B55" i="59"/>
  <c r="N55" i="59"/>
  <c r="B54" i="59"/>
  <c r="D52" i="59"/>
  <c r="Q51" i="59"/>
  <c r="P51" i="59"/>
  <c r="O51" i="59"/>
  <c r="N51" i="59"/>
  <c r="Q50" i="59"/>
  <c r="P50" i="59"/>
  <c r="O50" i="59"/>
  <c r="N50" i="59"/>
  <c r="Q49" i="59"/>
  <c r="P49" i="59"/>
  <c r="O49" i="59"/>
  <c r="N49" i="59"/>
  <c r="Q48" i="59"/>
  <c r="F49" i="59"/>
  <c r="P48" i="59"/>
  <c r="E49" i="59"/>
  <c r="E50" i="59" s="1"/>
  <c r="E51" i="59" s="1"/>
  <c r="U51" i="59" s="1"/>
  <c r="O48" i="59"/>
  <c r="C49" i="59" s="1"/>
  <c r="D49" i="59" s="1"/>
  <c r="N48" i="59"/>
  <c r="B49"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B38" i="59" s="1"/>
  <c r="B39" i="59" s="1"/>
  <c r="S39" i="59" s="1"/>
  <c r="Q36" i="59"/>
  <c r="F37" i="59"/>
  <c r="F38" i="59" s="1"/>
  <c r="F39" i="59" s="1"/>
  <c r="V39" i="59" s="1"/>
  <c r="P36" i="59"/>
  <c r="E37" i="59" s="1"/>
  <c r="O36" i="59"/>
  <c r="C37" i="59" s="1"/>
  <c r="D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s="1"/>
  <c r="U27" i="59" s="1"/>
  <c r="O24" i="59"/>
  <c r="N24" i="59"/>
  <c r="X24" i="59" s="1"/>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AB20" i="59" s="1"/>
  <c r="P20" i="59"/>
  <c r="O20" i="59"/>
  <c r="C21" i="59" s="1"/>
  <c r="N20" i="59"/>
  <c r="B21" i="59" s="1"/>
  <c r="B22" i="59" s="1"/>
  <c r="B23" i="59" s="1"/>
  <c r="S23" i="59" s="1"/>
  <c r="D20" i="59"/>
  <c r="Q19" i="59"/>
  <c r="P19" i="59"/>
  <c r="AA19" i="59" s="1"/>
  <c r="O19" i="59"/>
  <c r="N19" i="59"/>
  <c r="X19" i="59" s="1"/>
  <c r="Q18" i="59"/>
  <c r="P18" i="59"/>
  <c r="AA18" i="59" s="1"/>
  <c r="O18" i="59"/>
  <c r="N18" i="59"/>
  <c r="X18" i="59" s="1"/>
  <c r="Q17" i="59"/>
  <c r="P17" i="59"/>
  <c r="AA13" i="59" s="1"/>
  <c r="O17" i="59"/>
  <c r="N17" i="59"/>
  <c r="X17" i="59" s="1"/>
  <c r="Q16" i="59"/>
  <c r="F17" i="59"/>
  <c r="F18" i="59" s="1"/>
  <c r="F19" i="59" s="1"/>
  <c r="V19" i="59" s="1"/>
  <c r="P16" i="59"/>
  <c r="O16" i="59"/>
  <c r="N16" i="59"/>
  <c r="D16" i="59"/>
  <c r="AA3" i="59"/>
  <c r="AA15" i="59"/>
  <c r="AB3" i="59"/>
  <c r="AB13" i="59"/>
  <c r="E17" i="59"/>
  <c r="E18" i="59" s="1"/>
  <c r="E19" i="59" s="1"/>
  <c r="U19" i="59" s="1"/>
  <c r="S55" i="59"/>
  <c r="AA26" i="59"/>
  <c r="F26" i="59"/>
  <c r="F27" i="59" s="1"/>
  <c r="F30" i="59"/>
  <c r="F31" i="59" s="1"/>
  <c r="V31" i="59" s="1"/>
  <c r="F46" i="59"/>
  <c r="F47" i="59" s="1"/>
  <c r="V47" i="59" s="1"/>
  <c r="F50" i="59"/>
  <c r="F51" i="59" s="1"/>
  <c r="V51" i="59" s="1"/>
  <c r="C34" i="59"/>
  <c r="D34" i="59"/>
  <c r="D33" i="59"/>
  <c r="C38" i="59"/>
  <c r="C39" i="59" s="1"/>
  <c r="C46" i="59"/>
  <c r="D46" i="59" s="1"/>
  <c r="D45" i="59"/>
  <c r="C50" i="59"/>
  <c r="C51" i="59" s="1"/>
  <c r="N54" i="59"/>
  <c r="B53" i="59"/>
  <c r="N52" i="59" s="1"/>
  <c r="T55" i="59"/>
  <c r="D55" i="59"/>
  <c r="P55" i="59"/>
  <c r="Q55" i="59"/>
  <c r="C58" i="59"/>
  <c r="E58" i="59"/>
  <c r="E57" i="59" s="1"/>
  <c r="D59" i="59"/>
  <c r="C62" i="59"/>
  <c r="C61" i="59" s="1"/>
  <c r="D61" i="59" s="1"/>
  <c r="D63" i="59"/>
  <c r="C66" i="59"/>
  <c r="E66" i="59"/>
  <c r="E65" i="59" s="1"/>
  <c r="D67" i="59"/>
  <c r="C70" i="59"/>
  <c r="C69" i="59" s="1"/>
  <c r="D69" i="59" s="1"/>
  <c r="U16" i="4"/>
  <c r="S16" i="4"/>
  <c r="Q16" i="4"/>
  <c r="O16" i="4"/>
  <c r="M16" i="4"/>
  <c r="L16" i="4" s="1"/>
  <c r="K16" i="4"/>
  <c r="D66" i="59"/>
  <c r="C65" i="59"/>
  <c r="D65" i="59"/>
  <c r="D58" i="59"/>
  <c r="C57" i="59"/>
  <c r="D57" i="59" s="1"/>
  <c r="D70" i="59"/>
  <c r="D62" i="59"/>
  <c r="N53" i="59"/>
  <c r="D50" i="59"/>
  <c r="C47" i="59"/>
  <c r="T47" i="59" s="1"/>
  <c r="D38" i="59"/>
  <c r="D4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D85"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C15"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62" i="3"/>
  <c r="AZ187" i="3"/>
  <c r="AZ195"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205" i="3"/>
  <c r="AZ213" i="3"/>
  <c r="AZ221" i="3"/>
  <c r="AZ225" i="3"/>
  <c r="AZ237" i="3"/>
  <c r="AZ24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82" i="3"/>
  <c r="AZ286" i="3"/>
  <c r="AZ295" i="3"/>
  <c r="AZ313" i="3"/>
  <c r="AZ319" i="3"/>
  <c r="AZ335" i="3"/>
  <c r="AZ351" i="3"/>
  <c r="AZ385" i="3"/>
  <c r="AZ394" i="3"/>
  <c r="AZ410" i="3"/>
  <c r="AZ418" i="3"/>
  <c r="AZ426" i="3"/>
  <c r="AZ430" i="3"/>
  <c r="AZ442" i="3"/>
  <c r="AZ446" i="3"/>
  <c r="AZ455" i="3"/>
  <c r="AZ467" i="3"/>
  <c r="AZ471"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AA36" i="35"/>
  <c r="H11" i="37"/>
  <c r="AB11" i="37" s="1"/>
  <c r="W37" i="37"/>
  <c r="AA30" i="33"/>
  <c r="AA36" i="37"/>
  <c r="U32" i="3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F15" i="40"/>
  <c r="AA15" i="40" s="1"/>
  <c r="J15" i="40"/>
  <c r="AC15" i="40" s="1"/>
  <c r="H15" i="40"/>
  <c r="AB15" i="40" s="1"/>
  <c r="E92" i="40"/>
  <c r="F92" i="40" s="1"/>
  <c r="H23" i="40"/>
  <c r="U23" i="40" s="1"/>
  <c r="H41" i="40"/>
  <c r="AB41" i="40" s="1"/>
  <c r="F41" i="40"/>
  <c r="AA41" i="40" s="1"/>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c r="AZ391" i="3"/>
  <c r="AZ407" i="3"/>
  <c r="AZ423" i="3"/>
  <c r="B41" i="1"/>
  <c r="F34" i="44" s="1"/>
  <c r="J42" i="40"/>
  <c r="AC42" i="40"/>
  <c r="J40" i="40"/>
  <c r="AC40" i="40"/>
  <c r="J34" i="40"/>
  <c r="AC34" i="40"/>
  <c r="H16" i="40"/>
  <c r="AB16" i="40"/>
  <c r="H14" i="40"/>
  <c r="U14" i="40"/>
  <c r="F32" i="40"/>
  <c r="AA32" i="40"/>
  <c r="AZ428" i="3"/>
  <c r="AZ444" i="3"/>
  <c r="AZ449" i="3"/>
  <c r="M1" i="46"/>
  <c r="M6" i="46"/>
  <c r="M10" i="46"/>
  <c r="N2" i="46"/>
  <c r="N5" i="46"/>
  <c r="F58" i="46"/>
  <c r="H61" i="46" s="1"/>
  <c r="N7" i="46"/>
  <c r="AZ466" i="3"/>
  <c r="AZ469" i="3"/>
  <c r="AZ207" i="3"/>
  <c r="AZ215" i="3"/>
  <c r="AZ220" i="3"/>
  <c r="AZ223" i="3"/>
  <c r="AZ236" i="3"/>
  <c r="AZ239" i="3"/>
  <c r="AZ252" i="3"/>
  <c r="AZ255" i="3"/>
  <c r="AZ268" i="3"/>
  <c r="AZ273" i="3"/>
  <c r="AZ284" i="3"/>
  <c r="AZ289" i="3"/>
  <c r="AZ124" i="3"/>
  <c r="AZ140" i="3"/>
  <c r="M7" i="46"/>
  <c r="M11" i="46"/>
  <c r="N3" i="46"/>
  <c r="N6" i="46"/>
  <c r="N10" i="46"/>
  <c r="F69" i="46" s="1"/>
  <c r="H71" i="46" s="1"/>
  <c r="AZ167" i="3"/>
  <c r="AZ180" i="3"/>
  <c r="AZ32" i="3"/>
  <c r="AZ48" i="3"/>
  <c r="AZ63" i="3"/>
  <c r="AZ79" i="3"/>
  <c r="AZ91" i="3"/>
  <c r="AZ107" i="3"/>
  <c r="AZ112" i="3"/>
  <c r="J13" i="40"/>
  <c r="W13" i="40" s="1"/>
  <c r="AB14" i="40"/>
  <c r="W40" i="40"/>
  <c r="S33" i="40"/>
  <c r="AC47" i="39"/>
  <c r="S47" i="39"/>
  <c r="AB25" i="39"/>
  <c r="AB37" i="34"/>
  <c r="AC41" i="40"/>
  <c r="W41" i="40"/>
  <c r="U41" i="40"/>
  <c r="J23" i="40"/>
  <c r="AC23" i="40" s="1"/>
  <c r="G92" i="40"/>
  <c r="F23" i="40"/>
  <c r="S23" i="40" s="1"/>
  <c r="W15" i="40"/>
  <c r="S23" i="39"/>
  <c r="AB16" i="39"/>
  <c r="W14" i="39"/>
  <c r="U23" i="35"/>
  <c r="AB23" i="35"/>
  <c r="H20" i="35"/>
  <c r="F20" i="35"/>
  <c r="S20" i="35" s="1"/>
  <c r="H15" i="34"/>
  <c r="AB15" i="34" s="1"/>
  <c r="F78" i="34"/>
  <c r="G78" i="34" s="1"/>
  <c r="J15" i="34"/>
  <c r="H41" i="33"/>
  <c r="U41" i="33"/>
  <c r="G121" i="33"/>
  <c r="H121" i="33" s="1"/>
  <c r="I121" i="33"/>
  <c r="J121" i="33" s="1"/>
  <c r="K121" i="33" s="1"/>
  <c r="L121" i="33" s="1"/>
  <c r="M121" i="33" s="1"/>
  <c r="F30" i="40"/>
  <c r="AA30" i="40"/>
  <c r="I100" i="40"/>
  <c r="J100" i="40" s="1"/>
  <c r="K100" i="40"/>
  <c r="L100" i="40" s="1"/>
  <c r="M100" i="40" s="1"/>
  <c r="AZ486" i="3"/>
  <c r="AZ504" i="3"/>
  <c r="AZ529" i="3"/>
  <c r="AZ537" i="3"/>
  <c r="AZ548" i="3"/>
  <c r="AB37" i="39"/>
  <c r="AA29" i="35"/>
  <c r="U39" i="39"/>
  <c r="J29" i="39"/>
  <c r="AC29" i="39"/>
  <c r="U21"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M20" i="44"/>
  <c r="AC25" i="36"/>
  <c r="S23" i="36"/>
  <c r="S8" i="36"/>
  <c r="AA26" i="36"/>
  <c r="AA28" i="36"/>
  <c r="U25" i="36"/>
  <c r="H20" i="36"/>
  <c r="U20" i="36" s="1"/>
  <c r="F68" i="36"/>
  <c r="G68" i="36" s="1"/>
  <c r="J20" i="36"/>
  <c r="AC20" i="36" s="1"/>
  <c r="F20" i="36"/>
  <c r="S20" i="36" s="1"/>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M20" i="15"/>
  <c r="D96" i="9"/>
  <c r="F28" i="15"/>
  <c r="A18" i="64"/>
  <c r="B74" i="63" s="1"/>
  <c r="C53" i="10"/>
  <c r="A25" i="64" s="1"/>
  <c r="A18" i="51"/>
  <c r="B14" i="63" s="1"/>
  <c r="BA16" i="3"/>
  <c r="BA17" i="3"/>
  <c r="AZ17" i="3" s="1"/>
  <c r="C24" i="12"/>
  <c r="F3" i="35"/>
  <c r="K1" i="43"/>
  <c r="K1" i="12"/>
  <c r="G1" i="44"/>
  <c r="I4" i="6"/>
  <c r="G3" i="46" s="1"/>
  <c r="AZ15" i="3"/>
  <c r="BK5" i="3"/>
  <c r="BO5" i="3"/>
  <c r="BP5" i="3"/>
  <c r="BN5" i="3"/>
  <c r="BL18" i="3"/>
  <c r="AZ18" i="3" s="1"/>
  <c r="BC5" i="3"/>
  <c r="E8" i="6"/>
  <c r="E53" i="40" s="1"/>
  <c r="BD5" i="3"/>
  <c r="BR5" i="3"/>
  <c r="BS5" i="3"/>
  <c r="BQ5" i="3"/>
  <c r="BL16" i="3"/>
  <c r="BM5" i="3"/>
  <c r="F29" i="6" s="1"/>
  <c r="BA13" i="3"/>
  <c r="AZ13" i="3" s="1"/>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69" i="46"/>
  <c r="E69" i="46" s="1"/>
  <c r="B67" i="46" s="1"/>
  <c r="E47" i="46"/>
  <c r="E58" i="46"/>
  <c r="B56" i="46" s="1"/>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s="1"/>
  <c r="C52" i="37"/>
  <c r="D52" i="37" s="1"/>
  <c r="O19" i="46"/>
  <c r="H10" i="48"/>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AC15" i="21"/>
  <c r="U39" i="40"/>
  <c r="AC39" i="40"/>
  <c r="W39" i="40"/>
  <c r="S39" i="40"/>
  <c r="U37" i="40"/>
  <c r="AB37" i="40"/>
  <c r="AA37" i="40"/>
  <c r="S37" i="40"/>
  <c r="AB29" i="40"/>
  <c r="AC29" i="40"/>
  <c r="W29" i="40"/>
  <c r="AA29" i="40"/>
  <c r="S29" i="40"/>
  <c r="AC19" i="40"/>
  <c r="S19" i="40"/>
  <c r="AB19" i="40"/>
  <c r="U19" i="40"/>
  <c r="R22" i="31"/>
  <c r="B21" i="31" s="1"/>
  <c r="A17" i="51"/>
  <c r="B13" i="63" s="1"/>
  <c r="E5" i="6"/>
  <c r="D21" i="12" s="1"/>
  <c r="C21" i="12" s="1"/>
  <c r="AT6" i="3"/>
  <c r="G29" i="6"/>
  <c r="A9" i="64"/>
  <c r="A9" i="51"/>
  <c r="B9" i="63" s="1"/>
  <c r="A25" i="51"/>
  <c r="B18" i="63" s="1"/>
  <c r="E4" i="4"/>
  <c r="B21" i="55" s="1"/>
  <c r="B72" i="63" s="1"/>
  <c r="C4" i="4"/>
  <c r="G66" i="36"/>
  <c r="J18" i="36"/>
  <c r="AE8" i="1"/>
  <c r="AE7" i="1"/>
  <c r="AE6" i="1"/>
  <c r="W18" i="36"/>
  <c r="AC18" i="36"/>
  <c r="AG6" i="1"/>
  <c r="L20" i="6"/>
  <c r="B20" i="55"/>
  <c r="B70" i="63" s="1"/>
  <c r="S7" i="1"/>
  <c r="S8" i="1"/>
  <c r="S9" i="1"/>
  <c r="R9" i="1"/>
  <c r="R7" i="1"/>
  <c r="R8" i="1"/>
  <c r="C45" i="9"/>
  <c r="H14" i="66" s="1"/>
  <c r="B7" i="66" s="1"/>
  <c r="C44" i="9"/>
  <c r="G14" i="66" s="1"/>
  <c r="B6" i="66" s="1"/>
  <c r="O39" i="9"/>
  <c r="R6" i="54" s="1"/>
  <c r="B50" i="63" s="1"/>
  <c r="K29" i="9"/>
  <c r="K30" i="9"/>
  <c r="N76" i="9"/>
  <c r="C46" i="9"/>
  <c r="K33" i="9"/>
  <c r="K34" i="9" s="1"/>
  <c r="O41" i="9"/>
  <c r="I14" i="66"/>
  <c r="B8" i="66" s="1"/>
  <c r="R8" i="54"/>
  <c r="B54" i="63" s="1"/>
  <c r="B9" i="67"/>
  <c r="F12" i="67"/>
  <c r="N7" i="65"/>
  <c r="E9" i="67"/>
  <c r="F9" i="67"/>
  <c r="E11" i="67"/>
  <c r="F8" i="67"/>
  <c r="F11" i="67"/>
  <c r="B10" i="67"/>
  <c r="E8" i="67"/>
  <c r="B8" i="67"/>
  <c r="E10" i="67"/>
  <c r="M22" i="15"/>
  <c r="B14" i="67"/>
  <c r="E12" i="67"/>
  <c r="M25" i="44"/>
  <c r="E13" i="67"/>
  <c r="B12" i="67"/>
  <c r="F10" i="67"/>
  <c r="F9" i="44"/>
  <c r="F39" i="44"/>
  <c r="M24" i="44"/>
  <c r="F13" i="67"/>
  <c r="N6" i="65"/>
  <c r="N3" i="65"/>
  <c r="F45" i="44"/>
  <c r="B11" i="67"/>
  <c r="M27" i="15"/>
  <c r="L48" i="15"/>
  <c r="F43" i="15"/>
  <c r="M11" i="44"/>
  <c r="F9" i="15"/>
  <c r="M8" i="44"/>
  <c r="F16" i="15"/>
  <c r="F26" i="15"/>
  <c r="F38" i="44"/>
  <c r="M6" i="15"/>
  <c r="F10" i="44"/>
  <c r="F14" i="67"/>
  <c r="F11" i="44"/>
  <c r="M26" i="15"/>
  <c r="F28" i="44"/>
  <c r="M24" i="15"/>
  <c r="F8" i="15"/>
  <c r="F38" i="15"/>
  <c r="M29" i="15"/>
  <c r="B13" i="67"/>
  <c r="N5" i="65"/>
  <c r="M10" i="44"/>
  <c r="E14" i="67"/>
  <c r="M23" i="15"/>
  <c r="F36" i="15"/>
  <c r="F35" i="15"/>
  <c r="N4" i="65"/>
  <c r="M28" i="44"/>
  <c r="F43" i="44"/>
  <c r="L47" i="15"/>
  <c r="E29" i="6" l="1"/>
  <c r="W31" i="39"/>
  <c r="F30" i="6"/>
  <c r="AB9" i="33"/>
  <c r="U9" i="33"/>
  <c r="AA9" i="35"/>
  <c r="S9" i="35"/>
  <c r="O40" i="9"/>
  <c r="K31" i="9" s="1"/>
  <c r="K32" i="9" s="1"/>
  <c r="A3" i="55"/>
  <c r="B56" i="63" s="1"/>
  <c r="AZ16" i="3"/>
  <c r="AC27" i="40"/>
  <c r="U17" i="40"/>
  <c r="W37" i="40"/>
  <c r="W20" i="36"/>
  <c r="AZ562" i="3"/>
  <c r="BA570" i="3"/>
  <c r="AZ570" i="3" s="1"/>
  <c r="J12" i="33"/>
  <c r="F12" i="33"/>
  <c r="G564" i="3"/>
  <c r="G500" i="3"/>
  <c r="G482" i="3"/>
  <c r="AZ490" i="3"/>
  <c r="AZ507" i="3"/>
  <c r="AZ517" i="3"/>
  <c r="AZ539" i="3"/>
  <c r="AZ547" i="3"/>
  <c r="AZ549" i="3"/>
  <c r="AB17" i="37"/>
  <c r="AZ352" i="3"/>
  <c r="AZ344" i="3"/>
  <c r="AZ304" i="3"/>
  <c r="AZ300" i="3"/>
  <c r="AZ339" i="3"/>
  <c r="AZ331" i="3"/>
  <c r="AZ323" i="3"/>
  <c r="AZ343" i="3"/>
  <c r="AZ327" i="3"/>
  <c r="AZ322" i="3"/>
  <c r="U31" i="37"/>
  <c r="AA23" i="37"/>
  <c r="S39" i="33"/>
  <c r="AZ492" i="3"/>
  <c r="AZ520" i="3"/>
  <c r="AZ544" i="3"/>
  <c r="AZ493" i="3"/>
  <c r="AC28" i="33"/>
  <c r="W42" i="21"/>
  <c r="U30" i="33"/>
  <c r="AA38" i="37"/>
  <c r="BF5" i="3"/>
  <c r="J9" i="33"/>
  <c r="F9" i="33"/>
  <c r="H9" i="35"/>
  <c r="J9" i="35"/>
  <c r="G568" i="3"/>
  <c r="G553" i="3"/>
  <c r="G548" i="3"/>
  <c r="G541" i="3"/>
  <c r="G533" i="3"/>
  <c r="G527" i="3"/>
  <c r="G519" i="3"/>
  <c r="G509" i="3"/>
  <c r="G503" i="3"/>
  <c r="G495" i="3"/>
  <c r="G486" i="3"/>
  <c r="G14" i="3"/>
  <c r="C92" i="9"/>
  <c r="C18" i="9"/>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480" i="3"/>
  <c r="AZ480" i="3" s="1"/>
  <c r="G307" i="3"/>
  <c r="BA309" i="3"/>
  <c r="AZ309" i="3" s="1"/>
  <c r="G313" i="3"/>
  <c r="BL314" i="3"/>
  <c r="AZ314" i="3" s="1"/>
  <c r="BA317" i="3"/>
  <c r="AZ317" i="3" s="1"/>
  <c r="BL318" i="3"/>
  <c r="G320" i="3"/>
  <c r="BA321" i="3"/>
  <c r="AZ321" i="3" s="1"/>
  <c r="G329" i="3"/>
  <c r="G333" i="3"/>
  <c r="BA334" i="3"/>
  <c r="AZ334" i="3" s="1"/>
  <c r="BA337" i="3"/>
  <c r="AZ337" i="3" s="1"/>
  <c r="BA341" i="3"/>
  <c r="AZ341" i="3" s="1"/>
  <c r="G345" i="3"/>
  <c r="G349" i="3"/>
  <c r="BA353" i="3"/>
  <c r="AZ353" i="3" s="1"/>
  <c r="G365" i="3"/>
  <c r="BA367" i="3"/>
  <c r="AZ367" i="3" s="1"/>
  <c r="BL369" i="3"/>
  <c r="AZ369" i="3" s="1"/>
  <c r="G375" i="3"/>
  <c r="AZ384" i="3"/>
  <c r="G381" i="3"/>
  <c r="BA383" i="3"/>
  <c r="AZ383" i="3" s="1"/>
  <c r="BL384" i="3"/>
  <c r="G386" i="3"/>
  <c r="G387" i="3"/>
  <c r="G388" i="3"/>
  <c r="BL388" i="3"/>
  <c r="AZ388" i="3" s="1"/>
  <c r="G207" i="3"/>
  <c r="G208" i="3"/>
  <c r="G209" i="3"/>
  <c r="BL209" i="3"/>
  <c r="AZ209" i="3" s="1"/>
  <c r="BA210" i="3"/>
  <c r="AZ210" i="3" s="1"/>
  <c r="BL212" i="3"/>
  <c r="AZ212" i="3" s="1"/>
  <c r="G215" i="3"/>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5" i="3" s="1"/>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BL54" i="3"/>
  <c r="BL56" i="3"/>
  <c r="AZ56" i="3" s="1"/>
  <c r="BA57" i="3"/>
  <c r="AZ57" i="3" s="1"/>
  <c r="BL59" i="3"/>
  <c r="AZ59" i="3" s="1"/>
  <c r="G61" i="3"/>
  <c r="BL61" i="3"/>
  <c r="G63" i="3"/>
  <c r="G64" i="3"/>
  <c r="BL64" i="3"/>
  <c r="AZ64" i="3" s="1"/>
  <c r="BA65" i="3"/>
  <c r="AZ65" i="3" s="1"/>
  <c r="AZ69" i="3"/>
  <c r="S21" i="21"/>
  <c r="D51" i="59"/>
  <c r="T51" i="59"/>
  <c r="V27" i="59"/>
  <c r="M19" i="46"/>
  <c r="C22" i="59"/>
  <c r="D21" i="59"/>
  <c r="D29" i="59"/>
  <c r="C30" i="59"/>
  <c r="C42" i="59"/>
  <c r="D41" i="59"/>
  <c r="P54" i="59"/>
  <c r="E53" i="59"/>
  <c r="C10" i="59"/>
  <c r="D11" i="59"/>
  <c r="BA66" i="3"/>
  <c r="AZ66" i="3" s="1"/>
  <c r="G69" i="3"/>
  <c r="BL69" i="3"/>
  <c r="BL71" i="3"/>
  <c r="AZ71" i="3" s="1"/>
  <c r="BA72" i="3"/>
  <c r="AZ72" i="3" s="1"/>
  <c r="BL74" i="3"/>
  <c r="AZ74" i="3" s="1"/>
  <c r="G76" i="3"/>
  <c r="BL76" i="3"/>
  <c r="G78" i="3"/>
  <c r="G79" i="3"/>
  <c r="G80" i="3"/>
  <c r="BL80" i="3"/>
  <c r="AZ80" i="3" s="1"/>
  <c r="G82" i="3"/>
  <c r="G83" i="3"/>
  <c r="BL83" i="3"/>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I10" i="57"/>
  <c r="D39" i="59"/>
  <c r="T39" i="59"/>
  <c r="P27" i="6"/>
  <c r="N16" i="4"/>
  <c r="K17" i="4" s="1"/>
  <c r="A22" i="51" s="1"/>
  <c r="B16" i="63" s="1"/>
  <c r="C74" i="59"/>
  <c r="E62" i="59"/>
  <c r="E61" i="59" s="1"/>
  <c r="U55" i="59"/>
  <c r="C54" i="59"/>
  <c r="AB14" i="59"/>
  <c r="AB12" i="59"/>
  <c r="AB15" i="59"/>
  <c r="X14" i="59"/>
  <c r="AA20" i="59"/>
  <c r="Y24" i="59"/>
  <c r="Z24" i="59" s="1"/>
  <c r="E38" i="59"/>
  <c r="E39" i="59" s="1"/>
  <c r="U39" i="59" s="1"/>
  <c r="B50" i="59"/>
  <c r="B51" i="59" s="1"/>
  <c r="S51" i="59" s="1"/>
  <c r="F54" i="59"/>
  <c r="H16" i="1"/>
  <c r="E58" i="39"/>
  <c r="F27" i="6"/>
  <c r="M43" i="9"/>
  <c r="D18" i="9"/>
  <c r="M44" i="9" s="1"/>
  <c r="F80" i="46"/>
  <c r="F30" i="44"/>
  <c r="C30" i="44" s="1"/>
  <c r="F70" i="9"/>
  <c r="F66" i="9"/>
  <c r="P72" i="9" s="1"/>
  <c r="M18" i="15"/>
  <c r="F31" i="43"/>
  <c r="C31" i="43" s="1"/>
  <c r="D86" i="9"/>
  <c r="F29" i="12"/>
  <c r="C29" i="12" s="1"/>
  <c r="F71" i="9"/>
  <c r="D12" i="11"/>
  <c r="C12" i="11" s="1"/>
  <c r="AC14" i="40"/>
  <c r="F27" i="43"/>
  <c r="C27" i="43" s="1"/>
  <c r="F72" i="9"/>
  <c r="AC27" i="39"/>
  <c r="W27" i="39"/>
  <c r="AZ508" i="3"/>
  <c r="AZ558" i="3"/>
  <c r="N69" i="9"/>
  <c r="R7" i="54"/>
  <c r="B52" i="63" s="1"/>
  <c r="AC35" i="40"/>
  <c r="W35" i="40"/>
  <c r="U32" i="40"/>
  <c r="AB32" i="40"/>
  <c r="U38" i="34"/>
  <c r="AB38" i="34"/>
  <c r="S9" i="21"/>
  <c r="AA9" i="21"/>
  <c r="U27" i="33"/>
  <c r="AB27" i="33"/>
  <c r="AC27" i="34"/>
  <c r="W27" i="34"/>
  <c r="H5" i="3"/>
  <c r="AB17" i="39"/>
  <c r="S42" i="33"/>
  <c r="S10" i="35"/>
  <c r="S27" i="37"/>
  <c r="AC41" i="34"/>
  <c r="U28" i="21"/>
  <c r="S45" i="21"/>
  <c r="AA27" i="33"/>
  <c r="W31" i="34"/>
  <c r="AB14" i="21"/>
  <c r="U46" i="21"/>
  <c r="AB13" i="21"/>
  <c r="AB40" i="37"/>
  <c r="W46" i="33"/>
  <c r="W35" i="35"/>
  <c r="S22" i="35"/>
  <c r="U9" i="21"/>
  <c r="BT5" i="3"/>
  <c r="G28" i="6" s="1"/>
  <c r="BI5" i="3"/>
  <c r="BG5" i="3"/>
  <c r="J12" i="35"/>
  <c r="J34" i="35"/>
  <c r="H34" i="35"/>
  <c r="F34" i="35"/>
  <c r="H12" i="36"/>
  <c r="AZ393" i="3"/>
  <c r="AZ396" i="3"/>
  <c r="AZ406" i="3"/>
  <c r="AZ409" i="3"/>
  <c r="AZ412" i="3"/>
  <c r="AZ419" i="3"/>
  <c r="AZ425" i="3"/>
  <c r="AZ429" i="3"/>
  <c r="AZ445" i="3"/>
  <c r="AZ448" i="3"/>
  <c r="AZ468" i="3"/>
  <c r="AZ472" i="3"/>
  <c r="AZ318" i="3"/>
  <c r="AZ211" i="3"/>
  <c r="F25" i="37"/>
  <c r="J25" i="37"/>
  <c r="A30" i="64"/>
  <c r="A30" i="51"/>
  <c r="B22" i="63" s="1"/>
  <c r="K145" i="21"/>
  <c r="AZ222" i="3"/>
  <c r="AZ226" i="3"/>
  <c r="AZ238" i="3"/>
  <c r="AZ242" i="3"/>
  <c r="AZ254" i="3"/>
  <c r="AZ258" i="3"/>
  <c r="AZ269" i="3"/>
  <c r="AZ272" i="3"/>
  <c r="AZ285" i="3"/>
  <c r="AZ288" i="3"/>
  <c r="AZ296" i="3"/>
  <c r="AZ125" i="3"/>
  <c r="AZ128" i="3"/>
  <c r="AZ141" i="3"/>
  <c r="AZ144" i="3"/>
  <c r="AZ155" i="3"/>
  <c r="AZ168" i="3"/>
  <c r="AZ186" i="3"/>
  <c r="AZ194" i="3"/>
  <c r="AZ22" i="3"/>
  <c r="AZ38" i="3"/>
  <c r="AZ54" i="3"/>
  <c r="AZ61" i="3"/>
  <c r="AZ76" i="3"/>
  <c r="AZ83" i="3"/>
  <c r="AZ93" i="3"/>
  <c r="AZ103" i="3"/>
  <c r="I21" i="57"/>
  <c r="D1" i="57" s="1"/>
  <c r="E10" i="57" s="1"/>
  <c r="X12" i="59"/>
  <c r="X16" i="59"/>
  <c r="B17" i="59"/>
  <c r="B18" i="59" s="1"/>
  <c r="B19" i="59" s="1"/>
  <c r="S19" i="59" s="1"/>
  <c r="X3" i="59"/>
  <c r="X13" i="59"/>
  <c r="X15" i="59"/>
  <c r="B54" i="46"/>
  <c r="C27" i="40"/>
  <c r="S27" i="40"/>
  <c r="S21" i="34"/>
  <c r="Y16" i="59"/>
  <c r="Z16" i="59" s="1"/>
  <c r="C17" i="59"/>
  <c r="Y12" i="59"/>
  <c r="Z12" i="59" s="1"/>
  <c r="Y13" i="59"/>
  <c r="Z13" i="59" s="1"/>
  <c r="Y14" i="59"/>
  <c r="Z14" i="59" s="1"/>
  <c r="Y15" i="59"/>
  <c r="Z15" i="59" s="1"/>
  <c r="Y3" i="59"/>
  <c r="Z3" i="59" s="1"/>
  <c r="AA17" i="59"/>
  <c r="AA12" i="59"/>
  <c r="AA14"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X22" i="59"/>
  <c r="AA22" i="59"/>
  <c r="X23" i="59"/>
  <c r="AA23" i="59"/>
  <c r="B25" i="59"/>
  <c r="B26" i="59" s="1"/>
  <c r="B27" i="59" s="1"/>
  <c r="S27" i="59" s="1"/>
  <c r="C25" i="59"/>
  <c r="AA24" i="59"/>
  <c r="Y25" i="59"/>
  <c r="Z25" i="59" s="1"/>
  <c r="T15" i="59"/>
  <c r="C14" i="59"/>
  <c r="D15" i="59"/>
  <c r="V15" i="59"/>
  <c r="F14" i="59"/>
  <c r="F13" i="59" s="1"/>
  <c r="AB11" i="59"/>
  <c r="Y11" i="59"/>
  <c r="Z11" i="59" s="1"/>
  <c r="X11" i="59"/>
  <c r="B15" i="59"/>
  <c r="U15" i="59"/>
  <c r="E14" i="59"/>
  <c r="E13" i="59" s="1"/>
  <c r="A28" i="51"/>
  <c r="A28" i="64"/>
  <c r="X10" i="59"/>
  <c r="Y10" i="59"/>
  <c r="Z10" i="59" s="1"/>
  <c r="AB10" i="59"/>
  <c r="X8" i="59"/>
  <c r="AA8" i="59"/>
  <c r="T11" i="59"/>
  <c r="U11" i="59"/>
  <c r="K76" i="9"/>
  <c r="K77" i="9" s="1"/>
  <c r="K79" i="9" s="1"/>
  <c r="K81" i="9" s="1"/>
  <c r="AA10" i="59"/>
  <c r="D58" i="21"/>
  <c r="E58" i="21" s="1"/>
  <c r="F58" i="21" s="1"/>
  <c r="G58" i="21" s="1"/>
  <c r="H58" i="21" s="1"/>
  <c r="I58" i="21" s="1"/>
  <c r="J58" i="21" s="1"/>
  <c r="K58" i="21" s="1"/>
  <c r="L58" i="21" s="1"/>
  <c r="M58" i="21" s="1"/>
  <c r="N58" i="21" s="1"/>
  <c r="O58" i="21" s="1"/>
  <c r="J7" i="21"/>
  <c r="AC7" i="21" s="1"/>
  <c r="V48" i="21" s="1"/>
  <c r="I48" i="21" s="1"/>
  <c r="I52" i="21" s="1"/>
  <c r="J52"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25" i="12"/>
  <c r="C15" i="43"/>
  <c r="C28" i="15"/>
  <c r="C15" i="12"/>
  <c r="H1" i="65"/>
  <c r="Q16" i="1"/>
  <c r="F33" i="12" s="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F7" i="33"/>
  <c r="H70" i="46"/>
  <c r="H73" i="46"/>
  <c r="H50" i="46"/>
  <c r="H48" i="46"/>
  <c r="F35" i="46"/>
  <c r="I17" i="46"/>
  <c r="H63" i="46"/>
  <c r="I101" i="46"/>
  <c r="I102" i="46" s="1"/>
  <c r="M101" i="46"/>
  <c r="M107" i="46" s="1"/>
  <c r="N101" i="46"/>
  <c r="N105" i="46" s="1"/>
  <c r="AC11" i="46"/>
  <c r="AC13" i="46" s="1"/>
  <c r="AD11" i="46"/>
  <c r="AJ11" i="46"/>
  <c r="H64" i="46"/>
  <c r="H66" i="46"/>
  <c r="D100" i="46"/>
  <c r="F109" i="46"/>
  <c r="M103" i="46"/>
  <c r="H62" i="46"/>
  <c r="AF12" i="46"/>
  <c r="K100" i="46"/>
  <c r="M109" i="46"/>
  <c r="AB12" i="46"/>
  <c r="AJ12" i="46"/>
  <c r="F102"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8" i="59"/>
  <c r="C7" i="59" s="1"/>
  <c r="T7" i="59" s="1"/>
  <c r="B6" i="52"/>
  <c r="E7" i="52"/>
  <c r="E6" i="52"/>
  <c r="E4" i="52"/>
  <c r="B7" i="52"/>
  <c r="E5" i="52"/>
  <c r="P21" i="46"/>
  <c r="B8" i="59"/>
  <c r="B7" i="59" s="1"/>
  <c r="S7" i="59" s="1"/>
  <c r="P22" i="46"/>
  <c r="P23" i="46"/>
  <c r="P25" i="46"/>
  <c r="B73" i="39" s="1"/>
  <c r="P24" i="46"/>
  <c r="B68" i="40" s="1"/>
  <c r="E22" i="52"/>
  <c r="B22" i="52"/>
  <c r="B10" i="52"/>
  <c r="B11" i="52"/>
  <c r="B4" i="52"/>
  <c r="E9" i="52"/>
  <c r="F63" i="15"/>
  <c r="C4" i="65"/>
  <c r="B39" i="1" s="1"/>
  <c r="Q73" i="44"/>
  <c r="C27" i="15"/>
  <c r="F62" i="15"/>
  <c r="C61" i="15" s="1"/>
  <c r="C34" i="15"/>
  <c r="F65"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J36" i="15"/>
  <c r="F6" i="15"/>
  <c r="M23" i="44"/>
  <c r="M29" i="44"/>
  <c r="M9" i="15"/>
  <c r="L48" i="44"/>
  <c r="M21" i="15"/>
  <c r="J17" i="44"/>
  <c r="J15" i="15"/>
  <c r="F8" i="44"/>
  <c r="M28" i="15"/>
  <c r="F37" i="44"/>
  <c r="C19" i="44"/>
  <c r="F41" i="15"/>
  <c r="I5" i="65"/>
  <c r="J6" i="65"/>
  <c r="F7" i="15"/>
  <c r="F13" i="15"/>
  <c r="F40" i="44"/>
  <c r="L49" i="44"/>
  <c r="F37" i="15"/>
  <c r="F40" i="15"/>
  <c r="M30" i="44"/>
  <c r="F42" i="15"/>
  <c r="M31" i="44"/>
  <c r="M26" i="44"/>
  <c r="F46" i="44"/>
  <c r="F18" i="44"/>
  <c r="M8" i="15"/>
  <c r="F15" i="44"/>
  <c r="J7" i="65"/>
  <c r="J4" i="65"/>
  <c r="I6" i="65"/>
  <c r="I3" i="65"/>
  <c r="J5" i="65"/>
  <c r="I4" i="65"/>
  <c r="F33" i="44"/>
  <c r="M19" i="44"/>
  <c r="F31" i="15"/>
  <c r="I7" i="65"/>
  <c r="C16" i="15"/>
  <c r="C17" i="15"/>
  <c r="J3" i="65"/>
  <c r="F67" i="15" l="1"/>
  <c r="F64" i="15"/>
  <c r="J60" i="44"/>
  <c r="I55" i="44"/>
  <c r="L57" i="44"/>
  <c r="J54" i="44"/>
  <c r="F1" i="44" s="1"/>
  <c r="J58" i="44"/>
  <c r="J56" i="44" s="1"/>
  <c r="J59" i="44" s="1"/>
  <c r="Q52" i="44" s="1"/>
  <c r="J61" i="44"/>
  <c r="Q50" i="44" s="1"/>
  <c r="M7" i="15"/>
  <c r="F49" i="15"/>
  <c r="F68" i="15"/>
  <c r="C36" i="44"/>
  <c r="C8" i="44"/>
  <c r="J20" i="15"/>
  <c r="L60" i="44"/>
  <c r="Q63" i="44" s="1"/>
  <c r="L59" i="44"/>
  <c r="Q62" i="44" s="1"/>
  <c r="J22" i="44"/>
  <c r="C6" i="15"/>
  <c r="Q72" i="15"/>
  <c r="O54" i="59"/>
  <c r="C53" i="59"/>
  <c r="D54" i="59"/>
  <c r="P52" i="59"/>
  <c r="P53" i="59"/>
  <c r="D30" i="59"/>
  <c r="C31" i="59"/>
  <c r="G5" i="3"/>
  <c r="B3" i="3" s="1"/>
  <c r="E509" i="3"/>
  <c r="W9" i="35"/>
  <c r="AC9" i="35"/>
  <c r="AA9" i="33"/>
  <c r="S9" i="33"/>
  <c r="S12" i="33"/>
  <c r="AA12" i="33"/>
  <c r="BA5" i="3"/>
  <c r="E27" i="6" s="1"/>
  <c r="K15" i="1"/>
  <c r="L19" i="6"/>
  <c r="L27" i="6" s="1"/>
  <c r="F105" i="46"/>
  <c r="F104" i="46"/>
  <c r="F107" i="46"/>
  <c r="F31" i="6"/>
  <c r="W7" i="21"/>
  <c r="H7" i="21"/>
  <c r="F53" i="59"/>
  <c r="Q54" i="59"/>
  <c r="D74" i="59"/>
  <c r="C73" i="59"/>
  <c r="D73" i="59" s="1"/>
  <c r="D42" i="59"/>
  <c r="C43" i="59"/>
  <c r="D22" i="59"/>
  <c r="C23" i="59"/>
  <c r="E220" i="3"/>
  <c r="AB9" i="35"/>
  <c r="U9" i="35"/>
  <c r="AC9" i="33"/>
  <c r="W9" i="33"/>
  <c r="E564" i="3"/>
  <c r="W12" i="33"/>
  <c r="AC12" i="33"/>
  <c r="H81" i="46"/>
  <c r="G81" i="46" s="1"/>
  <c r="H86" i="46"/>
  <c r="G86" i="46" s="1"/>
  <c r="H85" i="46"/>
  <c r="G85" i="46" s="1"/>
  <c r="H82" i="46"/>
  <c r="G82" i="46" s="1"/>
  <c r="H83" i="46"/>
  <c r="G83" i="46" s="1"/>
  <c r="H80" i="46"/>
  <c r="G80" i="46" s="1"/>
  <c r="H84" i="46"/>
  <c r="G84" i="46" s="1"/>
  <c r="H87" i="46"/>
  <c r="G87" i="46" s="1"/>
  <c r="G30" i="6"/>
  <c r="G31" i="6" s="1"/>
  <c r="E28" i="6"/>
  <c r="H103" i="46"/>
  <c r="N4" i="63"/>
  <c r="B21" i="63"/>
  <c r="D14" i="59"/>
  <c r="C13" i="59"/>
  <c r="D13" i="59" s="1"/>
  <c r="D25" i="59"/>
  <c r="C26" i="59"/>
  <c r="D17" i="59"/>
  <c r="C18" i="59"/>
  <c r="AZ5" i="3"/>
  <c r="W25" i="37"/>
  <c r="AC25" i="37"/>
  <c r="U12" i="36"/>
  <c r="AB12" i="36"/>
  <c r="AB34" i="35"/>
  <c r="U34" i="35"/>
  <c r="W12" i="35"/>
  <c r="AC12" i="35"/>
  <c r="M86" i="9"/>
  <c r="N86" i="9" s="1"/>
  <c r="M84" i="9"/>
  <c r="N84" i="9" s="1"/>
  <c r="M88" i="9"/>
  <c r="N88" i="9" s="1"/>
  <c r="M87" i="9"/>
  <c r="N87" i="9" s="1"/>
  <c r="M85" i="9"/>
  <c r="N85" i="9" s="1"/>
  <c r="M83" i="9"/>
  <c r="N83" i="9" s="1"/>
  <c r="N89" i="9" s="1"/>
  <c r="O89" i="9" s="1"/>
  <c r="D8" i="59"/>
  <c r="G17" i="46"/>
  <c r="C16" i="46" s="1"/>
  <c r="C5" i="46" s="1"/>
  <c r="H7" i="33"/>
  <c r="J7" i="33"/>
  <c r="B14" i="59"/>
  <c r="B13" i="59" s="1"/>
  <c r="S15" i="59"/>
  <c r="AA25" i="37"/>
  <c r="S25" i="37"/>
  <c r="AA34" i="35"/>
  <c r="S34" i="35"/>
  <c r="AC34" i="35"/>
  <c r="W34" i="35"/>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54" i="44"/>
  <c r="F13" i="44"/>
  <c r="C12" i="44" s="1"/>
  <c r="M11" i="15"/>
  <c r="J10" i="15" s="1"/>
  <c r="F11" i="15"/>
  <c r="M13" i="44"/>
  <c r="J12" i="44" s="1"/>
  <c r="J7" i="44" s="1"/>
  <c r="F1" i="15"/>
  <c r="Q53" i="15"/>
  <c r="Q75" i="15"/>
  <c r="Q62" i="15"/>
  <c r="C18" i="44"/>
  <c r="F58" i="15"/>
  <c r="M17" i="15"/>
  <c r="E3" i="65"/>
  <c r="E2" i="65"/>
  <c r="Q75" i="44" l="1"/>
  <c r="C7" i="44"/>
  <c r="C34" i="44" s="1"/>
  <c r="K19" i="6"/>
  <c r="S6" i="1" s="1"/>
  <c r="S16" i="1" s="1"/>
  <c r="K24" i="6"/>
  <c r="M24" i="6" s="1"/>
  <c r="I24" i="6" s="1"/>
  <c r="S24" i="6" s="1"/>
  <c r="K25" i="6"/>
  <c r="M25" i="6" s="1"/>
  <c r="I25" i="6" s="1"/>
  <c r="S25" i="6" s="1"/>
  <c r="K20" i="6"/>
  <c r="M20" i="6" s="1"/>
  <c r="I20" i="6" s="1"/>
  <c r="S20" i="6" s="1"/>
  <c r="K26" i="6"/>
  <c r="M26" i="6" s="1"/>
  <c r="I26" i="6" s="1"/>
  <c r="S26" i="6" s="1"/>
  <c r="K22" i="6"/>
  <c r="M22" i="6" s="1"/>
  <c r="I22" i="6" s="1"/>
  <c r="S22" i="6" s="1"/>
  <c r="K23" i="6"/>
  <c r="M23" i="6" s="1"/>
  <c r="I23" i="6" s="1"/>
  <c r="S23" i="6" s="1"/>
  <c r="K21" i="6"/>
  <c r="M21" i="6" s="1"/>
  <c r="I21" i="6" s="1"/>
  <c r="S21" i="6" s="1"/>
  <c r="K84" i="46"/>
  <c r="M84" i="46"/>
  <c r="N84" i="46" s="1"/>
  <c r="K83" i="46"/>
  <c r="J83" i="46" s="1"/>
  <c r="M83" i="46"/>
  <c r="N83" i="46" s="1"/>
  <c r="M85" i="46"/>
  <c r="N85" i="46" s="1"/>
  <c r="K85" i="46"/>
  <c r="J85" i="46" s="1"/>
  <c r="M81" i="46"/>
  <c r="N81" i="46" s="1"/>
  <c r="K81" i="46"/>
  <c r="J81" i="46" s="1"/>
  <c r="Q52" i="59"/>
  <c r="Q53" i="59"/>
  <c r="E395" i="3"/>
  <c r="E297" i="3"/>
  <c r="E59" i="3"/>
  <c r="E249" i="3"/>
  <c r="E460" i="3"/>
  <c r="E463" i="3"/>
  <c r="E426" i="3"/>
  <c r="E75" i="3"/>
  <c r="J6" i="3"/>
  <c r="E438" i="3"/>
  <c r="E293" i="3"/>
  <c r="E560" i="3"/>
  <c r="E111" i="3"/>
  <c r="E261" i="3"/>
  <c r="E203" i="3"/>
  <c r="E402" i="3"/>
  <c r="E172" i="3"/>
  <c r="E255" i="3"/>
  <c r="E417" i="3"/>
  <c r="E145" i="3"/>
  <c r="E279" i="3"/>
  <c r="E347" i="3"/>
  <c r="E400" i="3"/>
  <c r="E58" i="3"/>
  <c r="E433" i="3"/>
  <c r="E529" i="3"/>
  <c r="E300" i="3"/>
  <c r="E379" i="3"/>
  <c r="E530" i="3"/>
  <c r="E538" i="3"/>
  <c r="E403" i="3"/>
  <c r="E217" i="3"/>
  <c r="E177" i="3"/>
  <c r="E90" i="3"/>
  <c r="E210" i="3"/>
  <c r="E106" i="3"/>
  <c r="E169" i="3"/>
  <c r="E163" i="3"/>
  <c r="E159" i="3"/>
  <c r="E514" i="3"/>
  <c r="E501" i="3"/>
  <c r="E512" i="3"/>
  <c r="E384" i="3"/>
  <c r="E371" i="3"/>
  <c r="E310" i="3"/>
  <c r="E567" i="3"/>
  <c r="E487" i="3"/>
  <c r="AB6" i="3"/>
  <c r="E26" i="3"/>
  <c r="S6" i="3"/>
  <c r="E322" i="3"/>
  <c r="E511" i="3"/>
  <c r="E17" i="3"/>
  <c r="E377" i="3"/>
  <c r="E18" i="3"/>
  <c r="E358" i="3"/>
  <c r="E20" i="3"/>
  <c r="AN6" i="3"/>
  <c r="E464" i="3"/>
  <c r="E450" i="3"/>
  <c r="E149" i="3"/>
  <c r="E549" i="3"/>
  <c r="I3" i="6"/>
  <c r="E292" i="3"/>
  <c r="E60" i="3"/>
  <c r="E178" i="3"/>
  <c r="E455" i="3"/>
  <c r="E190" i="3"/>
  <c r="E420" i="3"/>
  <c r="E233" i="3"/>
  <c r="E39" i="3"/>
  <c r="E107" i="3"/>
  <c r="E88" i="3"/>
  <c r="E480" i="3"/>
  <c r="E517" i="3"/>
  <c r="E453" i="3"/>
  <c r="AQ6" i="3"/>
  <c r="E235" i="3"/>
  <c r="E229" i="3"/>
  <c r="E120" i="3"/>
  <c r="E191" i="3"/>
  <c r="E555" i="3"/>
  <c r="E355" i="3"/>
  <c r="E499" i="3"/>
  <c r="E558" i="3"/>
  <c r="E173" i="3"/>
  <c r="E436" i="3"/>
  <c r="E260" i="3"/>
  <c r="E432" i="3"/>
  <c r="E153" i="3"/>
  <c r="E339" i="3"/>
  <c r="E118" i="3"/>
  <c r="E378" i="3"/>
  <c r="E364" i="3"/>
  <c r="E351" i="3"/>
  <c r="E342" i="3"/>
  <c r="AL6" i="3"/>
  <c r="E522" i="3"/>
  <c r="E368" i="3"/>
  <c r="E572" i="3"/>
  <c r="E510" i="3"/>
  <c r="E516" i="3"/>
  <c r="E504" i="3"/>
  <c r="E227" i="3"/>
  <c r="E488" i="3"/>
  <c r="E244" i="3"/>
  <c r="E71" i="3"/>
  <c r="E137" i="3"/>
  <c r="E240" i="3"/>
  <c r="E301" i="3"/>
  <c r="E382" i="3"/>
  <c r="E484" i="3"/>
  <c r="E326" i="3"/>
  <c r="E356" i="3"/>
  <c r="E481" i="3"/>
  <c r="E13" i="3"/>
  <c r="E557" i="3"/>
  <c r="E523" i="3"/>
  <c r="E544" i="3"/>
  <c r="E346" i="3"/>
  <c r="E252" i="3"/>
  <c r="E155" i="3"/>
  <c r="E519" i="3"/>
  <c r="E328" i="3"/>
  <c r="E138" i="3"/>
  <c r="E461" i="3"/>
  <c r="E352" i="3"/>
  <c r="E130" i="3"/>
  <c r="E496" i="3"/>
  <c r="E521" i="3"/>
  <c r="E350" i="3"/>
  <c r="E340" i="3"/>
  <c r="E330" i="3"/>
  <c r="E532" i="3"/>
  <c r="E366" i="3"/>
  <c r="E483" i="3"/>
  <c r="E335" i="3"/>
  <c r="E323" i="3"/>
  <c r="E315" i="3"/>
  <c r="E361" i="3"/>
  <c r="E298" i="3"/>
  <c r="E498" i="3"/>
  <c r="E95" i="3"/>
  <c r="E385" i="3"/>
  <c r="E16" i="3"/>
  <c r="E246" i="3"/>
  <c r="E551" i="3"/>
  <c r="E180" i="3"/>
  <c r="E306" i="3"/>
  <c r="E188" i="3"/>
  <c r="E287" i="3"/>
  <c r="E302" i="3"/>
  <c r="E505" i="3"/>
  <c r="AG6" i="3"/>
  <c r="E105" i="3"/>
  <c r="V6" i="3"/>
  <c r="E369" i="3"/>
  <c r="E264" i="3"/>
  <c r="E543" i="3"/>
  <c r="E486" i="3"/>
  <c r="E214" i="3"/>
  <c r="E67" i="3"/>
  <c r="E467" i="3"/>
  <c r="E275" i="3"/>
  <c r="E507" i="3"/>
  <c r="E289" i="3"/>
  <c r="E97" i="3"/>
  <c r="E119" i="3"/>
  <c r="E33" i="3"/>
  <c r="E547" i="3"/>
  <c r="E274" i="3"/>
  <c r="E201" i="3"/>
  <c r="E295" i="3"/>
  <c r="E161" i="3"/>
  <c r="E270" i="3"/>
  <c r="E561" i="3"/>
  <c r="E23" i="3"/>
  <c r="E443" i="3"/>
  <c r="E265" i="3"/>
  <c r="E194" i="3"/>
  <c r="AM6" i="3"/>
  <c r="E78" i="3"/>
  <c r="E337" i="3"/>
  <c r="E390" i="3"/>
  <c r="E158" i="3"/>
  <c r="E472" i="3"/>
  <c r="E187" i="3"/>
  <c r="E225" i="3"/>
  <c r="E537" i="3"/>
  <c r="E199" i="3"/>
  <c r="E54" i="3"/>
  <c r="E423" i="3"/>
  <c r="E452" i="3"/>
  <c r="E435" i="3"/>
  <c r="E213" i="3"/>
  <c r="E490" i="3"/>
  <c r="E536" i="3"/>
  <c r="E218" i="3"/>
  <c r="E397" i="3"/>
  <c r="E442" i="3"/>
  <c r="E462" i="3"/>
  <c r="E110" i="3"/>
  <c r="E47" i="3"/>
  <c r="E545" i="3"/>
  <c r="E174" i="3"/>
  <c r="E184" i="3"/>
  <c r="E129" i="3"/>
  <c r="E482" i="3"/>
  <c r="E98" i="3"/>
  <c r="E473" i="3"/>
  <c r="E422" i="3"/>
  <c r="N6" i="3"/>
  <c r="E398" i="3"/>
  <c r="E232" i="3"/>
  <c r="E250" i="3"/>
  <c r="E408" i="3"/>
  <c r="E44" i="3"/>
  <c r="E36" i="3"/>
  <c r="E237" i="3"/>
  <c r="E100" i="3"/>
  <c r="E374" i="3"/>
  <c r="E223" i="3"/>
  <c r="E205" i="3"/>
  <c r="E399" i="3"/>
  <c r="E478" i="3"/>
  <c r="E317" i="3"/>
  <c r="E357" i="3"/>
  <c r="E179" i="3"/>
  <c r="AS6" i="3"/>
  <c r="E383" i="3"/>
  <c r="E247" i="3"/>
  <c r="E136" i="3"/>
  <c r="E568" i="3"/>
  <c r="E85" i="3"/>
  <c r="E539" i="3"/>
  <c r="E332" i="3"/>
  <c r="E245" i="3"/>
  <c r="E139" i="3"/>
  <c r="E52" i="3"/>
  <c r="E445" i="3"/>
  <c r="E451" i="3"/>
  <c r="E556" i="3"/>
  <c r="U6" i="3"/>
  <c r="E291" i="3"/>
  <c r="E305" i="3"/>
  <c r="E527" i="3"/>
  <c r="E73" i="3"/>
  <c r="E126" i="3"/>
  <c r="E248" i="3"/>
  <c r="E211" i="3"/>
  <c r="E336" i="3"/>
  <c r="Y6" i="3"/>
  <c r="AR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92" i="3"/>
  <c r="E45" i="3"/>
  <c r="E373" i="3"/>
  <c r="E284" i="3"/>
  <c r="E360" i="3"/>
  <c r="E42" i="3"/>
  <c r="T6" i="3"/>
  <c r="E144" i="3"/>
  <c r="E269" i="3"/>
  <c r="E219" i="3"/>
  <c r="E338" i="3"/>
  <c r="E506" i="3"/>
  <c r="E476" i="3"/>
  <c r="E68" i="3"/>
  <c r="E192" i="3"/>
  <c r="E135" i="3"/>
  <c r="E114" i="3"/>
  <c r="E147" i="3"/>
  <c r="E348" i="3"/>
  <c r="E22" i="3"/>
  <c r="E93" i="3"/>
  <c r="E439" i="3"/>
  <c r="E394" i="3"/>
  <c r="E459" i="3"/>
  <c r="E55" i="3"/>
  <c r="E117" i="3"/>
  <c r="E282" i="3"/>
  <c r="E231" i="3"/>
  <c r="E570" i="3"/>
  <c r="E528" i="3"/>
  <c r="E375" i="3"/>
  <c r="E470" i="3"/>
  <c r="E409" i="3"/>
  <c r="E349" i="3"/>
  <c r="E186" i="3"/>
  <c r="E124" i="3"/>
  <c r="E311" i="3"/>
  <c r="E222" i="3"/>
  <c r="E263" i="3"/>
  <c r="E388" i="3"/>
  <c r="E424" i="3"/>
  <c r="E430" i="3"/>
  <c r="E82" i="3"/>
  <c r="E146" i="3"/>
  <c r="E164" i="3"/>
  <c r="E77" i="3"/>
  <c r="E99" i="3"/>
  <c r="E434" i="3"/>
  <c r="E262" i="3"/>
  <c r="E552" i="3"/>
  <c r="E101" i="3"/>
  <c r="E57" i="3"/>
  <c r="E503" i="3"/>
  <c r="E380" i="3"/>
  <c r="E565" i="3"/>
  <c r="E318" i="3"/>
  <c r="E175" i="3"/>
  <c r="E316" i="3"/>
  <c r="E268" i="3"/>
  <c r="E341" i="3"/>
  <c r="E112" i="3"/>
  <c r="E254" i="3"/>
  <c r="E563" i="3"/>
  <c r="E542" i="3"/>
  <c r="E273" i="3"/>
  <c r="E494" i="3"/>
  <c r="E553" i="3"/>
  <c r="E515" i="3"/>
  <c r="E566" i="3"/>
  <c r="E167" i="3"/>
  <c r="E497" i="3"/>
  <c r="E518" i="3"/>
  <c r="E571" i="3"/>
  <c r="E562" i="3"/>
  <c r="E312" i="3"/>
  <c r="E267" i="3"/>
  <c r="E182" i="3"/>
  <c r="E35" i="3"/>
  <c r="E212" i="3"/>
  <c r="E19" i="3"/>
  <c r="E524" i="3"/>
  <c r="E277" i="3"/>
  <c r="E81" i="3"/>
  <c r="E108" i="3"/>
  <c r="E493" i="3"/>
  <c r="E508" i="3"/>
  <c r="E271" i="3"/>
  <c r="E24" i="3"/>
  <c r="E76" i="3"/>
  <c r="E66" i="3"/>
  <c r="E123" i="3"/>
  <c r="E224" i="3"/>
  <c r="E121" i="3"/>
  <c r="E74" i="3"/>
  <c r="E448" i="3"/>
  <c r="E309" i="3"/>
  <c r="E243" i="3"/>
  <c r="E154" i="3"/>
  <c r="E465" i="3"/>
  <c r="E372" i="3"/>
  <c r="E116" i="3"/>
  <c r="E429" i="3"/>
  <c r="L6" i="3"/>
  <c r="E303" i="3"/>
  <c r="E37" i="3"/>
  <c r="E533" i="3"/>
  <c r="AE6" i="3"/>
  <c r="E500" i="3"/>
  <c r="Q6" i="3"/>
  <c r="E447" i="3"/>
  <c r="E32" i="3"/>
  <c r="E170" i="3"/>
  <c r="E89" i="3"/>
  <c r="E492" i="3"/>
  <c r="E157" i="3"/>
  <c r="E28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411" i="3"/>
  <c r="E41" i="3"/>
  <c r="E418" i="3"/>
  <c r="E92" i="3"/>
  <c r="E414" i="3"/>
  <c r="E202" i="3"/>
  <c r="E131" i="3"/>
  <c r="E304" i="3"/>
  <c r="E165" i="3"/>
  <c r="E404" i="3"/>
  <c r="E30" i="3"/>
  <c r="E441" i="3"/>
  <c r="E367" i="3"/>
  <c r="E415" i="3"/>
  <c r="E80" i="3"/>
  <c r="E28" i="3"/>
  <c r="E141" i="3"/>
  <c r="E168" i="3"/>
  <c r="E34" i="3"/>
  <c r="E407" i="3"/>
  <c r="E550"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E406" i="3"/>
  <c r="E329" i="3"/>
  <c r="E226" i="3"/>
  <c r="E288" i="3"/>
  <c r="E197" i="3"/>
  <c r="E61" i="3"/>
  <c r="O53" i="59"/>
  <c r="D53" i="59"/>
  <c r="O52" i="59"/>
  <c r="E86" i="3"/>
  <c r="E541" i="3"/>
  <c r="E428" i="3"/>
  <c r="E466" i="3"/>
  <c r="E320" i="3"/>
  <c r="E386" i="3"/>
  <c r="E253" i="3"/>
  <c r="E181" i="3"/>
  <c r="J6" i="15"/>
  <c r="J5" i="15" s="1"/>
  <c r="E31" i="6"/>
  <c r="M87" i="46"/>
  <c r="N87" i="46" s="1"/>
  <c r="K87" i="46"/>
  <c r="M80" i="46"/>
  <c r="N80" i="46" s="1"/>
  <c r="K80" i="46"/>
  <c r="K82" i="46"/>
  <c r="M82" i="46"/>
  <c r="N82" i="46" s="1"/>
  <c r="M86" i="46"/>
  <c r="N86" i="46" s="1"/>
  <c r="K86" i="46"/>
  <c r="D23" i="59"/>
  <c r="T23" i="59"/>
  <c r="D43" i="59"/>
  <c r="T43" i="59"/>
  <c r="E14" i="3"/>
  <c r="E393" i="3"/>
  <c r="E307" i="3"/>
  <c r="E209" i="3"/>
  <c r="E285" i="3"/>
  <c r="E162" i="3"/>
  <c r="E48" i="3"/>
  <c r="D31" i="59"/>
  <c r="T31" i="59"/>
  <c r="E83" i="3"/>
  <c r="E63" i="3"/>
  <c r="E419" i="3"/>
  <c r="E444" i="3"/>
  <c r="E471" i="3"/>
  <c r="E365" i="3"/>
  <c r="E238" i="3"/>
  <c r="E296" i="3"/>
  <c r="E189" i="3"/>
  <c r="O28" i="46"/>
  <c r="C23" i="46"/>
  <c r="C21" i="46" s="1"/>
  <c r="D5" i="46"/>
  <c r="D18" i="59"/>
  <c r="C19" i="59"/>
  <c r="D26" i="59"/>
  <c r="C27" i="59"/>
  <c r="AC7" i="33"/>
  <c r="V48" i="33" s="1"/>
  <c r="I48" i="33" s="1"/>
  <c r="I52" i="33" s="1"/>
  <c r="J52" i="33" s="1"/>
  <c r="W7" i="33"/>
  <c r="E3" i="6"/>
  <c r="AY6" i="3"/>
  <c r="G52" i="21"/>
  <c r="H52" i="21" s="1"/>
  <c r="G53" i="21"/>
  <c r="H53" i="21" s="1"/>
  <c r="F70" i="39"/>
  <c r="E72" i="39"/>
  <c r="AA7" i="21"/>
  <c r="R48" i="21" s="1"/>
  <c r="S7" i="21"/>
  <c r="F65" i="40"/>
  <c r="E67" i="40"/>
  <c r="D6" i="59"/>
  <c r="C5" i="59"/>
  <c r="D5" i="59" s="1"/>
  <c r="M28" i="46"/>
  <c r="G20" i="46" s="1"/>
  <c r="E41" i="46" s="1"/>
  <c r="C41" i="46" s="1"/>
  <c r="N28" i="46"/>
  <c r="B40" i="1"/>
  <c r="F24" i="15" s="1"/>
  <c r="C24" i="15" s="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52" i="15"/>
  <c r="C47" i="15" s="1"/>
  <c r="C10" i="15"/>
  <c r="C5" i="15" s="1"/>
  <c r="D19" i="9"/>
  <c r="C40" i="44" l="1"/>
  <c r="J24" i="15"/>
  <c r="J26" i="15"/>
  <c r="J29" i="15" s="1"/>
  <c r="J18" i="15"/>
  <c r="J86" i="46"/>
  <c r="D86" i="46"/>
  <c r="J80" i="46"/>
  <c r="D80" i="46"/>
  <c r="J87" i="46"/>
  <c r="D87" i="46"/>
  <c r="E6" i="3"/>
  <c r="J84" i="46"/>
  <c r="D84" i="46"/>
  <c r="J82" i="46"/>
  <c r="D82" i="46"/>
  <c r="L44" i="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27" i="59"/>
  <c r="T27" i="59"/>
  <c r="D19" i="59"/>
  <c r="T19" i="59"/>
  <c r="D16" i="43"/>
  <c r="C16" i="43" s="1"/>
  <c r="E6" i="6"/>
  <c r="D45" i="9"/>
  <c r="D44" i="9"/>
  <c r="D16" i="12"/>
  <c r="L38" i="9"/>
  <c r="B14" i="66" s="1"/>
  <c r="B1" i="66" s="1"/>
  <c r="D46" i="9"/>
  <c r="C21" i="4"/>
  <c r="O5" i="54" s="1"/>
  <c r="B45" i="63" s="1"/>
  <c r="D10" i="11"/>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C32" i="15"/>
  <c r="C38" i="15"/>
  <c r="B5" i="11"/>
  <c r="B3" i="11"/>
  <c r="B4" i="11"/>
  <c r="C59" i="15"/>
  <c r="C65" i="15"/>
  <c r="Q49" i="44"/>
  <c r="Q55" i="44" s="1"/>
  <c r="Q67" i="44"/>
  <c r="Q58" i="44"/>
  <c r="L52" i="44"/>
  <c r="D20" i="9"/>
  <c r="C16" i="44"/>
  <c r="D21" i="9"/>
  <c r="C14" i="15"/>
  <c r="L58" i="44" l="1"/>
  <c r="L61" i="44" s="1"/>
  <c r="L47" i="44" s="1"/>
  <c r="Q69" i="44"/>
  <c r="AA7" i="36"/>
  <c r="R36" i="36" s="1"/>
  <c r="E80" i="46"/>
  <c r="B78" i="46" s="1"/>
  <c r="C24" i="46" s="1"/>
  <c r="T16" i="1"/>
  <c r="D19" i="12"/>
  <c r="C19" i="12" s="1"/>
  <c r="C16" i="12"/>
  <c r="P14" i="1"/>
  <c r="P16" i="1" s="1"/>
  <c r="C13" i="12" s="1"/>
  <c r="C14" i="12" s="1"/>
  <c r="C7" i="66"/>
  <c r="C6" i="66"/>
  <c r="C8" i="66"/>
  <c r="D22" i="12"/>
  <c r="C22" i="12" s="1"/>
  <c r="C20" i="12" s="1"/>
  <c r="D13" i="11"/>
  <c r="C13" i="11" s="1"/>
  <c r="E63" i="40"/>
  <c r="D19" i="6"/>
  <c r="D25" i="6"/>
  <c r="D13" i="6"/>
  <c r="H24" i="6"/>
  <c r="D23" i="6"/>
  <c r="D28" i="6"/>
  <c r="D8" i="6"/>
  <c r="E45" i="9"/>
  <c r="F44" i="9"/>
  <c r="K38" i="9"/>
  <c r="C14" i="66" s="1"/>
  <c r="B2" i="66" s="1"/>
  <c r="D26" i="6"/>
  <c r="D11" i="6"/>
  <c r="H20" i="6"/>
  <c r="D9" i="6"/>
  <c r="D29" i="6"/>
  <c r="D15" i="6"/>
  <c r="E44" i="9"/>
  <c r="E46" i="9"/>
  <c r="C22" i="4"/>
  <c r="D21" i="6"/>
  <c r="D10" i="6"/>
  <c r="H21" i="6"/>
  <c r="D6" i="6"/>
  <c r="D14" i="6"/>
  <c r="D20" i="6"/>
  <c r="H23" i="6"/>
  <c r="F45" i="9"/>
  <c r="E68" i="39"/>
  <c r="D24" i="6"/>
  <c r="R24" i="6" s="1"/>
  <c r="D22" i="6"/>
  <c r="D12" i="6"/>
  <c r="H25" i="6"/>
  <c r="D5" i="6"/>
  <c r="H22" i="6"/>
  <c r="H26" i="6"/>
  <c r="F46" i="9"/>
  <c r="H70" i="39"/>
  <c r="G72" i="39"/>
  <c r="C48" i="21"/>
  <c r="C49" i="21"/>
  <c r="B3" i="21" s="1"/>
  <c r="B2"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l="1"/>
  <c r="Q64" i="44" s="1"/>
  <c r="D30" i="6"/>
  <c r="E29" i="46"/>
  <c r="D16" i="6"/>
  <c r="D27" i="6"/>
  <c r="R20" i="6"/>
  <c r="C17" i="12"/>
  <c r="C18" i="12" s="1"/>
  <c r="C23" i="12" s="1"/>
  <c r="C35" i="12" s="1"/>
  <c r="C33" i="12" s="1"/>
  <c r="A6" i="51"/>
  <c r="B7" i="63" s="1"/>
  <c r="A20" i="64"/>
  <c r="N5" i="54"/>
  <c r="B43" i="63" s="1"/>
  <c r="A6" i="64"/>
  <c r="A20" i="51"/>
  <c r="B15" i="63" s="1"/>
  <c r="D6" i="66"/>
  <c r="D7" i="66"/>
  <c r="D8" i="66"/>
  <c r="R25" i="6"/>
  <c r="R22" i="6"/>
  <c r="R21" i="6"/>
  <c r="R26" i="6"/>
  <c r="R23" i="6"/>
  <c r="H67" i="40"/>
  <c r="I65" i="40"/>
  <c r="I70" i="39"/>
  <c r="H72" i="39"/>
  <c r="G39" i="46"/>
  <c r="I39" i="46" s="1"/>
  <c r="E39" i="46"/>
  <c r="E38" i="46"/>
  <c r="G38" i="46"/>
  <c r="I38" i="46" s="1"/>
  <c r="E33" i="46"/>
  <c r="G33" i="46"/>
  <c r="I33" i="46" s="1"/>
  <c r="G37" i="46"/>
  <c r="I37" i="46" s="1"/>
  <c r="E37" i="46"/>
  <c r="G36" i="46"/>
  <c r="I36" i="46" s="1"/>
  <c r="E36"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D31" i="6" l="1"/>
  <c r="C27" i="46"/>
  <c r="C26" i="46"/>
  <c r="B2" i="46" s="1"/>
  <c r="B3" i="46" s="1"/>
  <c r="R27" i="6"/>
  <c r="R6" i="1"/>
  <c r="R16" i="1" s="1"/>
  <c r="J65" i="40"/>
  <c r="I67" i="40"/>
  <c r="J70" i="39"/>
  <c r="I72" i="39"/>
  <c r="E4" i="67"/>
  <c r="C18" i="43"/>
  <c r="C19" i="43" s="1"/>
  <c r="C25" i="43" s="1"/>
  <c r="C24" i="43" s="1"/>
  <c r="C28" i="44"/>
  <c r="C31" i="44" s="1"/>
  <c r="C23" i="15"/>
  <c r="C29" i="15" s="1"/>
  <c r="C36" i="15" s="1"/>
  <c r="C28" i="12"/>
  <c r="C26" i="12" s="1"/>
  <c r="C31" i="12" s="1"/>
  <c r="C30" i="12" s="1"/>
  <c r="C36" i="12" s="1"/>
  <c r="B2" i="12" s="1"/>
  <c r="K48" i="35"/>
  <c r="L48" i="35" s="1"/>
  <c r="M48" i="35" s="1"/>
  <c r="N48" i="35" s="1"/>
  <c r="O48" i="35" s="1"/>
  <c r="J7" i="35"/>
  <c r="K52" i="37"/>
  <c r="C19" i="9"/>
  <c r="E7" i="67"/>
  <c r="C20" i="9"/>
  <c r="B7" i="67"/>
  <c r="G19" i="9" l="1"/>
  <c r="G20" i="9"/>
  <c r="I6" i="6"/>
  <c r="I5" i="6"/>
  <c r="D22" i="9"/>
  <c r="L43" i="9"/>
  <c r="D4" i="46"/>
  <c r="E3" i="67"/>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L52" i="37"/>
  <c r="F7" i="35"/>
  <c r="H7" i="35"/>
  <c r="C21" i="9"/>
  <c r="G21" i="9" l="1"/>
  <c r="C32" i="9"/>
  <c r="N43" i="9"/>
  <c r="G22" i="9"/>
  <c r="L70" i="39"/>
  <c r="K72" i="39"/>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L51" i="15"/>
  <c r="C42" i="9" l="1"/>
  <c r="O43" i="9"/>
  <c r="O38" i="9"/>
  <c r="C33" i="9"/>
  <c r="C35" i="9"/>
  <c r="F42" i="9" s="1"/>
  <c r="C34" i="9"/>
  <c r="M65" i="40"/>
  <c r="L67" i="40"/>
  <c r="L72" i="39"/>
  <c r="M70"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M38" i="9" l="1"/>
  <c r="K27" i="9" s="1"/>
  <c r="E42" i="9"/>
  <c r="P5" i="54" s="1"/>
  <c r="B46" i="63" s="1"/>
  <c r="N38" i="9"/>
  <c r="K28" i="9" s="1"/>
  <c r="D42" i="9"/>
  <c r="Q5" i="54" s="1"/>
  <c r="B47" i="63" s="1"/>
  <c r="K25" i="9"/>
  <c r="K26" i="9"/>
  <c r="D14" i="66"/>
  <c r="D63" i="9"/>
  <c r="N68" i="9"/>
  <c r="R5" i="54"/>
  <c r="B48" i="63" s="1"/>
  <c r="N70" i="39"/>
  <c r="N72" i="39" s="1"/>
  <c r="M72" i="39"/>
  <c r="F9" i="39" s="1"/>
  <c r="J9" i="39"/>
  <c r="H9" i="39"/>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C90" i="9" l="1"/>
  <c r="C111" i="9"/>
  <c r="C104" i="9" s="1"/>
  <c r="C82" i="9"/>
  <c r="C81" i="9" s="1"/>
  <c r="C85" i="9" s="1"/>
  <c r="C86" i="9" s="1"/>
  <c r="D72" i="9" s="1"/>
  <c r="C103" i="9"/>
  <c r="C96" i="9"/>
  <c r="C91" i="9" s="1"/>
  <c r="D71" i="9"/>
  <c r="D66" i="9" s="1"/>
  <c r="N72" i="9" s="1"/>
  <c r="D70" i="9"/>
  <c r="D77" i="9"/>
  <c r="N75" i="9" s="1"/>
  <c r="F14" i="66"/>
  <c r="B5" i="66"/>
  <c r="E14" i="66"/>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113" i="9" l="1"/>
  <c r="C114" i="9" s="1"/>
  <c r="E114" i="9" s="1"/>
  <c r="E115" i="9" s="1"/>
  <c r="C97" i="9"/>
  <c r="D5" i="66"/>
  <c r="C5" i="66"/>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115" i="9" l="1"/>
  <c r="D76" i="9" s="1"/>
  <c r="D74" i="9" s="1"/>
  <c r="N74" i="9" s="1"/>
  <c r="O77" i="9" s="1"/>
  <c r="O78" i="9" s="1"/>
  <c r="C98" i="9"/>
  <c r="E98" i="9" s="1"/>
  <c r="E99" i="9" s="1"/>
  <c r="I49" i="40"/>
  <c r="J49" i="40" s="1"/>
  <c r="E48" i="40"/>
  <c r="F48" i="40" s="1"/>
  <c r="E49" i="40"/>
  <c r="F49" i="40" s="1"/>
  <c r="E53" i="39"/>
  <c r="F53" i="39" s="1"/>
  <c r="E54" i="39"/>
  <c r="F54" i="39" s="1"/>
  <c r="C44" i="40"/>
  <c r="C45" i="40"/>
  <c r="C50" i="39"/>
  <c r="C49" i="39"/>
  <c r="G49" i="40"/>
  <c r="H49" i="40" s="1"/>
  <c r="G48" i="40"/>
  <c r="H48" i="40" s="1"/>
  <c r="C99" i="9" l="1"/>
  <c r="O79" i="9"/>
  <c r="O81" i="9" s="1"/>
  <c r="Q77"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O80" i="9" l="1"/>
  <c r="B5" i="40"/>
  <c r="B3" i="40"/>
  <c r="B4" i="40"/>
  <c r="B5" i="39"/>
  <c r="B3" i="39"/>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<sst xmlns="http://schemas.openxmlformats.org/spreadsheetml/2006/main" count="7202" uniqueCount="3240">
  <si>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</si>
  <si>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</si>
  <si>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</si>
  <si>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</si>
  <si>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</si>
  <si>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</si>
  <si>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</si>
  <si>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</si>
  <si>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</si>
  <si>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</si>
  <si>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</si>
  <si>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</si>
  <si>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</si>
  <si>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</si>
  <si>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</si>
  <si>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</si>
  <si>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</si>
  <si>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</si>
  <si>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</si>
  <si>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</si>
  <si>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</si>
  <si>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</si>
  <si>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</si>
  <si>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</si>
  <si>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</si>
  <si>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</si>
  <si>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</si>
  <si>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</si>
  <si>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</si>
  <si>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</si>
  <si>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</si>
  <si>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</si>
  <si>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</si>
  <si>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</si>
  <si>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</si>
  <si>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</si>
  <si>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</si>
  <si>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</si>
  <si>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</si>
  <si>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</si>
  <si>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</si>
  <si>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</si>
  <si>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</si>
  <si>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</si>
  <si>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</si>
  <si>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</si>
  <si>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</si>
  <si>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</si>
  <si>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</si>
  <si>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</si>
  <si>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</si>
  <si>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</si>
  <si>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</si>
  <si>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</si>
  <si>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</si>
  <si>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</si>
  <si>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</si>
  <si>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</si>
  <si>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</si>
  <si>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</si>
  <si>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</si>
  <si>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</si>
  <si>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</si>
  <si>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</si>
  <si>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</si>
  <si>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</si>
  <si>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</si>
  <si>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</si>
  <si>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</si>
  <si>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</si>
  <si>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</si>
  <si>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</si>
  <si>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</si>
  <si>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</si>
  <si>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</si>
  <si>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</si>
  <si>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</si>
  <si>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</si>
  <si>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</si>
  <si>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</si>
  <si>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</si>
  <si>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</si>
  <si>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</si>
  <si>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</si>
  <si>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</si>
  <si>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</si>
  <si>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</si>
  <si>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</si>
  <si>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</si>
  <si>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</si>
  <si>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</si>
  <si>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</si>
  <si>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</si>
  <si>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</si>
  <si>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</si>
  <si>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</si>
  <si>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</si>
  <si>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</si>
  <si>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</si>
  <si>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</si>
  <si>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</si>
  <si>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</si>
  <si>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</si>
  <si>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</si>
  <si>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</si>
  <si>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</si>
  <si>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</si>
  <si>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</si>
  <si>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</si>
  <si>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</si>
  <si>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</si>
  <si>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</si>
  <si>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</si>
  <si>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</si>
  <si>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</si>
  <si>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</si>
  <si>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</si>
  <si>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</si>
  <si>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</si>
  <si>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</si>
  <si>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</si>
  <si>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</si>
  <si>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</si>
  <si>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</si>
  <si>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</si>
  <si>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</si>
  <si>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</si>
  <si>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</si>
  <si>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</si>
  <si>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</si>
  <si>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</si>
  <si>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</si>
  <si>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</si>
  <si>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</si>
  <si>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</si>
  <si>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</si>
  <si>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</si>
  <si>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</si>
  <si>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</si>
  <si>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</si>
  <si>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</si>
  <si>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</si>
  <si>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</si>
  <si>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</si>
  <si>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</si>
  <si>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</si>
  <si>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</si>
  <si>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</si>
  <si>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</si>
  <si>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</si>
  <si>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</si>
  <si>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</si>
  <si>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</si>
  <si>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</si>
  <si>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</si>
  <si>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</si>
  <si>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</si>
  <si>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</si>
  <si>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</si>
  <si>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</si>
  <si>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</si>
  <si>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</si>
  <si>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</si>
  <si>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</si>
  <si>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</si>
  <si>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</si>
  <si>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</si>
  <si>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</si>
  <si>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</si>
  <si>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</si>
  <si>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</si>
  <si>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</si>
  <si>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</si>
  <si>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</si>
  <si>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</si>
  <si>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</si>
  <si>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</si>
  <si>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</si>
  <si>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</si>
  <si>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</si>
  <si>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</si>
  <si>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</si>
  <si>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</si>
  <si>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</si>
  <si>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</si>
  <si>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</si>
  <si>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</si>
  <si>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</si>
  <si>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</si>
  <si>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</si>
  <si>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</si>
  <si>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</si>
  <si>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</si>
  <si>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</si>
  <si>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</si>
  <si>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</si>
  <si>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</si>
  <si>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</si>
  <si>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</si>
  <si>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</si>
  <si>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</si>
  <si>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</si>
  <si>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</si>
  <si>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</si>
  <si>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</si>
  <si>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</si>
  <si>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</si>
  <si>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</si>
  <si>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</si>
  <si>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</si>
  <si>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</si>
  <si>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</si>
  <si>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</si>
  <si>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</si>
  <si>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</si>
  <si>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</si>
  <si>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</si>
  <si>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</si>
  <si>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</si>
  <si>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</si>
  <si>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</si>
  <si>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</si>
  <si>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</si>
  <si>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</si>
  <si>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</si>
  <si>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</si>
  <si>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</si>
  <si>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</si>
  <si>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</si>
  <si>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</si>
  <si>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</si>
  <si>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</si>
  <si>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</si>
  <si>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</si>
  <si>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</si>
  <si>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</si>
  <si>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</si>
  <si>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</si>
  <si>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</si>
  <si>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</si>
  <si>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</si>
  <si>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</si>
  <si>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</si>
  <si>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</si>
  <si>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</si>
  <si>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</si>
  <si>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</si>
  <si>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</si>
  <si>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</si>
  <si>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</si>
  <si>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</si>
  <si>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</si>
  <si>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</si>
  <si>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</si>
  <si>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</si>
  <si>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</si>
  <si>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</si>
  <si>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</si>
  <si>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</si>
  <si>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</si>
  <si>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</si>
  <si>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</si>
  <si>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</si>
  <si>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</si>
  <si>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</si>
  <si>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</si>
  <si>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</si>
  <si>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</si>
  <si>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</si>
  <si>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</si>
  <si>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</si>
  <si>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</si>
  <si>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</si>
  <si>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</si>
  <si>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</si>
  <si>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</si>
  <si>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</si>
  <si>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</si>
  <si>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</si>
  <si>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</si>
  <si>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</si>
  <si>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</si>
  <si>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</si>
  <si>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</si>
  <si>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</si>
  <si>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</si>
  <si>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</si>
  <si>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</si>
  <si>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</si>
  <si>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</si>
  <si>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</si>
  <si>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</si>
  <si>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</si>
  <si>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</si>
  <si>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</si>
  <si>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</si>
  <si>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</si>
  <si>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</si>
  <si>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</si>
  <si>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</si>
  <si>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</si>
  <si>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</si>
  <si>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</si>
  <si>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</si>
  <si>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</si>
  <si>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</si>
  <si>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</si>
  <si>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</si>
  <si>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</si>
  <si>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</si>
  <si>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</si>
  <si>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</si>
  <si>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</si>
  <si>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</si>
  <si>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</si>
  <si>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</si>
  <si>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</si>
  <si>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</si>
  <si>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</si>
  <si>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</si>
  <si>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</si>
  <si>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</si>
  <si>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</si>
  <si>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</si>
  <si>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</si>
  <si>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</si>
  <si>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</si>
  <si>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</si>
  <si>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</si>
  <si>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</si>
  <si>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</si>
  <si>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</si>
  <si>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</si>
  <si>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</si>
  <si>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</si>
  <si>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</si>
  <si>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</si>
  <si>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</si>
  <si>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</si>
  <si>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</si>
  <si>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</si>
  <si>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</si>
  <si>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</si>
  <si>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</si>
  <si>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</si>
  <si>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</si>
  <si>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</si>
  <si>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</si>
  <si>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</si>
  <si>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</si>
  <si>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</si>
  <si>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</si>
  <si>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</si>
  <si>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</si>
  <si>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</si>
  <si>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</si>
  <si>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</si>
  <si>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</si>
  <si>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</si>
  <si>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</si>
  <si>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</si>
  <si>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</si>
  <si>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</si>
  <si>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</si>
  <si>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</si>
  <si>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</si>
  <si>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</si>
  <si>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</si>
  <si>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</si>
  <si>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</si>
  <si>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</si>
  <si>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</si>
  <si>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</si>
  <si>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</si>
  <si>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</si>
  <si>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</si>
  <si>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</si>
  <si>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</si>
  <si>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</si>
  <si>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</si>
  <si>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</si>
  <si>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</si>
  <si>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</si>
  <si>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</si>
  <si>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</si>
  <si>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</si>
  <si>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</si>
  <si>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</si>
  <si>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</si>
  <si>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</si>
  <si>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</si>
  <si>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</si>
  <si>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</si>
  <si>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</si>
  <si>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</si>
  <si>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</si>
  <si>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</si>
  <si>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</si>
  <si>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</si>
  <si>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</si>
  <si>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</si>
  <si>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</si>
  <si>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</si>
  <si>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</si>
  <si>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</si>
  <si>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</si>
  <si>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</si>
  <si>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</si>
  <si>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</si>
  <si>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</si>
  <si>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</si>
  <si>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</si>
  <si>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</si>
  <si>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</si>
  <si>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</si>
  <si>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</si>
  <si>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</si>
  <si>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</si>
  <si>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</si>
  <si>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</si>
  <si>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</si>
  <si>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</si>
  <si>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</si>
  <si>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</si>
  <si>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</si>
  <si>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</si>
  <si>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</si>
  <si>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</si>
  <si>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</si>
  <si>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</si>
  <si>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</si>
  <si>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</si>
  <si>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</si>
  <si>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</si>
  <si>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</si>
  <si>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</si>
  <si>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</si>
  <si>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</si>
  <si>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</si>
  <si>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</si>
  <si>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</si>
  <si>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</si>
  <si>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</si>
  <si>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</si>
  <si>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</si>
  <si>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</si>
  <si>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</si>
  <si>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</si>
  <si>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</si>
  <si>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</si>
  <si>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</si>
  <si>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</si>
  <si>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</si>
  <si>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</si>
  <si>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</si>
  <si>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</si>
  <si>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</si>
  <si>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</si>
  <si>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</si>
  <si>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</si>
  <si>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</si>
  <si>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</si>
  <si>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</si>
  <si>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</si>
  <si>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</si>
  <si>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</si>
  <si>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</si>
  <si>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</si>
  <si>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</si>
  <si>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</si>
  <si>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</si>
  <si>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</si>
  <si>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</si>
  <si>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</si>
  <si>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</si>
  <si>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</si>
  <si>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</si>
  <si>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</si>
  <si>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</si>
  <si>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</si>
  <si>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</si>
  <si>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</si>
  <si>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</si>
  <si>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</si>
  <si>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</si>
  <si>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</si>
  <si>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</si>
  <si>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</si>
  <si>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</si>
  <si>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</si>
  <si>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</si>
  <si>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</si>
  <si>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</si>
  <si>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</si>
  <si>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</si>
  <si>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</si>
  <si>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</si>
  <si>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</si>
  <si>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</si>
  <si>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</si>
  <si>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</si>
  <si>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</si>
  <si>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</si>
  <si>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</si>
  <si>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</si>
  <si>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</si>
  <si>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</si>
  <si>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</si>
  <si>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</si>
  <si>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</si>
  <si>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</si>
  <si>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</si>
  <si>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</si>
  <si>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</si>
  <si>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</si>
  <si>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</si>
  <si>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</si>
  <si>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</si>
  <si>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</si>
  <si>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</si>
  <si>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</si>
  <si>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</si>
  <si>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</si>
  <si>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</si>
  <si>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</si>
  <si>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</si>
  <si>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</si>
  <si>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</si>
  <si>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</si>
  <si>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</si>
  <si>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</si>
  <si>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</si>
  <si>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</si>
  <si>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</si>
  <si>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</si>
  <si>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</si>
  <si>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</si>
  <si>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</si>
  <si>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</si>
  <si>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</si>
  <si>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</si>
  <si>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</si>
  <si>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</si>
  <si>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</si>
  <si>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</si>
  <si>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</si>
  <si>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</si>
  <si>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</si>
  <si>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</si>
  <si>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</si>
  <si>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</si>
  <si>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</si>
  <si>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</si>
  <si>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</si>
  <si>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</si>
  <si>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</si>
  <si>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</si>
  <si>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</si>
  <si>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</si>
  <si>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</si>
  <si>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</si>
  <si>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</si>
  <si>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</si>
  <si>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</si>
  <si>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</si>
  <si>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</si>
  <si>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</si>
  <si>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</si>
  <si>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</si>
  <si>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</si>
  <si>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</si>
  <si>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</si>
  <si>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</si>
  <si>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</si>
  <si>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</si>
  <si>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</si>
  <si>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</si>
  <si>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</si>
  <si>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</si>
  <si>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</si>
  <si>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</si>
  <si>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</si>
  <si>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</si>
  <si>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</si>
  <si>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</si>
  <si>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</si>
  <si>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</si>
  <si>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</si>
  <si>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</si>
  <si>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</si>
  <si>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</si>
  <si>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</si>
  <si>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</si>
  <si>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</si>
  <si>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</si>
  <si>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</si>
  <si>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</si>
  <si>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</si>
  <si>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</si>
  <si>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</si>
  <si>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</si>
  <si>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</si>
  <si>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</si>
  <si>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</si>
  <si>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</si>
  <si>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</si>
  <si>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</si>
  <si>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</si>
  <si>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</si>
  <si>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</si>
  <si>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</si>
  <si>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</si>
  <si>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</si>
  <si>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</si>
  <si>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</si>
  <si>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</si>
  <si>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</si>
  <si>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</si>
  <si>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</si>
  <si>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</si>
  <si>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</si>
  <si>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</si>
  <si>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</si>
  <si>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</si>
  <si>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</si>
  <si>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</si>
  <si>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</si>
  <si>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</si>
  <si>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</si>
  <si>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</si>
  <si>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</si>
  <si>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</si>
  <si>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</si>
  <si>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</si>
  <si>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</si>
  <si>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</si>
  <si>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</si>
  <si>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</si>
  <si>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</si>
  <si>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</si>
  <si>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</si>
  <si>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</si>
  <si>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</si>
  <si>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</si>
  <si>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</si>
  <si>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</si>
  <si>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</si>
  <si>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</si>
  <si>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</si>
  <si>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</si>
  <si>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</si>
  <si>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</si>
  <si>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</si>
  <si>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</si>
  <si>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</si>
  <si>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</si>
  <si>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</si>
  <si>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</si>
  <si>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</si>
  <si>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</si>
  <si>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</si>
  <si>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</si>
  <si>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</si>
  <si>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</si>
  <si>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</si>
  <si>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</si>
  <si>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</si>
  <si>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</si>
  <si>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</si>
  <si>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</si>
  <si>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</si>
  <si>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</si>
  <si>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</si>
  <si>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</si>
  <si>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</si>
  <si>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</si>
  <si>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</si>
  <si>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</si>
  <si>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</si>
  <si>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</si>
  <si>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</si>
  <si>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</si>
  <si>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</si>
  <si>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</si>
  <si>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</si>
  <si>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</si>
  <si>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</si>
  <si>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</si>
  <si>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</si>
  <si>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</si>
  <si>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</si>
  <si>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</si>
  <si>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</si>
  <si>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</si>
  <si>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</si>
  <si>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</si>
  <si>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</si>
  <si>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</si>
  <si>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</si>
  <si>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</si>
  <si>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</si>
  <si>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</si>
  <si>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</si>
  <si>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</si>
  <si>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</si>
  <si>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</si>
  <si>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</si>
  <si>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</si>
  <si>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</si>
  <si>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</si>
  <si>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</si>
  <si>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</si>
  <si>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</si>
  <si>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</si>
  <si>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</si>
  <si>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</si>
  <si>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</si>
  <si>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</si>
  <si>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</si>
  <si>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</si>
  <si>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</si>
  <si>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</si>
  <si>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</si>
  <si>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</si>
  <si>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</si>
  <si>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</si>
  <si>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</si>
  <si>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</si>
  <si>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</si>
  <si>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</si>
  <si>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</si>
  <si>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</si>
  <si>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</si>
  <si>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</si>
  <si>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</si>
  <si>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</si>
  <si>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</si>
  <si>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</si>
  <si>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</si>
  <si>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</si>
  <si>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</si>
  <si>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</si>
  <si>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</si>
  <si>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</si>
  <si>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</si>
  <si>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</si>
  <si>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</si>
  <si>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</si>
  <si>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</si>
  <si>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</si>
  <si>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</si>
  <si>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</si>
  <si>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</si>
  <si>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</si>
  <si>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</si>
  <si>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</si>
  <si>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</si>
  <si>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</si>
  <si>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</si>
  <si>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</si>
  <si>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</si>
  <si>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</si>
  <si>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</si>
  <si>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</si>
  <si>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</si>
  <si>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</si>
  <si>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</si>
  <si>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</si>
  <si>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</si>
  <si>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</si>
  <si>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</si>
  <si>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</si>
  <si>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</si>
  <si>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</si>
  <si>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</si>
  <si>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</si>
  <si>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</si>
  <si>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</si>
  <si>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</si>
  <si>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</si>
  <si>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</si>
  <si>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</si>
  <si>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</si>
  <si>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</si>
  <si>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</si>
  <si>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</si>
  <si>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</si>
  <si>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</si>
  <si>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</si>
  <si>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</si>
  <si>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</si>
  <si>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</si>
  <si>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</si>
  <si>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</si>
  <si>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</si>
  <si>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</si>
  <si>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</si>
  <si>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</si>
  <si>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</si>
  <si>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</si>
  <si>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</si>
  <si>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</si>
  <si>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</si>
  <si>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</si>
  <si>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</si>
  <si>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</si>
  <si>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</si>
  <si>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</si>
  <si>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</si>
  <si>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</si>
  <si>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</si>
  <si>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</si>
  <si>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</si>
  <si>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</si>
  <si>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</si>
  <si>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</si>
  <si>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</si>
  <si>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</si>
  <si>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</si>
  <si>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</si>
  <si>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</si>
  <si>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</si>
  <si>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</si>
  <si>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</si>
  <si>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</si>
  <si>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</si>
  <si>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</si>
  <si>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</si>
  <si>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</si>
  <si>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</si>
  <si>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</si>
  <si>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</si>
  <si>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</si>
  <si>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</si>
  <si>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</si>
  <si>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</si>
  <si>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</si>
  <si>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</si>
  <si>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</si>
  <si>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</si>
  <si>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</si>
  <si>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</si>
  <si>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</si>
  <si>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</si>
  <si>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</si>
  <si>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</si>
  <si>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</si>
  <si>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</si>
  <si>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</si>
  <si>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</si>
  <si>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</si>
  <si>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</si>
  <si>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</si>
  <si>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</si>
  <si>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</si>
  <si>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</si>
  <si>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</si>
  <si>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</si>
  <si>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</si>
  <si>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</si>
  <si>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</si>
  <si>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</si>
  <si>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</si>
  <si>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</si>
  <si>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</si>
  <si>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</si>
  <si>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</si>
  <si>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</si>
  <si>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</si>
  <si>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</si>
  <si>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</si>
  <si>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</si>
  <si>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</si>
  <si>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</si>
  <si>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</si>
  <si>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</si>
  <si>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</si>
  <si>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</si>
  <si>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</si>
  <si>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</si>
  <si>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</si>
  <si>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</si>
  <si>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</si>
  <si>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</si>
  <si>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</si>
  <si>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</si>
  <si>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</si>
  <si>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</si>
  <si>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</si>
  <si>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</si>
  <si>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</si>
  <si>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</si>
  <si>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</si>
  <si>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</si>
  <si>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</si>
  <si>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</si>
  <si>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</si>
  <si>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</si>
  <si>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</si>
  <si>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</si>
  <si>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</si>
  <si>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</si>
  <si>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</si>
  <si>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</si>
  <si>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</si>
  <si>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</si>
  <si>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</si>
  <si>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</si>
  <si>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</si>
  <si>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</si>
  <si>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</si>
  <si>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</si>
  <si>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</si>
  <si>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</si>
  <si>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</si>
  <si>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</si>
  <si>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</si>
  <si>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</si>
  <si>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</si>
  <si>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</si>
  <si>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</si>
  <si>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</si>
  <si>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</si>
  <si>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</si>
  <si>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</si>
  <si>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</si>
  <si>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</si>
  <si>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</si>
  <si>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</si>
  <si>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</si>
  <si>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</si>
  <si>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</si>
  <si>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</si>
  <si>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</si>
  <si>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</si>
  <si>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</si>
  <si>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</si>
  <si>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</si>
  <si>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</si>
  <si>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</si>
  <si>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</si>
  <si>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</si>
  <si>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</si>
  <si>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</si>
  <si>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</si>
  <si>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</si>
  <si>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</si>
  <si>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</si>
  <si>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</si>
  <si>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</si>
  <si>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</si>
  <si>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</si>
  <si>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</si>
  <si>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</si>
  <si>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</si>
  <si>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</si>
  <si>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</si>
  <si>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</si>
  <si>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</si>
  <si>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</si>
  <si>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</si>
  <si>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</si>
  <si>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</si>
  <si>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</si>
  <si>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</si>
  <si>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</si>
  <si>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</si>
  <si>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</si>
  <si>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</si>
  <si>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</si>
  <si>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</si>
  <si>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</si>
  <si>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</si>
  <si>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</si>
  <si>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</si>
  <si>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</si>
  <si>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</si>
  <si>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</si>
  <si>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</si>
  <si>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</si>
  <si>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</si>
  <si>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</si>
  <si>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</si>
  <si>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</si>
  <si>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</si>
  <si>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</si>
  <si>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</si>
  <si>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</si>
  <si>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</si>
  <si>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</si>
  <si>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</si>
  <si>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</si>
  <si>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</si>
  <si>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</si>
  <si>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</si>
  <si>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</si>
  <si>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</si>
  <si>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</si>
  <si>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</si>
  <si>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</si>
  <si>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</si>
  <si>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</si>
  <si>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</si>
  <si>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</si>
  <si>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</si>
  <si>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</si>
  <si>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</si>
  <si>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</si>
  <si>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</si>
  <si>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</si>
  <si>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</si>
  <si>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</si>
  <si>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</si>
  <si>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</si>
  <si>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</si>
  <si>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</si>
  <si>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</si>
  <si>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</si>
  <si>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</si>
  <si>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</si>
  <si>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</si>
  <si>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</si>
  <si>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</si>
  <si>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</si>
  <si>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</si>
  <si>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</si>
  <si>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</si>
  <si>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</si>
  <si>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</si>
  <si>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</si>
  <si>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</si>
  <si>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</si>
  <si>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</si>
  <si>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</si>
  <si>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</si>
  <si>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</si>
  <si>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</si>
  <si>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</si>
  <si>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</si>
  <si>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</si>
  <si>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</si>
  <si>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</si>
  <si>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</si>
  <si>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</si>
  <si>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</si>
  <si>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</si>
  <si>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</si>
  <si>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</si>
  <si>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</si>
  <si>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</si>
  <si>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</si>
  <si>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</si>
  <si>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</si>
  <si>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</si>
  <si>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</si>
  <si>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</si>
  <si>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</si>
  <si>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</si>
  <si>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</si>
  <si>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</si>
  <si>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</si>
  <si>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</si>
  <si>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</si>
  <si>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</si>
  <si>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</si>
  <si>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</si>
  <si>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</si>
  <si>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</si>
  <si>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</si>
  <si>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</si>
  <si>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</si>
  <si>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</si>
  <si>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</si>
  <si>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</si>
  <si>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</si>
  <si>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</si>
  <si>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</si>
  <si>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</si>
  <si>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</si>
  <si>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</si>
  <si>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</si>
  <si>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</si>
  <si>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</si>
  <si>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</si>
  <si>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</si>
  <si>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</si>
  <si>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</si>
  <si>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</si>
  <si>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</si>
  <si>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</si>
  <si>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</si>
  <si>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</si>
  <si>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</si>
  <si>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</si>
  <si>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</si>
  <si>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</si>
  <si>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</si>
  <si>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</si>
  <si>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</si>
  <si>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</si>
  <si>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</si>
  <si>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</si>
  <si>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</si>
  <si>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</si>
  <si>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</si>
  <si>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</si>
  <si>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</si>
  <si>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</si>
  <si>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</si>
  <si>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</si>
  <si>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</si>
  <si>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</si>
  <si>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</si>
  <si>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</si>
  <si>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</si>
  <si>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</si>
  <si>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</si>
  <si>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</si>
  <si>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</si>
  <si>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</si>
  <si>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</si>
  <si>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</si>
  <si>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</si>
  <si>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</si>
  <si>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</si>
  <si>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</si>
  <si>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</si>
  <si>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</si>
  <si>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</si>
  <si>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</si>
  <si>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</si>
  <si>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</si>
  <si>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</si>
  <si>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</si>
  <si>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</si>
  <si>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</si>
  <si>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</si>
  <si>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</si>
  <si>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</si>
  <si>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</si>
  <si>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</si>
  <si>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</si>
  <si>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</si>
  <si>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</si>
  <si>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</si>
  <si>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</si>
  <si>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</si>
  <si>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</si>
  <si>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</si>
  <si>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</si>
  <si>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</si>
  <si>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</si>
  <si>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</si>
  <si>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</si>
  <si>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</si>
  <si>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</si>
  <si>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</si>
  <si>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</si>
  <si>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</si>
  <si>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</si>
  <si>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</si>
  <si>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</si>
  <si>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</si>
  <si>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</si>
  <si>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</si>
  <si>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</si>
  <si>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</si>
  <si>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</si>
  <si>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</si>
  <si>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</si>
  <si>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</si>
  <si>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</si>
  <si>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</si>
  <si>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</si>
  <si>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</si>
  <si>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</si>
  <si>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</si>
  <si>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</si>
  <si>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</si>
  <si>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</si>
  <si>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</si>
  <si>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</si>
  <si>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</si>
  <si>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</si>
  <si>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</si>
  <si>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</si>
  <si>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</si>
  <si>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</si>
  <si>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</si>
  <si>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</si>
  <si>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</si>
  <si>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</si>
  <si>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</si>
  <si>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</si>
  <si>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</si>
  <si>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</si>
  <si>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</si>
  <si>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</si>
  <si>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</si>
  <si>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</si>
  <si>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</si>
  <si>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</si>
  <si>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</si>
  <si>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</si>
  <si>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</si>
  <si>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</si>
  <si>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</si>
  <si>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</si>
  <si>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</si>
  <si>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</si>
  <si>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</si>
  <si>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</si>
  <si>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</si>
  <si>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</si>
  <si>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</si>
  <si>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</si>
  <si>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</si>
  <si>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</si>
  <si>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</si>
  <si>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</si>
  <si>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</si>
  <si>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</si>
  <si>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</si>
  <si>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</si>
  <si>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</si>
  <si>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</si>
  <si>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</si>
  <si>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</si>
  <si>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</si>
  <si>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</si>
  <si>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</si>
  <si>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</si>
  <si>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</si>
  <si>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</si>
  <si>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</si>
  <si>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</si>
  <si>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</si>
  <si>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</si>
  <si>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</si>
  <si>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</si>
  <si>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</si>
  <si>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</si>
  <si>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</si>
  <si>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</si>
  <si>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</si>
  <si>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</si>
  <si>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</si>
  <si>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</si>
  <si>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</si>
  <si>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</si>
  <si>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</si>
  <si>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</si>
  <si>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</si>
  <si>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</si>
  <si>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</si>
  <si>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</si>
  <si>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</si>
  <si>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</si>
  <si>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</si>
  <si>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</si>
  <si>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</si>
  <si>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</si>
  <si>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</si>
  <si>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</si>
  <si>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</si>
  <si>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</si>
  <si>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</si>
  <si>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</si>
  <si>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</si>
  <si>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</si>
  <si>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</si>
  <si>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</si>
  <si>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</si>
  <si>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</si>
  <si>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</si>
  <si>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</si>
  <si>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</si>
  <si>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</si>
  <si>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</si>
  <si>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</si>
  <si>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</si>
  <si>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</si>
  <si>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</si>
  <si>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</si>
  <si>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</si>
  <si>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</si>
  <si>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</si>
  <si>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</si>
  <si>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</si>
  <si>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</si>
  <si>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</si>
  <si>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</si>
  <si>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</si>
  <si>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</si>
  <si>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</si>
  <si>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</si>
  <si>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</si>
  <si>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</si>
  <si>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</si>
  <si>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</si>
  <si>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</si>
  <si>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</si>
  <si>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</si>
  <si>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</si>
  <si>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</si>
  <si>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</si>
  <si>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</si>
  <si>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</si>
  <si>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</si>
  <si>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</si>
  <si>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</si>
  <si>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</si>
  <si>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</si>
  <si>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</si>
  <si>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</si>
  <si>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</si>
  <si>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</si>
  <si>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</si>
  <si>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</si>
  <si>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</si>
  <si>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</si>
  <si>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</si>
  <si>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</si>
  <si>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</si>
  <si>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</si>
  <si>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</si>
  <si>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</si>
  <si>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</si>
  <si>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</si>
  <si>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</si>
  <si>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</si>
  <si>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</si>
  <si>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</si>
  <si>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</si>
  <si>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</si>
  <si>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</si>
  <si>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</si>
  <si>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</si>
  <si>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</si>
  <si>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</si>
  <si>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</si>
  <si>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</si>
  <si>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</si>
  <si>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</si>
  <si>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</si>
  <si>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</si>
  <si>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</si>
  <si>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</si>
  <si>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</si>
  <si>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</si>
  <si>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</si>
  <si>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</si>
  <si>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</si>
  <si>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</si>
  <si>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</si>
  <si>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</si>
  <si>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</si>
  <si>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</si>
  <si>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</si>
  <si>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</si>
  <si>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</si>
  <si>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</si>
  <si>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</si>
  <si>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</si>
  <si>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</si>
  <si>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</si>
  <si>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</si>
  <si>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</si>
  <si>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</si>
  <si>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</si>
  <si>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</si>
  <si>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</si>
  <si>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</si>
  <si>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</si>
  <si>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</si>
  <si>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</si>
  <si>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</si>
  <si>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</si>
  <si>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</si>
  <si>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</si>
  <si>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</si>
  <si>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</si>
  <si>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</si>
  <si>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</si>
  <si>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</si>
  <si>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</si>
  <si>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</si>
  <si>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</si>
  <si>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</si>
  <si>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</si>
  <si>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</si>
  <si>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</si>
  <si>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</si>
  <si>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</si>
  <si>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</si>
  <si>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</si>
  <si>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</si>
  <si>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</si>
  <si>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</si>
  <si>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</si>
  <si>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</si>
  <si>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</si>
  <si>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</si>
  <si>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</si>
  <si>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</si>
  <si>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</si>
  <si>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</si>
  <si>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</si>
  <si>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</si>
  <si>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</si>
  <si>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</si>
  <si>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</si>
  <si>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</si>
  <si>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</si>
  <si>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</si>
  <si>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</si>
  <si>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</si>
  <si>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</si>
  <si>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</si>
  <si>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</si>
  <si>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</si>
  <si>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</si>
  <si>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</si>
  <si>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</si>
  <si>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</si>
  <si>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</si>
  <si>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</si>
  <si>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</si>
  <si>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</si>
  <si>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</si>
  <si>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</si>
  <si>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</si>
  <si>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</si>
  <si>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</si>
  <si>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</si>
  <si>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</si>
  <si>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</si>
  <si>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</si>
  <si>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</si>
  <si>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</si>
  <si>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</si>
  <si>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</si>
  <si>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</si>
  <si>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</si>
  <si>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</si>
  <si>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</si>
  <si>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</si>
  <si>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</si>
  <si>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</si>
  <si>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</si>
  <si>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</si>
  <si>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</si>
  <si>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</si>
  <si>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</si>
  <si>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</si>
  <si>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</si>
  <si>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</si>
  <si>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</si>
  <si>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</si>
  <si>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</si>
  <si>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</si>
  <si>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</si>
  <si>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</si>
  <si>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</si>
  <si>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</si>
  <si>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</si>
  <si>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</si>
  <si>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</si>
  <si>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</si>
  <si>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</si>
  <si>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</si>
  <si>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</si>
  <si>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</si>
  <si>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</si>
  <si>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</si>
  <si>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</si>
  <si>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</si>
  <si>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</si>
  <si>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</si>
  <si>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</si>
  <si>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</si>
  <si>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</si>
  <si>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</si>
  <si>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</si>
  <si>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</si>
  <si>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</si>
  <si>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</si>
  <si>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</si>
  <si>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</si>
  <si>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</si>
  <si>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</si>
  <si>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</si>
  <si>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</si>
  <si>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</si>
  <si>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</si>
  <si>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</si>
  <si>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</si>
  <si>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</si>
  <si>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</si>
  <si>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</si>
  <si>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</si>
  <si>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</si>
  <si>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</si>
  <si>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</si>
  <si>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</si>
  <si>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</si>
  <si>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</si>
  <si>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</si>
  <si>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</si>
  <si>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</si>
  <si>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</si>
  <si>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</si>
  <si>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</si>
  <si>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</si>
  <si>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</si>
  <si>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</si>
  <si>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</si>
  <si>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</si>
  <si>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</si>
  <si>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</si>
  <si>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</si>
  <si>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</si>
  <si>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</si>
  <si>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</si>
  <si>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</si>
  <si>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</si>
  <si>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</si>
  <si>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</si>
  <si>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</si>
  <si>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</si>
  <si>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</si>
  <si>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</si>
  <si>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</si>
  <si>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</si>
  <si>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</si>
  <si>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</si>
  <si>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</si>
  <si>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</si>
  <si>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</si>
  <si>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</si>
  <si>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</si>
  <si>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</si>
  <si>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</si>
  <si>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</si>
  <si>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</si>
  <si>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</si>
  <si>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</si>
  <si>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</si>
  <si>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</si>
  <si>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</si>
  <si>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</si>
  <si>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</si>
  <si>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</si>
  <si>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</si>
  <si>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</si>
  <si>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</si>
  <si>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</si>
  <si>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</si>
  <si>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</si>
  <si>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</si>
  <si>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</si>
  <si>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</si>
  <si>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</si>
  <si>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</si>
  <si>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</si>
  <si>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</si>
  <si>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</si>
  <si>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</si>
  <si>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</si>
  <si>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</si>
  <si>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</si>
  <si>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</si>
  <si>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</si>
  <si>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</si>
  <si>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</si>
  <si>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</si>
  <si>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</si>
  <si>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</si>
  <si>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</si>
  <si>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</si>
  <si>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</si>
  <si>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</si>
  <si>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</si>
  <si>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</si>
  <si>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</si>
  <si>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</si>
  <si>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</si>
  <si>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</si>
  <si>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</si>
  <si>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</si>
  <si>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</si>
  <si>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</si>
  <si>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</si>
  <si>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</si>
  <si>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</si>
  <si>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</si>
  <si>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</si>
  <si>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</si>
  <si>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</si>
  <si>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</si>
  <si>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</si>
  <si>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</si>
  <si>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</si>
  <si>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</si>
  <si>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</si>
  <si>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</si>
  <si>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</si>
  <si>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</si>
  <si>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</si>
  <si>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</si>
  <si>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</si>
  <si>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</si>
  <si>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</si>
  <si>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</si>
  <si>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</si>
  <si>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</si>
  <si>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</si>
  <si>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</si>
  <si>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</si>
  <si>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</si>
  <si>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</si>
  <si>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</si>
  <si>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</si>
  <si>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</si>
  <si>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</si>
  <si>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</si>
  <si>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</si>
  <si>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</si>
  <si>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</si>
  <si>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</si>
  <si>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</si>
  <si>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</si>
  <si>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</si>
  <si>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</si>
  <si>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</si>
  <si>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</si>
  <si>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</si>
  <si>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</si>
  <si>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</si>
  <si>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</si>
  <si>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</si>
  <si>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</si>
  <si>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</si>
  <si>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</si>
  <si>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</si>
  <si>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</si>
  <si>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</si>
  <si>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</si>
  <si>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</si>
  <si>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</si>
  <si>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</si>
  <si>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</si>
  <si>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</si>
  <si>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</si>
  <si>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</si>
  <si>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</si>
  <si>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</si>
  <si>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</si>
  <si>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</si>
  <si>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</si>
  <si>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</si>
  <si>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</si>
  <si>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</si>
  <si>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</si>
  <si>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</si>
  <si>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</si>
  <si>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</si>
  <si>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</si>
  <si>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</si>
  <si>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</si>
  <si>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</si>
  <si>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</si>
  <si>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</si>
  <si>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</si>
  <si>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</si>
  <si>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</si>
  <si>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</si>
  <si>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</si>
  <si>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</si>
  <si>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</si>
  <si>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</si>
  <si>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</si>
  <si>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</si>
  <si>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</si>
  <si>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</si>
  <si>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</si>
  <si>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</si>
  <si>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</si>
  <si>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</si>
  <si>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</si>
  <si>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</si>
  <si>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</si>
  <si>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</si>
  <si>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</si>
  <si>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</si>
  <si>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</si>
  <si>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</si>
  <si>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</si>
  <si>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</si>
  <si>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</si>
  <si>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</si>
  <si>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</si>
  <si>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</si>
  <si>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</si>
  <si>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</si>
  <si>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</si>
  <si>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</si>
  <si>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</si>
  <si>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</si>
  <si>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</si>
  <si>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</si>
  <si>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</si>
  <si>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</si>
  <si>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</si>
  <si>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</si>
  <si>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</si>
  <si>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</si>
  <si>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</si>
  <si>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</si>
  <si>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</si>
  <si>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</si>
  <si>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</si>
  <si>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</si>
  <si>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</si>
  <si>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</si>
  <si>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</si>
  <si>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</si>
  <si>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</si>
  <si>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</si>
  <si>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</si>
  <si>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</si>
  <si>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</si>
  <si>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</si>
  <si>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</si>
  <si>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</si>
  <si>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</si>
  <si>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</si>
  <si>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</si>
  <si>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</si>
  <si>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</si>
  <si>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</si>
  <si>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</si>
  <si>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</si>
  <si>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</si>
  <si>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</si>
  <si>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</si>
  <si>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</si>
  <si>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</si>
  <si>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</si>
  <si>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</si>
  <si>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</si>
  <si>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</si>
  <si>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</si>
  <si>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</si>
  <si>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</si>
  <si>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</si>
  <si>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</si>
  <si>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</si>
  <si>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</si>
  <si>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</si>
  <si>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</si>
  <si>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</si>
  <si>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</si>
  <si>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</si>
  <si>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</si>
  <si>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</si>
  <si>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</si>
  <si>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</si>
  <si>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</si>
  <si>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</si>
  <si>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</si>
  <si>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</si>
  <si>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</si>
  <si>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</si>
  <si>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</si>
  <si>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</si>
  <si>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</si>
  <si>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</si>
  <si>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</si>
  <si>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</si>
  <si>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</si>
  <si>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</si>
  <si>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</si>
  <si>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</si>
  <si>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</si>
  <si>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</si>
  <si>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</si>
  <si>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</si>
  <si>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</si>
  <si>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</si>
  <si>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</si>
  <si>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</si>
  <si>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</si>
  <si>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</si>
  <si>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</si>
  <si>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</si>
  <si>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</si>
  <si>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</si>
  <si>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</si>
  <si>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</si>
  <si>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</si>
  <si>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</si>
  <si>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</si>
  <si>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</si>
  <si>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</si>
  <si>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</si>
  <si>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</si>
  <si>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</si>
  <si>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</si>
  <si>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</si>
  <si>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</si>
  <si>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</si>
  <si>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</si>
  <si>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</si>
  <si>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</si>
  <si>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</si>
  <si>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</si>
  <si>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</si>
  <si>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</si>
  <si>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</si>
  <si>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</si>
  <si>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</si>
  <si>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</si>
  <si>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</si>
  <si>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</si>
  <si>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</si>
  <si>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</si>
  <si>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</si>
  <si>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</si>
  <si>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</si>
  <si>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</si>
  <si>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</si>
  <si>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</si>
  <si>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</si>
  <si>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</si>
  <si>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</si>
  <si>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</si>
  <si>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</si>
  <si>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</si>
  <si>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</si>
  <si>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</si>
  <si>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</si>
  <si>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</si>
  <si>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</si>
  <si>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</si>
  <si>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</si>
  <si>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</si>
  <si>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</si>
  <si>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</si>
  <si>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</si>
  <si>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</si>
  <si>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</si>
  <si>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</si>
  <si>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</si>
  <si>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</si>
  <si>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</si>
  <si>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</si>
  <si>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</si>
  <si>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</si>
  <si>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</si>
  <si>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</si>
  <si>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</si>
  <si>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</si>
  <si>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</si>
  <si>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</si>
  <si>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</si>
  <si>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</si>
  <si>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</si>
  <si>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</si>
  <si>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</si>
  <si>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</si>
  <si>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</si>
  <si>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</si>
  <si>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</si>
  <si>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</si>
  <si>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</si>
  <si>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</si>
  <si>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</si>
  <si>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</si>
  <si>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</si>
  <si>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</si>
  <si>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</si>
  <si>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</si>
  <si>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</si>
  <si>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</si>
  <si>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</si>
  <si>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</si>
  <si>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</si>
  <si>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</si>
  <si>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</si>
  <si>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</si>
  <si>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</si>
  <si>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</si>
  <si>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</si>
  <si>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</si>
  <si>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</si>
  <si>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</si>
  <si>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</si>
  <si>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</si>
  <si>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</si>
  <si>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</si>
  <si>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</si>
  <si>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</si>
  <si>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</si>
  <si>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</si>
  <si>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</si>
  <si>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</si>
  <si>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</si>
  <si>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</si>
  <si>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</si>
  <si>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</si>
  <si>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</si>
  <si>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</si>
  <si>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</si>
  <si>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</si>
  <si>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</si>
  <si>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</si>
  <si>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</si>
  <si>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</si>
  <si>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</si>
  <si>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</si>
  <si>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</si>
  <si>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</si>
  <si>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</si>
  <si>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</si>
  <si>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</si>
  <si>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</si>
  <si>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</si>
  <si>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</si>
  <si>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</si>
  <si>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</si>
  <si>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</si>
  <si>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</si>
  <si>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</si>
  <si>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</si>
  <si>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</si>
  <si>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</si>
  <si>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</si>
  <si>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</si>
  <si>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</si>
  <si>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</si>
  <si>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</si>
  <si>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</si>
  <si>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</si>
  <si>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</si>
  <si>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</si>
  <si>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</si>
  <si>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</si>
  <si>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</si>
  <si>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</si>
  <si>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</si>
  <si>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</si>
  <si>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</si>
  <si>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</si>
  <si>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</si>
  <si>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</si>
  <si>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</si>
  <si>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</si>
  <si>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</si>
  <si>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</si>
  <si>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</si>
  <si>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</si>
  <si>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</si>
  <si>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</si>
  <si>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</si>
  <si>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</si>
  <si>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</si>
  <si>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</si>
  <si>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</si>
  <si>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</si>
  <si>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</si>
  <si>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</si>
  <si>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</si>
  <si>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</si>
  <si>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</si>
  <si>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</si>
  <si>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</si>
  <si>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</si>
  <si>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</si>
  <si>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</si>
  <si>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</si>
  <si>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</si>
  <si>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</si>
  <si>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</si>
  <si>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</si>
  <si>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</si>
  <si>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</si>
  <si>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</si>
  <si>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</si>
  <si>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</si>
  <si>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</si>
  <si>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</si>
  <si>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</si>
  <si>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</si>
  <si>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</si>
  <si>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</si>
  <si>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</si>
  <si>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</si>
  <si>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</si>
  <si>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</si>
  <si>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</si>
  <si>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</si>
  <si>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</si>
  <si>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</si>
  <si>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</si>
  <si>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</si>
  <si>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</si>
  <si>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</si>
  <si>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</si>
  <si>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</si>
  <si>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</si>
  <si>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</si>
  <si>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</si>
  <si>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</si>
  <si>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</si>
  <si>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</si>
  <si>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</si>
  <si>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</si>
  <si>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</si>
  <si>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</si>
  <si>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</si>
  <si>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</si>
  <si>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</si>
  <si>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</si>
  <si>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</si>
  <si>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</si>
  <si>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</si>
  <si>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</si>
  <si>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</si>
  <si>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</si>
  <si>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</si>
  <si>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</si>
  <si>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</si>
  <si>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</si>
  <si>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</si>
  <si>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</si>
  <si>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</si>
  <si>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</si>
  <si>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</si>
  <si>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</si>
  <si>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</si>
  <si>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</si>
  <si>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</si>
  <si>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</si>
  <si>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</si>
  <si>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</si>
  <si>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</si>
  <si>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</si>
  <si>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</si>
  <si>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</si>
  <si>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</si>
  <si>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</si>
  <si>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</si>
  <si>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</si>
  <si>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</si>
  <si>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</si>
  <si>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</si>
  <si>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</si>
  <si>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</si>
  <si>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</si>
  <si>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</si>
  <si>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</si>
  <si>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</si>
  <si>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</si>
  <si>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</si>
  <si>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</si>
  <si>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</si>
  <si>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</si>
  <si>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</si>
  <si>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</si>
  <si>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</si>
  <si>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</si>
  <si>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</si>
  <si>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</si>
  <si>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</si>
  <si>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</si>
  <si>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</si>
  <si>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</si>
  <si>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</si>
  <si>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</si>
  <si>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</si>
  <si>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</si>
  <si>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</si>
  <si>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</si>
  <si>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</si>
  <si>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</si>
  <si>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</si>
  <si>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</si>
  <si>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</si>
  <si>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</si>
  <si>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</si>
  <si>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</si>
  <si>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</si>
  <si>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</si>
  <si>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</si>
  <si>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</si>
  <si>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</si>
  <si>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</si>
  <si>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</si>
  <si>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</si>
  <si>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</si>
  <si>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</si>
  <si>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</si>
  <si>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</si>
  <si>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</si>
  <si>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</si>
  <si>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</si>
  <si>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</si>
  <si>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</si>
  <si>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</si>
  <si>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</si>
  <si>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</si>
  <si>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</si>
  <si>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</si>
  <si>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</si>
  <si>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</si>
  <si>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</si>
  <si>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</si>
  <si>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</si>
  <si>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</si>
  <si>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</si>
  <si>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</si>
  <si>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</si>
  <si>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</si>
  <si>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</si>
  <si>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</si>
  <si>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</si>
  <si>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</si>
  <si>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</si>
  <si>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</si>
  <si>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</si>
  <si>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</si>
  <si>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</si>
  <si>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</si>
  <si>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</si>
  <si>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</si>
  <si>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</si>
  <si>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</si>
  <si>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</si>
  <si>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</si>
  <si>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</si>
  <si>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</si>
  <si>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</si>
  <si>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</si>
  <si>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</si>
  <si>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</si>
  <si>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</si>
  <si>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</si>
  <si>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</si>
  <si>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</si>
  <si>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</si>
  <si>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</si>
  <si>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</si>
  <si>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</si>
  <si>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</si>
  <si>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</si>
  <si>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</si>
  <si>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</si>
  <si>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</si>
  <si>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</si>
  <si>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</si>
  <si>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</si>
  <si>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</si>
  <si>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</si>
  <si>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</si>
  <si>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</si>
  <si>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</si>
  <si>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</si>
  <si>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</si>
  <si>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</si>
  <si>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</si>
  <si>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</si>
  <si>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</si>
  <si>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</si>
  <si>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</si>
  <si>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</si>
  <si>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</si>
  <si>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</si>
  <si>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</si>
  <si>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</si>
  <si>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</si>
  <si>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</si>
  <si>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</si>
  <si>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</si>
  <si>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</si>
  <si>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</si>
  <si>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</si>
  <si>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</si>
  <si>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</si>
  <si>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</si>
  <si>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</si>
  <si>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</si>
  <si>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</si>
  <si>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</si>
  <si>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</si>
  <si>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</si>
  <si>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</si>
  <si>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</si>
  <si>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</si>
  <si>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</si>
  <si>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</si>
  <si>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</si>
  <si>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</si>
  <si>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</si>
  <si>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</si>
  <si>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</si>
  <si>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</si>
  <si>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</si>
  <si>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</si>
  <si>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</si>
  <si>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</si>
  <si>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</si>
  <si>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</si>
  <si>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</si>
  <si>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</si>
  <si>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</si>
  <si>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</si>
  <si>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</si>
  <si>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</si>
  <si>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</si>
  <si>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</si>
  <si>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</si>
  <si>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</si>
  <si>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</si>
  <si>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</si>
  <si>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</si>
  <si>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</si>
  <si>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</si>
  <si>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</si>
  <si>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</si>
  <si>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</si>
  <si>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</si>
  <si>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</si>
  <si>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</si>
  <si>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</si>
  <si>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</si>
  <si>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</si>
  <si>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</si>
  <si>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</si>
  <si>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</si>
  <si>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</si>
  <si>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</si>
  <si>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</si>
  <si>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</si>
  <si>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</si>
  <si>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</si>
  <si>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</si>
  <si>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</si>
  <si>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</si>
  <si>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</si>
  <si>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</si>
  <si>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</si>
  <si>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</si>
  <si>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</si>
  <si>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</si>
  <si>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</si>
  <si>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</si>
  <si>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</si>
  <si>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</si>
  <si>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</si>
  <si>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</si>
  <si>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</si>
  <si>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</si>
  <si>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</si>
  <si>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</si>
  <si>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</si>
  <si>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</si>
  <si>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</si>
  <si>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</si>
  <si>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</si>
  <si>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</si>
  <si>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</si>
  <si>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</si>
  <si>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</si>
  <si>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</si>
  <si>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</si>
  <si>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</si>
  <si>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</si>
  <si>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</si>
  <si>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</si>
  <si>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</si>
  <si>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</si>
  <si>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</si>
  <si>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</si>
  <si>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</si>
  <si>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</si>
  <si>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</si>
  <si>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</si>
  <si>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</si>
  <si>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</si>
  <si>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</si>
  <si>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</si>
  <si>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</si>
  <si>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</si>
  <si>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</si>
  <si>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</si>
  <si>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</si>
  <si>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</si>
  <si>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</si>
  <si>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</si>
  <si>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</si>
  <si>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</si>
  <si>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</si>
  <si>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</si>
  <si>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</si>
  <si>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</si>
  <si>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</si>
  <si>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</si>
  <si>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</si>
  <si>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</si>
  <si>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</si>
  <si>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</si>
  <si>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</si>
  <si>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</si>
  <si>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</si>
  <si>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</si>
  <si>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</si>
  <si>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</si>
  <si>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</si>
  <si>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</si>
  <si>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</si>
  <si>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</si>
  <si>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</si>
  <si>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</si>
  <si>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</si>
  <si>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</si>
  <si>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</si>
  <si>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</si>
  <si>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</si>
  <si>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</si>
  <si>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</si>
  <si>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</si>
  <si>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</si>
  <si>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</si>
  <si>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</si>
  <si>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</si>
  <si>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</si>
  <si>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</si>
  <si>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</si>
  <si>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</si>
  <si>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</si>
  <si>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</si>
  <si>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</si>
  <si>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</si>
  <si>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</si>
  <si>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</si>
  <si>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</si>
  <si>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</si>
  <si>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</si>
  <si>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</si>
  <si>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</si>
  <si>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</si>
  <si>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</si>
  <si>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</si>
  <si>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</si>
  <si>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</si>
  <si>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</si>
  <si>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</si>
  <si>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</si>
  <si>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</si>
  <si>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</si>
  <si>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</si>
  <si>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</si>
  <si>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</si>
  <si>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</si>
  <si>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</si>
  <si>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</si>
  <si>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</si>
  <si>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</si>
  <si>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</si>
  <si>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</si>
  <si>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</si>
  <si>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</si>
  <si>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</si>
  <si>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</si>
  <si>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</si>
  <si>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</si>
  <si>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</si>
  <si>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</si>
  <si>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</si>
  <si>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</si>
  <si>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</si>
  <si>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</si>
  <si>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</si>
  <si>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</si>
  <si>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</si>
  <si>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</si>
  <si>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</si>
  <si>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</si>
  <si>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</si>
  <si>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</si>
  <si>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</si>
  <si>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</si>
  <si>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</si>
  <si>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</si>
  <si>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</si>
  <si>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</si>
  <si>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</si>
  <si>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</si>
  <si>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</si>
  <si>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</si>
  <si>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</si>
  <si>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</si>
  <si>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</si>
  <si>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</si>
  <si>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</si>
  <si>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</si>
  <si>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</si>
  <si>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</si>
  <si>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</si>
  <si>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</si>
  <si>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</si>
  <si>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</si>
  <si>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</si>
  <si>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</si>
  <si>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</si>
  <si>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</si>
  <si>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</si>
  <si>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</si>
  <si>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</si>
  <si>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</si>
  <si>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</si>
  <si>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</si>
  <si>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</si>
  <si>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</si>
  <si>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</si>
  <si>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</si>
  <si>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</si>
  <si>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</si>
  <si>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</si>
  <si>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</si>
  <si>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</si>
  <si>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</si>
  <si>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</si>
  <si>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</si>
  <si>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</si>
  <si>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</si>
  <si>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</si>
  <si>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</si>
  <si>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</si>
  <si>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</si>
  <si>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</si>
  <si>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</si>
  <si>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</si>
  <si>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</si>
  <si>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</si>
  <si>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</si>
  <si>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</si>
  <si>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</si>
  <si>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</si>
  <si>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</si>
  <si>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</si>
  <si>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</si>
  <si>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</si>
  <si>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</si>
  <si>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</si>
  <si>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</si>
  <si>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</si>
  <si>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</si>
  <si>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</si>
  <si>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</si>
  <si>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</si>
  <si>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</si>
  <si>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</si>
  <si>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</si>
  <si>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</si>
  <si>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</si>
  <si>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</si>
  <si>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</si>
  <si>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</si>
  <si>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</si>
  <si>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</si>
  <si>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</si>
  <si>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</si>
  <si>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</si>
  <si>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</si>
  <si>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</si>
  <si>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</si>
  <si>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</si>
  <si>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</si>
  <si>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</si>
  <si>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</si>
  <si>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</si>
  <si>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</si>
  <si>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</si>
  <si>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</si>
  <si>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</si>
  <si>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</si>
  <si>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</si>
  <si>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</si>
  <si>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</si>
  <si>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</si>
  <si>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</si>
  <si>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</si>
  <si>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</si>
  <si>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</si>
  <si>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</si>
  <si>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</si>
  <si>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</si>
  <si>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</si>
  <si>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</si>
  <si>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</si>
  <si>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</si>
  <si>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</si>
  <si>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</si>
  <si>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</si>
  <si>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</si>
  <si>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</si>
  <si>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</si>
  <si>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</si>
  <si>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</si>
  <si>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</si>
  <si>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</si>
  <si>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</si>
  <si>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</si>
  <si>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</si>
  <si>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</si>
  <si>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</si>
  <si>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</si>
  <si>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</si>
  <si>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</si>
  <si>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</si>
  <si>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</si>
  <si>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</si>
  <si>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</si>
  <si>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</si>
  <si>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</si>
  <si>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</si>
  <si>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</si>
  <si>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</si>
  <si>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</si>
  <si>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</si>
  <si>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</si>
  <si>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</si>
  <si>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</si>
  <si>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</si>
  <si>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</si>
  <si>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</si>
  <si>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</si>
  <si>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</si>
  <si>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</si>
  <si>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</si>
  <si>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</si>
  <si>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</si>
  <si>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</si>
  <si>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</si>
  <si>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</si>
  <si>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</si>
  <si>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</si>
  <si>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</si>
  <si>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</si>
  <si>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</si>
  <si>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</si>
  <si>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</si>
  <si>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</si>
  <si>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</si>
  <si>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</si>
  <si>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</si>
  <si>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</si>
  <si>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</si>
  <si>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</si>
  <si>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</si>
  <si>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</si>
  <si>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</si>
  <si>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</si>
  <si>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</si>
  <si>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</si>
  <si>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</si>
  <si>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</si>
  <si>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</si>
  <si>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</si>
  <si>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</si>
  <si>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</si>
  <si>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</si>
  <si>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</si>
  <si>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</si>
  <si>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</si>
  <si>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</si>
  <si>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</si>
  <si>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</si>
  <si>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</si>
  <si>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</si>
  <si>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</si>
  <si>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</si>
  <si>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</si>
  <si>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</si>
  <si>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</si>
  <si>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</si>
  <si>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</si>
  <si>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</si>
  <si>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</si>
  <si>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</si>
  <si>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</si>
  <si>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</si>
  <si>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</si>
  <si>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</si>
  <si>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</si>
  <si>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</si>
  <si>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</si>
  <si>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</si>
  <si>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</si>
  <si>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</si>
  <si>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</si>
  <si>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</si>
  <si>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</si>
  <si>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</si>
  <si>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</si>
  <si>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</si>
  <si>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</si>
  <si>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</si>
  <si>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</si>
  <si>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</si>
  <si>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</si>
  <si>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</si>
  <si>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</si>
  <si>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</si>
  <si>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</si>
  <si>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</si>
  <si>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</si>
  <si>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</si>
  <si>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</si>
  <si>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</si>
  <si>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</si>
  <si>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</si>
  <si>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</si>
  <si>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</si>
  <si>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</si>
  <si>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</si>
  <si>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</si>
  <si>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</si>
  <si>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</si>
  <si>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</si>
  <si>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</si>
  <si>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</si>
  <si>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</si>
  <si>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</si>
  <si>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</si>
  <si>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</si>
  <si>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</si>
  <si>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</si>
  <si>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</si>
  <si>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</si>
  <si>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</si>
  <si>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</si>
  <si>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</si>
  <si>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</si>
  <si>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</si>
  <si>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</si>
  <si>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</si>
  <si>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</si>
  <si>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</si>
  <si>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</si>
  <si>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</si>
  <si>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</si>
  <si>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</si>
  <si>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</si>
  <si>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</si>
  <si>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</si>
  <si>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</si>
  <si>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</si>
  <si>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</si>
  <si>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</si>
  <si>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</si>
  <si>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</si>
  <si>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</si>
  <si>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</si>
  <si>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</si>
  <si>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</si>
  <si>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</si>
  <si>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</si>
  <si>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</si>
  <si>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</si>
  <si>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</si>
  <si>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</si>
  <si>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</si>
  <si>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</si>
  <si>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</si>
  <si>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</si>
  <si>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</si>
  <si>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</si>
  <si>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</si>
  <si>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</si>
  <si>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</si>
  <si>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</si>
  <si>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</si>
  <si>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</si>
  <si>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</si>
  <si>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</si>
  <si>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</si>
  <si>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</si>
  <si>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</si>
  <si>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</si>
  <si>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</si>
  <si>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</si>
  <si>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</si>
  <si>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</si>
  <si>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</si>
  <si>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</si>
  <si>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</si>
  <si>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</si>
  <si>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</si>
  <si>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</si>
  <si>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</si>
  <si>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</si>
  <si>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</si>
  <si>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</si>
  <si>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</si>
  <si>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</si>
  <si>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</si>
  <si>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</si>
  <si>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</si>
  <si>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</si>
  <si>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</si>
  <si>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</si>
  <si>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</si>
  <si>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</si>
  <si>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</si>
  <si>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</si>
  <si>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</si>
  <si>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</si>
  <si>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</si>
  <si>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</si>
  <si>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</si>
  <si>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</si>
  <si>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</si>
  <si>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</si>
  <si>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</si>
  <si>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</si>
  <si>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</si>
  <si>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</si>
  <si>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</si>
  <si>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</si>
  <si>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</si>
  <si>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</si>
  <si>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</si>
  <si>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</si>
  <si>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</si>
  <si>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</si>
  <si>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</si>
  <si>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</si>
  <si>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</si>
  <si>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</si>
  <si>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</si>
  <si>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</si>
  <si>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</si>
  <si>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</si>
  <si>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</si>
  <si>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</si>
  <si>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</si>
  <si>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</si>
  <si>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</si>
  <si>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</si>
  <si>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</si>
  <si>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</si>
  <si>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</si>
  <si>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</si>
  <si>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</si>
  <si>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</si>
  <si>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</si>
  <si>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</si>
  <si>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</si>
  <si>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</si>
  <si>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</si>
  <si>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</si>
  <si>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</si>
  <si>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</si>
  <si>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</si>
  <si>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</si>
  <si>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</si>
  <si>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</si>
  <si>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</si>
  <si>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</si>
  <si>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</si>
  <si>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</si>
  <si>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</si>
  <si>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</si>
  <si>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</si>
  <si>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</si>
  <si>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</si>
  <si>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</si>
  <si>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</si>
  <si>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</si>
  <si>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</si>
  <si>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</si>
  <si>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</si>
  <si>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</si>
  <si>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</si>
  <si>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</si>
  <si>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</si>
  <si>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</si>
  <si>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</si>
  <si>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</si>
  <si>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</si>
  <si>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</si>
  <si>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</si>
  <si>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</si>
  <si>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</si>
  <si>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</si>
  <si>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</si>
  <si>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</si>
  <si>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</si>
  <si>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</si>
  <si>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</si>
  <si>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</si>
  <si>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</si>
  <si>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</si>
  <si>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</si>
  <si>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</si>
  <si>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</si>
  <si>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</si>
  <si>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</si>
  <si>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</si>
  <si>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</si>
  <si>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</si>
  <si>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</si>
  <si>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</si>
  <si>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</si>
  <si>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</si>
  <si>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</si>
  <si>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</si>
  <si>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</si>
  <si>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</si>
  <si>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</si>
  <si>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</si>
  <si>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</si>
  <si>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</si>
  <si>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</si>
  <si>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</si>
  <si>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</si>
  <si>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</si>
  <si>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</si>
  <si>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</si>
  <si>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</si>
  <si>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</si>
  <si>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</si>
  <si>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</si>
  <si>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</si>
  <si>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</si>
  <si>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</si>
  <si>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</si>
  <si>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</si>
  <si>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</si>
  <si>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</si>
  <si>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</si>
  <si>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</si>
  <si>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</si>
  <si>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</si>
  <si>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</si>
  <si>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</si>
  <si>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</si>
  <si>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</si>
  <si>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</si>
  <si>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</si>
  <si>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</si>
  <si>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</si>
  <si>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</si>
  <si>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</si>
  <si>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</si>
  <si>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</si>
  <si>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</si>
  <si>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</si>
  <si>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</si>
  <si>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</si>
  <si>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</si>
  <si>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</si>
  <si>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</si>
  <si>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</si>
  <si>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</si>
  <si>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</si>
  <si>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</si>
  <si>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</si>
  <si>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</si>
  <si>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</si>
  <si>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</si>
  <si>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</si>
  <si>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</si>
  <si>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</si>
  <si>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</si>
  <si>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</si>
  <si>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</si>
  <si>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</si>
  <si>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</si>
  <si>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</si>
  <si>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</si>
  <si>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</si>
  <si>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</si>
  <si>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</si>
  <si>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</si>
  <si>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</si>
  <si>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</si>
  <si>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</si>
  <si>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</si>
  <si>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</si>
  <si>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</si>
  <si>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</si>
  <si>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</si>
  <si>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</si>
  <si>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</si>
  <si>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</si>
  <si>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</si>
  <si>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</si>
  <si>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</si>
  <si>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</si>
  <si>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</si>
  <si>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</si>
  <si>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</si>
  <si>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</si>
  <si>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</si>
  <si>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</si>
  <si>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</si>
  <si>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</si>
  <si>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</si>
  <si>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</si>
  <si>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</si>
  <si>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</si>
  <si>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</si>
  <si>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</si>
  <si>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</si>
  <si>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</si>
  <si>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</si>
  <si>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</si>
  <si>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</si>
  <si>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</si>
  <si>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</si>
  <si>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</si>
  <si>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</si>
  <si>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</si>
  <si>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</si>
  <si>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</si>
  <si>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</si>
  <si>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</si>
  <si>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</si>
  <si>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</si>
  <si>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</si>
  <si>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</si>
  <si>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</si>
  <si>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</si>
  <si>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</si>
  <si>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</si>
  <si>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</si>
  <si>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</si>
  <si>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</si>
  <si>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</si>
  <si>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</si>
  <si>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</si>
  <si>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</si>
  <si>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</si>
  <si>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</si>
  <si>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</si>
  <si>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</si>
  <si>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</si>
  <si>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</si>
  <si>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</si>
  <si>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</si>
  <si>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</si>
  <si>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</si>
  <si>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</si>
  <si>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</si>
  <si>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</si>
  <si>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</si>
  <si>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</si>
  <si>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</si>
  <si>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</si>
  <si>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</si>
  <si>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</si>
  <si>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</si>
  <si>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</si>
  <si>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</si>
  <si>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</si>
  <si>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</si>
  <si>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</si>
  <si>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</si>
  <si>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</si>
  <si>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</si>
  <si>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</si>
  <si>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</si>
  <si>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</si>
  <si>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</si>
  <si>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</si>
  <si>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</si>
  <si>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</si>
  <si>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</si>
  <si>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</si>
  <si>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</si>
  <si>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</si>
  <si>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</si>
  <si>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</si>
  <si>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</si>
  <si>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</si>
  <si>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</si>
  <si>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</si>
  <si>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</si>
  <si>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</si>
  <si>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</si>
  <si>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</si>
  <si>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</si>
  <si>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Ⅷ-昌1</t>
  </si>
  <si>
    <t>地上</t>
  </si>
  <si>
    <t>住宅</t>
    <phoneticPr fontId="8" type="noConversion"/>
  </si>
  <si>
    <t>工业用地</t>
  </si>
  <si>
    <t>自定义容积率</t>
  </si>
  <si>
    <t>通路</t>
  </si>
  <si>
    <t>通电</t>
  </si>
  <si>
    <t>通上水</t>
  </si>
  <si>
    <t>通下水</t>
  </si>
  <si>
    <t>平整</t>
  </si>
  <si>
    <t>按公示增长率计算</t>
  </si>
  <si>
    <t>容积率修正</t>
  </si>
  <si>
    <t>一般</t>
  </si>
  <si>
    <t>较好</t>
  </si>
  <si>
    <t>成本逼近法</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</si>
  <si>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</si>
  <si>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</si>
  <si>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</si>
  <si>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</si>
  <si>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</si>
  <si>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</si>
  <si>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</si>
  <si>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</si>
  <si>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</si>
  <si>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</si>
  <si>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</si>
  <si>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</si>
  <si>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</si>
  <si>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</si>
  <si>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</si>
  <si>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</si>
  <si>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</si>
  <si>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</si>
  <si>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</si>
  <si>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</si>
  <si>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</si>
  <si>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</si>
  <si>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</si>
  <si>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</si>
  <si>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</si>
  <si>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</si>
  <si>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</si>
  <si>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昌平、大兴、房山、顺义、怀柔近三年土地一级开发项目</t>
    <phoneticPr fontId="4" type="noConversion"/>
  </si>
  <si>
    <t>年度</t>
    <phoneticPr fontId="4" type="noConversion"/>
  </si>
  <si>
    <t>会期</t>
    <phoneticPr fontId="278"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</si>
  <si>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</si>
  <si>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</si>
  <si>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</si>
  <si>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</si>
  <si>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</si>
  <si>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</si>
  <si>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</si>
  <si>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</si>
  <si>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</si>
  <si>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</si>
  <si>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</si>
  <si>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</si>
  <si>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</si>
  <si>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</si>
  <si>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</si>
  <si>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</si>
  <si>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</si>
  <si>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</si>
  <si>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</si>
  <si>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</si>
  <si>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</si>
  <si>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</si>
  <si>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</si>
  <si>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</si>
  <si>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</si>
  <si>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</si>
  <si>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一级开发</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</si>
  <si>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</si>
  <si>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</si>
  <si>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</si>
  <si>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</si>
  <si>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</si>
  <si>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</si>
  <si>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</si>
  <si>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</si>
  <si>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</si>
  <si>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</si>
  <si>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</si>
  <si>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</si>
  <si>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</si>
  <si>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</si>
  <si>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</si>
  <si>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</si>
  <si>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</si>
  <si>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</si>
  <si>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</si>
  <si>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</si>
  <si>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</si>
  <si>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</si>
  <si>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</si>
  <si>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</si>
  <si>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</si>
  <si>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</si>
  <si>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8" type="noConversion"/>
  </si>
  <si>
    <t>8月</t>
    <phoneticPr fontId="4"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</si>
  <si>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</si>
  <si>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</si>
  <si>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</si>
  <si>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</si>
  <si>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</si>
  <si>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</si>
  <si>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</si>
  <si>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</si>
  <si>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</si>
  <si>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</si>
  <si>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</si>
  <si>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</si>
  <si>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7" type="noConversion"/>
  </si>
  <si>
    <t>第8期</t>
    <phoneticPr fontId="278"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</si>
  <si>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</si>
  <si>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</si>
  <si>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</si>
  <si>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</si>
  <si>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8"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</si>
  <si>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</si>
  <si>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</si>
  <si>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</si>
  <si>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</si>
  <si>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8"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</si>
  <si>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</si>
  <si>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</si>
  <si>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</si>
  <si>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</si>
  <si>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</si>
  <si>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</si>
  <si>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</si>
  <si>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大兴</t>
    <phoneticPr fontId="16" type="noConversion"/>
  </si>
  <si>
    <t>土地开发补偿费</t>
  </si>
  <si>
    <t>大兴</t>
    <phoneticPr fontId="16" type="noConversion"/>
  </si>
  <si>
    <t>与级别开发程度不一致</t>
  </si>
  <si>
    <t>估价对象</t>
  </si>
  <si>
    <t>项目</t>
    <phoneticPr fontId="278" type="noConversion"/>
  </si>
  <si>
    <r>
      <rPr>
        <sz val="10"/>
        <rFont val="仿宋_GB2312"/>
        <family val="3"/>
        <charset val="134"/>
      </rPr>
      <t>估价对象</t>
    </r>
  </si>
  <si>
    <r>
      <rPr>
        <sz val="10"/>
        <rFont val="仿宋_GB2312"/>
        <family val="3"/>
        <charset val="134"/>
      </rPr>
      <t>可比案例</t>
    </r>
    <r>
      <rPr>
        <sz val="10"/>
        <rFont val="Arial"/>
        <family val="2"/>
      </rPr>
      <t>1</t>
    </r>
    <phoneticPr fontId="278" type="noConversion"/>
  </si>
  <si>
    <r>
      <rPr>
        <sz val="10"/>
        <rFont val="仿宋_GB2312"/>
        <family val="3"/>
        <charset val="134"/>
      </rPr>
      <t>可比案例</t>
    </r>
    <r>
      <rPr>
        <sz val="10"/>
        <rFont val="Arial"/>
        <family val="2"/>
      </rPr>
      <t>2</t>
    </r>
    <phoneticPr fontId="278" type="noConversion"/>
  </si>
  <si>
    <r>
      <rPr>
        <sz val="10"/>
        <rFont val="仿宋_GB2312"/>
        <family val="3"/>
        <charset val="134"/>
      </rPr>
      <t>可比案例</t>
    </r>
    <r>
      <rPr>
        <sz val="10"/>
        <rFont val="Arial"/>
        <family val="2"/>
      </rPr>
      <t>3</t>
    </r>
    <phoneticPr fontId="278" type="noConversion"/>
  </si>
  <si>
    <r>
      <rPr>
        <sz val="10"/>
        <rFont val="仿宋_GB2312"/>
        <family val="3"/>
        <charset val="134"/>
      </rPr>
      <t>可比案例</t>
    </r>
    <r>
      <rPr>
        <sz val="10"/>
        <rFont val="Arial"/>
        <family val="2"/>
      </rPr>
      <t>4</t>
    </r>
    <phoneticPr fontId="278" type="noConversion"/>
  </si>
  <si>
    <r>
      <rPr>
        <sz val="10"/>
        <rFont val="仿宋_GB2312"/>
        <family val="3"/>
        <charset val="134"/>
      </rPr>
      <t>可比案例</t>
    </r>
    <r>
      <rPr>
        <sz val="10"/>
        <rFont val="Arial"/>
        <family val="2"/>
      </rPr>
      <t>5</t>
    </r>
    <phoneticPr fontId="278" type="noConversion"/>
  </si>
  <si>
    <t>项目名称</t>
    <phoneticPr fontId="278" type="noConversion"/>
  </si>
  <si>
    <t>审定时间季度</t>
    <phoneticPr fontId="4" type="noConversion"/>
  </si>
  <si>
    <t>期日修正系数</t>
    <phoneticPr fontId="4" type="noConversion"/>
  </si>
  <si>
    <t>平均租金（元/平方米·月）</t>
    <phoneticPr fontId="278" type="noConversion"/>
  </si>
  <si>
    <r>
      <rPr>
        <sz val="10"/>
        <rFont val="仿宋_GB2312"/>
        <family val="3"/>
        <charset val="134"/>
      </rPr>
      <t>待估</t>
    </r>
    <phoneticPr fontId="278" type="noConversion"/>
  </si>
  <si>
    <t>交易时间</t>
  </si>
  <si>
    <t>2018.12</t>
    <phoneticPr fontId="229" type="noConversion"/>
  </si>
  <si>
    <t>2017.1</t>
    <phoneticPr fontId="229" type="noConversion"/>
  </si>
  <si>
    <t>17.1</t>
    <phoneticPr fontId="229" type="noConversion"/>
  </si>
  <si>
    <t>交易情况</t>
    <phoneticPr fontId="229" type="noConversion"/>
  </si>
  <si>
    <r>
      <rPr>
        <sz val="10"/>
        <rFont val="仿宋_GB2312"/>
        <family val="3"/>
        <charset val="134"/>
      </rPr>
      <t>正常</t>
    </r>
  </si>
  <si>
    <t>2017.2</t>
    <phoneticPr fontId="229" type="noConversion"/>
  </si>
  <si>
    <t>17.2</t>
    <phoneticPr fontId="229" type="noConversion"/>
  </si>
  <si>
    <t>区域状况</t>
    <phoneticPr fontId="278" type="noConversion"/>
  </si>
  <si>
    <t>一般</t>
    <phoneticPr fontId="278" type="noConversion"/>
  </si>
  <si>
    <t>较好</t>
    <phoneticPr fontId="278" type="noConversion"/>
  </si>
  <si>
    <t>2017.3</t>
    <phoneticPr fontId="229" type="noConversion"/>
  </si>
  <si>
    <t>17.3</t>
    <phoneticPr fontId="229" type="noConversion"/>
  </si>
  <si>
    <t>产聚集度</t>
    <phoneticPr fontId="278" type="noConversion"/>
  </si>
  <si>
    <t>一般</t>
    <phoneticPr fontId="278" type="noConversion"/>
  </si>
  <si>
    <t>2018.4</t>
    <phoneticPr fontId="229" type="noConversion"/>
  </si>
  <si>
    <t>18.4</t>
    <phoneticPr fontId="229" type="noConversion"/>
  </si>
  <si>
    <t>区域位置</t>
    <phoneticPr fontId="278" type="noConversion"/>
  </si>
  <si>
    <t>六环外，距市区较远</t>
  </si>
  <si>
    <t>区域配套设施</t>
    <phoneticPr fontId="278" type="noConversion"/>
  </si>
  <si>
    <t>公用服务设施完善度一般，基本能满足需要</t>
    <phoneticPr fontId="278" type="noConversion"/>
  </si>
  <si>
    <t>公用服务设施较好，较能满足需要</t>
    <phoneticPr fontId="278" type="noConversion"/>
  </si>
  <si>
    <t>18.1</t>
    <phoneticPr fontId="229" type="noConversion"/>
  </si>
  <si>
    <t>区域位置</t>
    <phoneticPr fontId="278" type="noConversion"/>
  </si>
  <si>
    <t>六环外，距市区较远</t>
    <phoneticPr fontId="278" type="noConversion"/>
  </si>
  <si>
    <t>六环内</t>
    <phoneticPr fontId="278" type="noConversion"/>
  </si>
  <si>
    <t>六环外，距市区较近</t>
    <phoneticPr fontId="278" type="noConversion"/>
  </si>
  <si>
    <t>自然环境与景观</t>
    <phoneticPr fontId="278" type="noConversion"/>
  </si>
  <si>
    <t>较好</t>
    <phoneticPr fontId="278" type="noConversion"/>
  </si>
  <si>
    <t>实物状况</t>
    <phoneticPr fontId="229" type="noConversion"/>
  </si>
  <si>
    <t>临路状况</t>
    <phoneticPr fontId="278" type="noConversion"/>
  </si>
  <si>
    <t>城市主干道</t>
    <phoneticPr fontId="278" type="noConversion"/>
  </si>
  <si>
    <t>五通</t>
    <phoneticPr fontId="278" type="noConversion"/>
  </si>
  <si>
    <t>六通一平</t>
    <phoneticPr fontId="278" type="noConversion"/>
  </si>
  <si>
    <t>宗地形状</t>
    <phoneticPr fontId="278" type="noConversion"/>
  </si>
  <si>
    <t>规则</t>
    <phoneticPr fontId="278" type="noConversion"/>
  </si>
  <si>
    <t>宗地面积（公顷）</t>
    <phoneticPr fontId="278" type="noConversion"/>
  </si>
  <si>
    <t>宜居状况</t>
    <phoneticPr fontId="278" type="noConversion"/>
  </si>
  <si>
    <t>物业服务保障</t>
    <phoneticPr fontId="278" type="noConversion"/>
  </si>
  <si>
    <t>有专业物业公司，物业服务保障好</t>
    <phoneticPr fontId="278" type="noConversion"/>
  </si>
  <si>
    <t>管员人员配置</t>
    <phoneticPr fontId="278" type="noConversion"/>
  </si>
  <si>
    <r>
      <rPr>
        <sz val="10"/>
        <rFont val="仿宋_GB2312"/>
        <family val="3"/>
        <charset val="134"/>
      </rPr>
      <t>配备管理人员</t>
    </r>
    <phoneticPr fontId="278" type="noConversion"/>
  </si>
  <si>
    <t>出租稳定性</t>
    <phoneticPr fontId="278" type="noConversion"/>
  </si>
  <si>
    <t>出租稳定性好</t>
    <phoneticPr fontId="278" type="noConversion"/>
  </si>
  <si>
    <t>住户的构成</t>
    <phoneticPr fontId="278" type="noConversion"/>
  </si>
  <si>
    <t>出租房屋住户均有备案，居住安全性好</t>
    <phoneticPr fontId="278" type="noConversion"/>
  </si>
  <si>
    <t>出租房屋住户备案较少，居住安全性一般</t>
    <phoneticPr fontId="278" type="noConversion"/>
  </si>
  <si>
    <t>安全监控系统</t>
    <phoneticPr fontId="278" type="noConversion"/>
  </si>
  <si>
    <t>设有小区监控，门禁及呼叫系统</t>
    <phoneticPr fontId="278" type="noConversion"/>
  </si>
  <si>
    <t>设有小区监控，门禁及呼叫系统</t>
  </si>
  <si>
    <t>绿化环境</t>
    <phoneticPr fontId="278" type="noConversion"/>
  </si>
  <si>
    <t>绿化率约为30%，好</t>
    <phoneticPr fontId="278" type="noConversion"/>
  </si>
  <si>
    <t>配套设施</t>
    <phoneticPr fontId="278" type="noConversion"/>
  </si>
  <si>
    <t>配备活动站、医疗站</t>
    <phoneticPr fontId="278" type="noConversion"/>
  </si>
  <si>
    <t>配备活动站，无医疗站</t>
    <phoneticPr fontId="278" type="noConversion"/>
  </si>
  <si>
    <t>成交单价（元/平米）</t>
  </si>
  <si>
    <t>_____</t>
  </si>
  <si>
    <t>比较价值（元/平米）</t>
  </si>
  <si>
    <t>五通</t>
    <phoneticPr fontId="16" type="noConversion"/>
  </si>
  <si>
    <t>六通</t>
    <phoneticPr fontId="16" type="noConversion"/>
  </si>
  <si>
    <t>第12期</t>
  </si>
  <si>
    <t>12月</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</si>
  <si>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</si>
  <si>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</si>
  <si>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</si>
  <si>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</si>
  <si>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会期</t>
  </si>
  <si>
    <t>供地方式</t>
  </si>
  <si>
    <t>总用地面积（公顷）</t>
  </si>
  <si>
    <t>总单价（征地补偿及相关税费单价+拆迁补偿及相关税费单价）（元/平方米）</t>
  </si>
  <si>
    <t>征地补偿及相关税费单价（元/平方米）</t>
  </si>
  <si>
    <t>拆迁补偿及相关税费单价（元/平方米）</t>
  </si>
  <si>
    <t>昌平</t>
    <phoneticPr fontId="16" type="noConversion"/>
  </si>
  <si>
    <t>六通</t>
    <phoneticPr fontId="16" type="noConversion"/>
  </si>
  <si>
    <t>2018-12</t>
    <phoneticPr fontId="229" type="noConversion"/>
  </si>
  <si>
    <t>2018-8</t>
    <phoneticPr fontId="229" type="noConversion"/>
  </si>
  <si>
    <t>2018-8</t>
    <phoneticPr fontId="229" type="noConversion"/>
  </si>
  <si>
    <t>2017-3</t>
    <phoneticPr fontId="229" type="noConversion"/>
  </si>
  <si>
    <t>昌平区六环路土城出口土城新村改造
土地一级开发项目核A-04、A-05、A-07地块</t>
    <phoneticPr fontId="229" type="noConversion"/>
  </si>
  <si>
    <t>六环内</t>
    <phoneticPr fontId="229" type="noConversion"/>
  </si>
  <si>
    <t>六环内</t>
    <phoneticPr fontId="229" type="noConversion"/>
  </si>
  <si>
    <t>六环外，距市区较远</t>
    <phoneticPr fontId="278" type="noConversion"/>
  </si>
  <si>
    <t>一般</t>
    <phoneticPr fontId="278" type="noConversion"/>
  </si>
  <si>
    <t>六通</t>
    <phoneticPr fontId="278" type="noConversion"/>
  </si>
  <si>
    <t>五通</t>
    <phoneticPr fontId="278" type="noConversion"/>
  </si>
  <si>
    <t>三通</t>
    <phoneticPr fontId="278" type="noConversion"/>
  </si>
  <si>
    <t>宗地外开发程度</t>
    <phoneticPr fontId="278" type="noConversion"/>
  </si>
  <si>
    <t>50-100</t>
    <phoneticPr fontId="229" type="noConversion"/>
  </si>
  <si>
    <t>100-200</t>
    <phoneticPr fontId="229" type="noConversion"/>
  </si>
  <si>
    <t>城市支路</t>
    <phoneticPr fontId="278" type="noConversion"/>
  </si>
  <si>
    <t>一般</t>
    <phoneticPr fontId="278" type="noConversion"/>
  </si>
  <si>
    <t>大兴区黄村镇三合庄改造区土地一级开发项目DX00-0202-6008、6009
地块</t>
    <phoneticPr fontId="229" type="noConversion"/>
  </si>
  <si>
    <t>大兴区瀛海镇西区C1-C5土地一级开发项目YZ00-0803-6024、6025、6027、6028等地块</t>
    <phoneticPr fontId="229" type="noConversion"/>
  </si>
  <si>
    <t xml:space="preserve">顺义区后沙峪镇马头庄村土地一级开发项目A地块中SY00-0019-6001等地块 </t>
    <phoneticPr fontId="4" type="noConversion"/>
  </si>
  <si>
    <t>公用服务设施一般，基本能满足需要</t>
    <phoneticPr fontId="278" type="noConversion"/>
  </si>
  <si>
    <t>通讯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</si>
</sst>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10.5"/>
      <name val="宋体"/>
      <family val="3"/>
      <charset val="134"/>
    </font>
    <font>
      <u/>
      <sz val="12"/>
      <color indexed="12"/>
      <name val="宋体"/>
      <family val="3"/>
      <charset val="134"/>
    </font>
    <font>
      <sz val="11"/>
      <color indexed="42"/>
      <name val="宋体"/>
      <family val="3"/>
      <charset val="134"/>
    </font>
    <font>
      <sz val="11"/>
      <color indexed="62"/>
      <name val="宋体"/>
      <family val="3"/>
      <charset val="134"/>
    </font>
    <font>
      <b/>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257" fillId="0" borderId="0"/>
    <xf numFmtId="0" fontId="1" fillId="0" borderId="0">
      <alignment vertical="center"/>
    </xf>
    <xf numFmtId="0" fontId="1"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9" fillId="0" borderId="0" applyNumberFormat="0" applyFill="0" applyBorder="0" applyAlignment="0" applyProtection="0">
      <alignment vertical="top"/>
      <protection locked="0"/>
    </xf>
    <xf numFmtId="0" fontId="290" fillId="17" borderId="0" applyNumberFormat="0" applyBorder="0" applyProtection="0">
      <alignment vertical="center"/>
    </xf>
    <xf numFmtId="0" fontId="290" fillId="18" borderId="0" applyNumberFormat="0" applyBorder="0" applyProtection="0">
      <alignment vertical="center"/>
    </xf>
    <xf numFmtId="0" fontId="290" fillId="19" borderId="0" applyNumberFormat="0" applyBorder="0" applyAlignment="0" applyProtection="0">
      <alignment vertical="center"/>
    </xf>
    <xf numFmtId="0" fontId="291" fillId="20" borderId="154" applyNumberFormat="0" applyProtection="0">
      <alignment vertical="center"/>
    </xf>
    <xf numFmtId="0" fontId="146" fillId="0" borderId="0">
      <alignment vertical="center"/>
    </xf>
  </cellStyleXfs>
  <cellXfs count="360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275" fillId="6" borderId="2" xfId="16" applyFont="1" applyFill="1" applyBorder="1" applyAlignment="1">
      <alignment horizontal="center" vertical="center" wrapText="1" readingOrder="1"/>
    </xf>
    <xf numFmtId="185" fontId="128" fillId="9" borderId="2" xfId="17" applyNumberFormat="1" applyFont="1" applyFill="1" applyBorder="1" applyAlignment="1">
      <alignment horizontal="center" vertical="center" wrapText="1"/>
    </xf>
    <xf numFmtId="49" fontId="83" fillId="9" borderId="2" xfId="17" applyNumberFormat="1" applyFont="1" applyFill="1" applyBorder="1" applyAlignment="1">
      <alignment horizontal="center" vertical="center"/>
    </xf>
    <xf numFmtId="177" fontId="128" fillId="9" borderId="2" xfId="17" applyNumberFormat="1" applyFont="1" applyFill="1" applyBorder="1" applyAlignment="1">
      <alignment horizontal="center" vertical="center" wrapText="1"/>
    </xf>
    <xf numFmtId="177" fontId="83" fillId="9" borderId="2" xfId="17" applyNumberFormat="1" applyFont="1" applyFill="1" applyBorder="1" applyAlignment="1">
      <alignment horizontal="center" vertical="center" wrapText="1"/>
    </xf>
    <xf numFmtId="0" fontId="0" fillId="9" borderId="0" xfId="0" applyFill="1">
      <alignment vertical="center"/>
    </xf>
    <xf numFmtId="177" fontId="0" fillId="0" borderId="0" xfId="0" applyNumberFormat="1">
      <alignment vertical="center"/>
    </xf>
    <xf numFmtId="0" fontId="277" fillId="0" borderId="19" xfId="16" applyFont="1" applyFill="1" applyBorder="1" applyAlignment="1">
      <alignment horizontal="center" vertical="center" wrapText="1"/>
    </xf>
    <xf numFmtId="0" fontId="278" fillId="0" borderId="0" xfId="0" applyFont="1" applyFill="1" applyBorder="1">
      <alignment vertical="center"/>
    </xf>
    <xf numFmtId="0" fontId="279" fillId="0" borderId="2" xfId="16" applyFont="1" applyFill="1" applyBorder="1" applyAlignment="1">
      <alignment horizontal="center" vertical="center" wrapText="1"/>
    </xf>
    <xf numFmtId="195" fontId="279" fillId="0" borderId="2" xfId="16" applyNumberFormat="1" applyFont="1" applyFill="1" applyBorder="1" applyAlignment="1">
      <alignment horizontal="center" vertical="center" wrapText="1"/>
    </xf>
    <xf numFmtId="0" fontId="280" fillId="0" borderId="2" xfId="0" applyFont="1" applyFill="1" applyBorder="1" applyAlignment="1">
      <alignment horizontal="center" vertical="center" wrapText="1"/>
    </xf>
    <xf numFmtId="0" fontId="280" fillId="0" borderId="2" xfId="0" applyFont="1" applyFill="1" applyBorder="1" applyAlignment="1">
      <alignment horizontal="center" vertical="center"/>
    </xf>
    <xf numFmtId="0" fontId="279" fillId="0" borderId="2" xfId="16" applyFont="1" applyFill="1" applyBorder="1" applyAlignment="1">
      <alignment horizontal="center" vertical="center"/>
    </xf>
    <xf numFmtId="195" fontId="279" fillId="0" borderId="2" xfId="16" applyNumberFormat="1" applyFont="1" applyFill="1" applyBorder="1" applyAlignment="1">
      <alignment horizontal="center" vertical="center"/>
    </xf>
    <xf numFmtId="0" fontId="278" fillId="0" borderId="0" xfId="0" applyFont="1" applyFill="1" applyBorder="1" applyAlignment="1">
      <alignment vertical="center"/>
    </xf>
    <xf numFmtId="0" fontId="281" fillId="0" borderId="2" xfId="0" applyFont="1" applyFill="1" applyBorder="1" applyAlignment="1">
      <alignment horizontal="center" vertical="center"/>
    </xf>
    <xf numFmtId="0" fontId="282" fillId="0" borderId="2" xfId="0" applyNumberFormat="1" applyFont="1" applyFill="1" applyBorder="1" applyAlignment="1">
      <alignment horizontal="center" vertical="center" wrapText="1"/>
    </xf>
    <xf numFmtId="177" fontId="2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77" fontId="283" fillId="0" borderId="2" xfId="0" applyNumberFormat="1" applyFont="1" applyBorder="1" applyAlignment="1">
      <alignment horizontal="center" vertical="center" wrapText="1"/>
    </xf>
    <xf numFmtId="177" fontId="282" fillId="0" borderId="2" xfId="0" applyNumberFormat="1" applyFont="1" applyFill="1" applyBorder="1" applyAlignment="1">
      <alignment horizontal="center" vertical="center" wrapText="1"/>
    </xf>
    <xf numFmtId="177" fontId="281" fillId="0" borderId="0" xfId="0" applyNumberFormat="1" applyFont="1" applyFill="1" applyBorder="1">
      <alignment vertical="center"/>
    </xf>
    <xf numFmtId="0" fontId="281" fillId="0" borderId="0" xfId="0" applyFont="1" applyFill="1" applyBorder="1">
      <alignment vertical="center"/>
    </xf>
    <xf numFmtId="0" fontId="0" fillId="0" borderId="0" xfId="0" applyFill="1">
      <alignment vertical="center"/>
    </xf>
    <xf numFmtId="185" fontId="2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center" vertical="center" wrapText="1"/>
    </xf>
    <xf numFmtId="0" fontId="135" fillId="0" borderId="0" xfId="0" applyFont="1" applyFill="1" applyBorder="1" applyAlignment="1">
      <alignment horizontal="center" vertical="center"/>
    </xf>
    <xf numFmtId="177" fontId="282" fillId="0" borderId="2" xfId="0" applyNumberFormat="1" applyFont="1" applyBorder="1" applyAlignment="1">
      <alignment horizontal="center" vertical="center" wrapText="1"/>
    </xf>
    <xf numFmtId="0" fontId="281" fillId="0" borderId="2" xfId="0" applyFont="1" applyFill="1" applyBorder="1" applyAlignment="1">
      <alignment horizontal="center" vertical="center" wrapText="1"/>
    </xf>
    <xf numFmtId="177" fontId="283" fillId="0" borderId="0" xfId="0" applyNumberFormat="1" applyFont="1" applyFill="1" applyBorder="1" applyAlignment="1">
      <alignment horizontal="center" vertical="center"/>
    </xf>
    <xf numFmtId="177" fontId="165" fillId="0" borderId="2" xfId="0" applyNumberFormat="1" applyFont="1" applyFill="1" applyBorder="1" applyAlignment="1">
      <alignment horizontal="center" vertical="center" wrapText="1"/>
    </xf>
    <xf numFmtId="0" fontId="284" fillId="0" borderId="2" xfId="0" applyFont="1" applyFill="1" applyBorder="1" applyAlignment="1">
      <alignment horizontal="center" vertical="center"/>
    </xf>
    <xf numFmtId="185" fontId="165" fillId="0" borderId="2" xfId="0" applyNumberFormat="1" applyFont="1" applyFill="1" applyBorder="1" applyAlignment="1">
      <alignment horizontal="center" vertical="center" wrapText="1"/>
    </xf>
    <xf numFmtId="195" fontId="283" fillId="0" borderId="2" xfId="16" applyNumberFormat="1" applyFont="1" applyFill="1" applyBorder="1" applyAlignment="1">
      <alignment horizontal="center" vertical="center" wrapText="1"/>
    </xf>
    <xf numFmtId="177" fontId="283" fillId="0" borderId="2" xfId="0" applyNumberFormat="1" applyFont="1" applyFill="1" applyBorder="1" applyAlignment="1">
      <alignment horizontal="left" vertical="center" wrapText="1"/>
    </xf>
    <xf numFmtId="0" fontId="283" fillId="0" borderId="2" xfId="16" applyFont="1" applyFill="1" applyBorder="1" applyAlignment="1">
      <alignment horizontal="center" vertical="center" wrapText="1"/>
    </xf>
    <xf numFmtId="0" fontId="165" fillId="0" borderId="0" xfId="0" applyFont="1" applyFill="1" applyBorder="1" applyAlignment="1">
      <alignment horizontal="center" vertical="center"/>
    </xf>
    <xf numFmtId="0" fontId="128" fillId="0" borderId="2" xfId="0" applyFont="1" applyFill="1" applyBorder="1" applyAlignment="1">
      <alignment horizontal="center" vertical="center" wrapText="1"/>
    </xf>
    <xf numFmtId="177" fontId="285" fillId="0" borderId="2" xfId="0" applyNumberFormat="1" applyFont="1" applyFill="1" applyBorder="1" applyAlignment="1">
      <alignment horizontal="center" vertical="center"/>
    </xf>
    <xf numFmtId="177" fontId="285" fillId="0" borderId="0" xfId="0" applyNumberFormat="1" applyFont="1" applyFill="1" applyBorder="1" applyAlignment="1">
      <alignment vertical="center"/>
    </xf>
    <xf numFmtId="177" fontId="83" fillId="0" borderId="2" xfId="0" applyNumberFormat="1" applyFont="1" applyBorder="1" applyAlignment="1">
      <alignment horizontal="center" vertical="center" wrapText="1"/>
    </xf>
    <xf numFmtId="177" fontId="83" fillId="0" borderId="2" xfId="0" applyNumberFormat="1" applyFont="1" applyBorder="1" applyAlignment="1">
      <alignment horizontal="left" vertical="center" wrapText="1"/>
    </xf>
    <xf numFmtId="0" fontId="83" fillId="0" borderId="2" xfId="16"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0" fontId="83" fillId="0" borderId="10" xfId="16" applyFont="1" applyFill="1" applyBorder="1" applyAlignment="1">
      <alignment horizontal="center" vertical="center" wrapText="1"/>
    </xf>
    <xf numFmtId="195" fontId="83" fillId="0" borderId="2" xfId="16" applyNumberFormat="1" applyFont="1" applyFill="1" applyBorder="1" applyAlignment="1">
      <alignment horizontal="center" vertical="center" wrapText="1"/>
    </xf>
    <xf numFmtId="0" fontId="284" fillId="0" borderId="0" xfId="0" applyFont="1" applyFill="1" applyBorder="1">
      <alignment vertical="center"/>
    </xf>
    <xf numFmtId="0" fontId="128" fillId="6" borderId="2" xfId="0" applyFont="1" applyFill="1" applyBorder="1" applyAlignment="1">
      <alignment horizontal="center" vertical="center" wrapText="1"/>
    </xf>
    <xf numFmtId="185" fontId="283" fillId="6" borderId="2" xfId="0" applyNumberFormat="1" applyFont="1" applyFill="1" applyBorder="1" applyAlignment="1">
      <alignment horizontal="center" vertical="center" wrapText="1"/>
    </xf>
    <xf numFmtId="0" fontId="83" fillId="6" borderId="2" xfId="16" applyFont="1" applyFill="1" applyBorder="1" applyAlignment="1">
      <alignment horizontal="center" vertical="center" wrapText="1"/>
    </xf>
    <xf numFmtId="177" fontId="282" fillId="6" borderId="2" xfId="0" applyNumberFormat="1" applyFont="1" applyFill="1" applyBorder="1" applyAlignment="1">
      <alignment horizontal="center" vertical="center" wrapText="1"/>
    </xf>
    <xf numFmtId="177" fontId="281" fillId="6" borderId="0" xfId="0" applyNumberFormat="1" applyFont="1" applyFill="1" applyBorder="1">
      <alignment vertical="center"/>
    </xf>
    <xf numFmtId="0" fontId="281" fillId="6" borderId="0" xfId="0" applyFont="1" applyFill="1" applyBorder="1">
      <alignment vertical="center"/>
    </xf>
    <xf numFmtId="177" fontId="285" fillId="6" borderId="0" xfId="0" applyNumberFormat="1" applyFont="1" applyFill="1" applyBorder="1" applyAlignment="1">
      <alignment vertical="center"/>
    </xf>
    <xf numFmtId="0" fontId="0" fillId="6" borderId="0" xfId="0" applyFill="1">
      <alignment vertical="center"/>
    </xf>
    <xf numFmtId="0" fontId="284" fillId="6" borderId="2" xfId="0" applyFont="1" applyFill="1" applyBorder="1" applyAlignment="1">
      <alignment horizontal="center" vertical="center"/>
    </xf>
    <xf numFmtId="195" fontId="83" fillId="6" borderId="2" xfId="16" applyNumberFormat="1" applyFont="1" applyFill="1" applyBorder="1" applyAlignment="1">
      <alignment horizontal="center" vertical="center" wrapText="1"/>
    </xf>
    <xf numFmtId="180" fontId="96" fillId="8" borderId="0" xfId="0" applyNumberFormat="1" applyFont="1" applyFill="1" applyAlignment="1" applyProtection="1">
      <alignment vertical="center"/>
      <protection locked="0"/>
    </xf>
    <xf numFmtId="0" fontId="33" fillId="8" borderId="0" xfId="0" applyFont="1" applyFill="1" applyAlignment="1" applyProtection="1">
      <alignment vertical="center"/>
      <protection locked="0"/>
    </xf>
    <xf numFmtId="0" fontId="222" fillId="8" borderId="0" xfId="0" applyFont="1" applyFill="1" applyAlignment="1" applyProtection="1">
      <alignment vertical="center"/>
      <protection locked="0"/>
    </xf>
    <xf numFmtId="0" fontId="281" fillId="6" borderId="2" xfId="0" applyFont="1" applyFill="1" applyBorder="1" applyAlignment="1">
      <alignment horizontal="center" vertical="center"/>
    </xf>
    <xf numFmtId="0" fontId="282" fillId="6" borderId="2" xfId="0" applyNumberFormat="1" applyFont="1" applyFill="1" applyBorder="1" applyAlignment="1">
      <alignment horizontal="center" vertical="center" wrapText="1"/>
    </xf>
    <xf numFmtId="177" fontId="283" fillId="6" borderId="2" xfId="0" applyNumberFormat="1" applyFont="1" applyFill="1" applyBorder="1" applyAlignment="1">
      <alignment horizontal="center" vertical="center" wrapText="1"/>
    </xf>
    <xf numFmtId="177" fontId="83" fillId="6" borderId="2" xfId="0" applyNumberFormat="1" applyFont="1" applyFill="1" applyBorder="1" applyAlignment="1">
      <alignment horizontal="left" vertical="center" wrapText="1"/>
    </xf>
    <xf numFmtId="0" fontId="284" fillId="6" borderId="10" xfId="0" applyFont="1" applyFill="1" applyBorder="1" applyAlignment="1">
      <alignment horizontal="center" vertical="center"/>
    </xf>
    <xf numFmtId="177" fontId="285" fillId="6" borderId="2" xfId="0" applyNumberFormat="1" applyFont="1" applyFill="1" applyBorder="1" applyAlignment="1">
      <alignment horizontal="center" vertical="center"/>
    </xf>
    <xf numFmtId="177" fontId="83" fillId="6" borderId="2" xfId="0" applyNumberFormat="1" applyFont="1" applyFill="1" applyBorder="1" applyAlignment="1">
      <alignment horizontal="center" vertical="center" wrapText="1"/>
    </xf>
    <xf numFmtId="0" fontId="146" fillId="0" borderId="0" xfId="1">
      <alignment vertical="center"/>
    </xf>
    <xf numFmtId="0" fontId="288" fillId="0" borderId="0" xfId="1" applyFont="1" applyFill="1" applyBorder="1" applyAlignment="1">
      <alignment horizontal="center"/>
    </xf>
    <xf numFmtId="0" fontId="107" fillId="8" borderId="0" xfId="1" applyFont="1" applyFill="1" applyAlignment="1" applyProtection="1">
      <alignment vertical="center"/>
      <protection locked="0"/>
    </xf>
    <xf numFmtId="49" fontId="107" fillId="8" borderId="0" xfId="1" applyNumberFormat="1" applyFont="1" applyFill="1" applyAlignment="1" applyProtection="1">
      <alignment vertical="center"/>
      <protection locked="0"/>
    </xf>
    <xf numFmtId="10" fontId="107" fillId="8" borderId="0" xfId="1" applyNumberFormat="1" applyFont="1" applyFill="1" applyAlignment="1" applyProtection="1">
      <alignment vertical="center"/>
      <protection locked="0"/>
    </xf>
    <xf numFmtId="0" fontId="33" fillId="8" borderId="0" xfId="1" applyFont="1" applyFill="1" applyAlignment="1" applyProtection="1">
      <alignment vertical="center"/>
      <protection locked="0"/>
    </xf>
    <xf numFmtId="14" fontId="96" fillId="8" borderId="0" xfId="1" applyNumberFormat="1" applyFont="1" applyFill="1" applyAlignment="1" applyProtection="1">
      <alignment vertical="center"/>
      <protection locked="0"/>
    </xf>
    <xf numFmtId="0" fontId="96" fillId="8" borderId="0" xfId="1" applyFont="1" applyFill="1" applyAlignment="1" applyProtection="1">
      <alignment vertical="center"/>
      <protection locked="0"/>
    </xf>
    <xf numFmtId="196" fontId="96" fillId="8" borderId="0" xfId="1" applyNumberFormat="1" applyFont="1" applyFill="1" applyAlignment="1" applyProtection="1">
      <alignment vertical="center"/>
      <protection locked="0"/>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49" fontId="87" fillId="0" borderId="2" xfId="4" applyNumberFormat="1" applyFont="1" applyFill="1" applyBorder="1" applyAlignment="1">
      <alignment horizontal="center" vertical="center" wrapText="1"/>
    </xf>
    <xf numFmtId="49" fontId="96" fillId="8" borderId="0" xfId="1" applyNumberFormat="1" applyFont="1" applyFill="1" applyAlignment="1" applyProtection="1">
      <alignment vertical="center"/>
      <protection locked="0"/>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10" fontId="96" fillId="8" borderId="0" xfId="1" applyNumberFormat="1" applyFont="1" applyFill="1" applyAlignment="1" applyProtection="1">
      <alignment vertical="center"/>
      <protection locked="0"/>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182" fontId="87" fillId="0" borderId="2" xfId="4" applyNumberFormat="1" applyFont="1" applyFill="1" applyBorder="1" applyAlignment="1">
      <alignment horizontal="center" vertical="center" wrapText="1"/>
    </xf>
    <xf numFmtId="0" fontId="87" fillId="9" borderId="2" xfId="4" applyFont="1" applyFill="1" applyBorder="1" applyAlignment="1">
      <alignment horizontal="center" vertical="center" wrapText="1"/>
    </xf>
    <xf numFmtId="197" fontId="146" fillId="0" borderId="0" xfId="1" applyNumberFormat="1">
      <alignment vertical="center"/>
    </xf>
    <xf numFmtId="185" fontId="283" fillId="6" borderId="2" xfId="1" applyNumberFormat="1" applyFont="1" applyFill="1" applyBorder="1" applyAlignment="1">
      <alignment horizontal="center" vertical="center" wrapText="1"/>
    </xf>
    <xf numFmtId="0" fontId="128" fillId="6" borderId="2" xfId="1" applyFont="1" applyFill="1" applyBorder="1" applyAlignment="1">
      <alignment horizontal="center" vertical="center" wrapText="1"/>
    </xf>
    <xf numFmtId="0" fontId="280" fillId="0" borderId="2" xfId="1" applyFont="1" applyFill="1" applyBorder="1" applyAlignment="1">
      <alignment horizontal="center" vertical="center" wrapText="1"/>
    </xf>
    <xf numFmtId="0" fontId="201" fillId="6" borderId="2" xfId="1" applyFont="1" applyFill="1" applyBorder="1" applyAlignment="1">
      <alignment horizontal="center" vertical="center"/>
    </xf>
    <xf numFmtId="0" fontId="146" fillId="0" borderId="0" xfId="1">
      <alignment vertical="center"/>
    </xf>
    <xf numFmtId="0" fontId="260" fillId="6" borderId="2" xfId="1" applyFont="1" applyFill="1" applyBorder="1" applyAlignment="1">
      <alignment horizontal="center" vertical="center"/>
    </xf>
    <xf numFmtId="0" fontId="292" fillId="6" borderId="2" xfId="1" applyFont="1" applyFill="1" applyBorder="1" applyAlignment="1">
      <alignment horizontal="center" vertical="center"/>
    </xf>
    <xf numFmtId="0" fontId="282" fillId="6" borderId="2" xfId="1" applyFont="1" applyFill="1" applyBorder="1" applyAlignment="1">
      <alignment horizontal="center" vertical="center"/>
    </xf>
    <xf numFmtId="0" fontId="170" fillId="6" borderId="0" xfId="0" applyFont="1" applyFill="1" applyBorder="1">
      <alignment vertical="center"/>
    </xf>
    <xf numFmtId="0" fontId="170" fillId="0" borderId="0" xfId="0" applyFont="1" applyFill="1" applyBorder="1">
      <alignment vertical="center"/>
    </xf>
    <xf numFmtId="0" fontId="41" fillId="6" borderId="2" xfId="4" applyFont="1" applyFill="1" applyBorder="1" applyAlignment="1">
      <alignment vertical="center" wrapText="1"/>
    </xf>
    <xf numFmtId="0" fontId="41" fillId="6" borderId="2" xfId="4" applyFont="1" applyFill="1" applyBorder="1" applyAlignment="1">
      <alignment horizontal="center" vertical="center" wrapText="1"/>
    </xf>
    <xf numFmtId="4" fontId="146" fillId="0" borderId="0" xfId="1" applyNumberFormat="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5" fillId="6" borderId="10" xfId="16" applyFont="1" applyFill="1" applyBorder="1" applyAlignment="1">
      <alignment horizontal="center" vertical="center" wrapText="1" readingOrder="1"/>
    </xf>
    <xf numFmtId="0" fontId="275" fillId="6" borderId="21" xfId="16" applyFont="1" applyFill="1" applyBorder="1" applyAlignment="1">
      <alignment horizontal="center" vertical="center" wrapText="1" readingOrder="1"/>
    </xf>
    <xf numFmtId="0" fontId="275" fillId="6" borderId="2" xfId="16" applyFont="1" applyFill="1" applyBorder="1" applyAlignment="1">
      <alignment horizontal="center" vertical="center" wrapText="1" readingOrder="1"/>
    </xf>
    <xf numFmtId="0" fontId="277" fillId="0" borderId="17" xfId="16" applyFont="1" applyFill="1" applyBorder="1" applyAlignment="1">
      <alignment horizontal="center" vertical="center" wrapText="1"/>
    </xf>
    <xf numFmtId="0" fontId="277" fillId="0" borderId="19" xfId="16" applyFont="1" applyFill="1" applyBorder="1" applyAlignment="1">
      <alignment horizontal="center" vertical="center" wrapText="1"/>
    </xf>
    <xf numFmtId="0" fontId="257" fillId="6" borderId="21" xfId="17" applyFill="1" applyBorder="1" applyAlignment="1">
      <alignment horizontal="center" vertical="center"/>
    </xf>
    <xf numFmtId="0" fontId="288" fillId="0" borderId="0" xfId="1" applyFont="1" applyFill="1" applyBorder="1" applyAlignment="1">
      <alignment horizontal="center"/>
    </xf>
    <xf numFmtId="0" fontId="41" fillId="0" borderId="2" xfId="4" applyFont="1" applyFill="1" applyBorder="1" applyAlignment="1">
      <alignment vertical="center" wrapText="1"/>
    </xf>
    <xf numFmtId="0" fontId="87" fillId="0" borderId="2" xfId="4"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161" fillId="0" borderId="32" xfId="1" applyFont="1" applyBorder="1" applyAlignment="1">
      <alignment horizontal="center" vertical="center"/>
    </xf>
    <xf numFmtId="0" fontId="161" fillId="0" borderId="18" xfId="1" applyFont="1" applyBorder="1" applyAlignment="1">
      <alignment horizontal="center" vertical="center"/>
    </xf>
    <xf numFmtId="0" fontId="161" fillId="0" borderId="20" xfId="1" applyFont="1" applyBorder="1" applyAlignment="1">
      <alignment horizontal="center" vertical="center"/>
    </xf>
    <xf numFmtId="0" fontId="161" fillId="0" borderId="10" xfId="1" applyFont="1" applyBorder="1" applyAlignment="1">
      <alignment horizontal="center" vertical="center"/>
    </xf>
    <xf numFmtId="0" fontId="161" fillId="0" borderId="3" xfId="1" applyFont="1" applyBorder="1" applyAlignment="1">
      <alignment horizontal="center" vertical="center"/>
    </xf>
    <xf numFmtId="0" fontId="161" fillId="0" borderId="21" xfId="1" applyFont="1" applyBorder="1" applyAlignment="1">
      <alignment horizontal="center" vertical="center"/>
    </xf>
    <xf numFmtId="0" fontId="128" fillId="0" borderId="0" xfId="4" applyFont="1" applyFill="1" applyBorder="1" applyAlignment="1">
      <alignment horizontal="left"/>
    </xf>
    <xf numFmtId="4" fontId="87" fillId="0" borderId="2" xfId="4" applyNumberFormat="1" applyFont="1" applyFill="1" applyBorder="1" applyAlignment="1">
      <alignment horizontal="center" vertical="center" wrapText="1"/>
    </xf>
    <xf numFmtId="0" fontId="41" fillId="21" borderId="6" xfId="3" applyFont="1" applyFill="1" applyBorder="1" applyAlignment="1" applyProtection="1">
      <alignment horizontal="center" vertical="center" wrapText="1"/>
      <protection locked="0"/>
    </xf>
  </cellXfs>
  <cellStyles count="30">
    <cellStyle name="百分比 2" xfId="11"/>
    <cellStyle name="常规" xfId="0" builtinId="0"/>
    <cellStyle name="常规 10" xfId="18"/>
    <cellStyle name="常规 11" xfId="19"/>
    <cellStyle name="常规 12" xfId="17"/>
    <cellStyle name="常规 16" xfId="1"/>
    <cellStyle name="常规 2" xfId="2"/>
    <cellStyle name="常规 2 2" xfId="3"/>
    <cellStyle name="常规 2 2 2" xfId="16"/>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常规 9 3" xfId="29"/>
    <cellStyle name="超链接 2" xfId="24"/>
    <cellStyle name="强调文字颜色 2 2 2_Sheet1_2_Sheet1_1" xfId="25"/>
    <cellStyle name="强调文字颜色 5 2 2" xfId="26"/>
    <cellStyle name="强调文字颜色 6 2 2" xfId="27"/>
    <cellStyle name="输入 2 2_Sheet1_5" xfId="2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351524</xdr:colOff>
      <xdr:row>16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09524" cy="2838450"/>
        </a:xfrm>
        <a:prstGeom prst="rect">
          <a:avLst/>
        </a:prstGeom>
      </xdr:spPr>
    </xdr:pic>
    <xdr:clientData/>
  </xdr:twoCellAnchor>
  <xdr:twoCellAnchor editAs="oneCell">
    <xdr:from>
      <xdr:col>0</xdr:col>
      <xdr:colOff>0</xdr:colOff>
      <xdr:row>17</xdr:row>
      <xdr:rowOff>0</xdr:rowOff>
    </xdr:from>
    <xdr:to>
      <xdr:col>13</xdr:col>
      <xdr:colOff>84601</xdr:colOff>
      <xdr:row>46</xdr:row>
      <xdr:rowOff>132712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000001" cy="5104762"/>
        </a:xfrm>
        <a:prstGeom prst="rect">
          <a:avLst/>
        </a:prstGeom>
      </xdr:spPr>
    </xdr:pic>
    <xdr:clientData/>
  </xdr:twoCellAnchor>
  <xdr:twoCellAnchor editAs="oneCell">
    <xdr:from>
      <xdr:col>11</xdr:col>
      <xdr:colOff>438150</xdr:colOff>
      <xdr:row>0</xdr:row>
      <xdr:rowOff>0</xdr:rowOff>
    </xdr:from>
    <xdr:to>
      <xdr:col>17</xdr:col>
      <xdr:colOff>266016</xdr:colOff>
      <xdr:row>25</xdr:row>
      <xdr:rowOff>81538</xdr:rowOff>
    </xdr:to>
    <xdr:pic>
      <xdr:nvPicPr>
        <xdr:cNvPr id="4" name="图片 3"/>
        <xdr:cNvPicPr>
          <a:picLocks noChangeAspect="1"/>
        </xdr:cNvPicPr>
      </xdr:nvPicPr>
      <xdr:blipFill>
        <a:blip xmlns:r="http://schemas.openxmlformats.org/officeDocument/2006/relationships" r:embed="rId3"/>
        <a:stretch>
          <a:fillRect/>
        </a:stretch>
      </xdr:blipFill>
      <xdr:spPr>
        <a:xfrm>
          <a:off x="7981950" y="0"/>
          <a:ext cx="3942666" cy="43677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861;&#38498;/2019-1-0288&#21271;&#20140;&#24066;&#24576;&#26580;&#21306;&#27827;&#38450;&#21475;&#26449;&#21335;&#65288;&#20852;&#21457;&#27700;&#27877;&#21378;&#65289;/&#25105;/&#27979;&#31639;&#8212;&#8212;&#27719;&#24635;-&#2647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row r="6">
          <cell r="Q6">
            <v>1.29E-2</v>
          </cell>
        </row>
        <row r="11">
          <cell r="Q11">
            <v>1.72E-2</v>
          </cell>
        </row>
        <row r="12">
          <cell r="Q12">
            <v>1.6799999999999999E-2</v>
          </cell>
        </row>
        <row r="13">
          <cell r="Q13">
            <v>1.5800000000000002E-2</v>
          </cell>
        </row>
      </sheetData>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245539.3平方米。根据《建设工程规划许可证》[]、《出让合同》[]，估价对象规划建筑面积为245539.3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2019年7月8日（评估专业人员勘察现场之日）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根据《国有土地使用证》[]，估价对象（分摊）出让国有建设用地使用权面积为245539.3平方米。根据《建设工程规划许可证》[]、《出让合同》[]，估价对象规划建筑面积为245539.3平方米。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估价期日：2019年7月8日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245539.3</v>
      </c>
    </row>
    <row r="44" spans="1:2">
      <c r="A44" s="2833" t="s">
        <v>2740</v>
      </c>
      <c r="B44" s="2834" t="str">
        <f>'预评函-2'!O3</f>
        <v>规划建筑面积/㎡</v>
      </c>
    </row>
    <row r="45" spans="1:2">
      <c r="A45" s="2833" t="s">
        <v>2722</v>
      </c>
      <c r="B45" s="2834">
        <f>'预评函-2'!O5</f>
        <v>245539.3</v>
      </c>
    </row>
    <row r="46" spans="1:2">
      <c r="A46" s="2833" t="s">
        <v>2723</v>
      </c>
      <c r="B46" s="2834">
        <f ca="1">'预评函-2'!P5</f>
        <v>3631</v>
      </c>
    </row>
    <row r="47" spans="1:2">
      <c r="A47" s="2833" t="s">
        <v>2724</v>
      </c>
      <c r="B47" s="2834">
        <f ca="1">'预评函-2'!Q5</f>
        <v>3631</v>
      </c>
    </row>
    <row r="48" spans="1:2">
      <c r="A48" s="2833" t="s">
        <v>2725</v>
      </c>
      <c r="B48" s="2834">
        <f ca="1">'预评函-2'!R5</f>
        <v>89165</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9" sqref="C2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329" t="str">
        <f>IF(B10="北京市","北京市",C10)&amp;F10&amp;B16&amp;"国有建设用地使用权"&amp;B9&amp;"预评估"</f>
        <v>出让国有建设用地使用权预评估</v>
      </c>
      <c r="C1" s="3330"/>
      <c r="D1" s="3330"/>
      <c r="E1" s="3330"/>
      <c r="F1" s="3330"/>
      <c r="G1" s="3330"/>
      <c r="H1" s="3330"/>
      <c r="I1" s="3331"/>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43654</v>
      </c>
      <c r="C3" s="1647" t="s">
        <v>1995</v>
      </c>
      <c r="D3" s="1646">
        <v>43654</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335"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336"/>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332"/>
      <c r="C12" s="3333"/>
      <c r="D12" s="3334"/>
      <c r="E12" s="1683" t="s">
        <v>2061</v>
      </c>
      <c r="F12" s="3350" t="s">
        <v>2889</v>
      </c>
      <c r="G12" s="3351"/>
      <c r="H12" s="3351"/>
      <c r="I12" s="3352"/>
      <c r="J12" s="1678"/>
      <c r="K12" s="1758"/>
      <c r="L12" s="1707"/>
      <c r="M12" s="1707"/>
      <c r="N12" s="1678"/>
      <c r="O12" s="1679"/>
      <c r="P12" s="1678"/>
      <c r="Q12" s="1678"/>
      <c r="R12" s="1678"/>
      <c r="S12" s="1678"/>
      <c r="T12" s="1678"/>
      <c r="U12" s="1678"/>
    </row>
    <row r="13" spans="1:21">
      <c r="A13" s="1671" t="s">
        <v>2059</v>
      </c>
      <c r="B13" s="3332"/>
      <c r="C13" s="3333"/>
      <c r="D13" s="3334"/>
      <c r="E13" s="1683" t="s">
        <v>2061</v>
      </c>
      <c r="F13" s="3350" t="s">
        <v>2890</v>
      </c>
      <c r="G13" s="3351"/>
      <c r="H13" s="3351"/>
      <c r="I13" s="3352"/>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工业2057年8月7日</v>
      </c>
    </row>
    <row r="17" spans="1:21">
      <c r="A17" s="1747"/>
      <c r="B17" s="1666"/>
      <c r="C17" s="1667" t="s">
        <v>1955</v>
      </c>
      <c r="D17" s="1684"/>
      <c r="E17" s="1684"/>
      <c r="F17" s="1684"/>
      <c r="G17" s="1684"/>
      <c r="H17" s="1684"/>
      <c r="I17" s="1684">
        <v>57564</v>
      </c>
      <c r="J17" s="1678"/>
      <c r="K17" s="2419" t="str">
        <f>CONCATENATE(K16,L16,M16,N16,O16,P16,Q16,R16,S16,T16,,U16)</f>
        <v>工业2057年8月7日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38.1</v>
      </c>
      <c r="J19" s="1678"/>
      <c r="K19" s="1758"/>
      <c r="L19" s="1707"/>
      <c r="M19" s="1707"/>
      <c r="N19" s="1678"/>
      <c r="O19" s="1679"/>
      <c r="P19" s="1678"/>
      <c r="Q19" s="1678"/>
      <c r="R19" s="1678"/>
      <c r="S19" s="1678"/>
      <c r="T19" s="1678"/>
      <c r="U19" s="1678"/>
    </row>
    <row r="20" spans="1:21">
      <c r="A20" s="1770"/>
      <c r="B20" s="1771"/>
      <c r="C20" s="1772" t="s">
        <v>2060</v>
      </c>
      <c r="D20" s="3347"/>
      <c r="E20" s="3348"/>
      <c r="F20" s="3348"/>
      <c r="G20" s="3348"/>
      <c r="H20" s="3348"/>
      <c r="I20" s="3349"/>
      <c r="J20" s="1678"/>
      <c r="K20" s="1758"/>
      <c r="L20" s="1707"/>
      <c r="M20" s="1707"/>
      <c r="N20" s="1678"/>
      <c r="O20" s="1679"/>
      <c r="P20" s="1678"/>
      <c r="Q20" s="1678"/>
      <c r="R20" s="1678"/>
      <c r="S20" s="1678"/>
      <c r="T20" s="1678"/>
      <c r="U20" s="1678"/>
    </row>
    <row r="21" spans="1:21">
      <c r="A21" s="1747" t="s">
        <v>1958</v>
      </c>
      <c r="B21" s="1748" t="s">
        <v>1959</v>
      </c>
      <c r="C21" s="1743">
        <f>'数据-汇总表'!E3</f>
        <v>245539.3</v>
      </c>
      <c r="D21" s="1744" t="s">
        <v>1960</v>
      </c>
      <c r="E21" s="3337" t="s">
        <v>1998</v>
      </c>
      <c r="F21" s="3338"/>
      <c r="G21" s="3338"/>
      <c r="H21" s="3338"/>
      <c r="I21" s="3339"/>
      <c r="J21" s="1678"/>
      <c r="K21" s="1758"/>
      <c r="L21" s="1707"/>
      <c r="M21" s="1707"/>
      <c r="N21" s="1678"/>
      <c r="O21" s="1679"/>
      <c r="P21" s="1678"/>
      <c r="Q21" s="1678"/>
      <c r="R21" s="1678"/>
      <c r="S21" s="1678"/>
      <c r="T21" s="1678"/>
      <c r="U21" s="1678"/>
    </row>
    <row r="22" spans="1:21">
      <c r="A22" s="3097" t="s">
        <v>952</v>
      </c>
      <c r="B22" s="1645" t="s">
        <v>1961</v>
      </c>
      <c r="C22" s="1670">
        <f>'数据-汇总表'!D3</f>
        <v>245539.3</v>
      </c>
      <c r="D22" s="1671" t="s">
        <v>1960</v>
      </c>
      <c r="E22" s="3337" t="s">
        <v>2891</v>
      </c>
      <c r="F22" s="3338"/>
      <c r="G22" s="3338"/>
      <c r="H22" s="3338"/>
      <c r="I22" s="3339"/>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340" t="s">
        <v>1966</v>
      </c>
      <c r="C24" s="3341"/>
      <c r="D24" s="3342" t="s">
        <v>1967</v>
      </c>
      <c r="E24" s="3343"/>
      <c r="F24" s="1692" t="s">
        <v>1968</v>
      </c>
      <c r="G24" s="1678"/>
      <c r="H24" s="1678"/>
      <c r="I24" s="1691"/>
      <c r="J24" s="1678"/>
      <c r="K24" s="3328"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32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32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314" t="s">
        <v>2001</v>
      </c>
      <c r="B31" s="1748" t="s">
        <v>2002</v>
      </c>
      <c r="C31" s="3353"/>
      <c r="D31" s="3354"/>
      <c r="E31" s="1678"/>
      <c r="F31" s="1678"/>
      <c r="G31" s="1678"/>
      <c r="H31" s="1678"/>
      <c r="I31" s="1691"/>
      <c r="J31" s="1678"/>
      <c r="K31" s="2422"/>
      <c r="L31" s="1678"/>
      <c r="M31" s="1678"/>
      <c r="N31" s="1678"/>
      <c r="O31" s="1678"/>
      <c r="P31" s="1678"/>
      <c r="Q31" s="1678"/>
      <c r="R31" s="1678"/>
      <c r="S31" s="1678"/>
      <c r="T31" s="1678"/>
      <c r="U31" s="1678"/>
    </row>
    <row r="32" spans="1:21">
      <c r="A32" s="3314"/>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14"/>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15"/>
      <c r="B34" s="1645" t="s">
        <v>2005</v>
      </c>
      <c r="C34" s="3316"/>
      <c r="D34" s="3317"/>
      <c r="E34" s="1678"/>
      <c r="F34" s="1678"/>
      <c r="G34" s="1678"/>
      <c r="H34" s="1678"/>
      <c r="I34" s="1691"/>
      <c r="J34" s="1678"/>
      <c r="K34" s="2422"/>
      <c r="L34" s="1678"/>
      <c r="M34" s="1678"/>
      <c r="N34" s="1678"/>
      <c r="O34" s="1678"/>
      <c r="P34" s="1678"/>
      <c r="Q34" s="1678"/>
      <c r="R34" s="1678"/>
      <c r="S34" s="1678"/>
      <c r="T34" s="1678"/>
      <c r="U34" s="1678"/>
    </row>
    <row r="35" spans="1:21">
      <c r="A35" s="3318" t="s">
        <v>847</v>
      </c>
      <c r="B35" s="1706"/>
      <c r="C35" s="1760" t="str">
        <f>IF(B35="场地平整","——","具体情况：")</f>
        <v>具体情况：</v>
      </c>
      <c r="D35" s="3320"/>
      <c r="E35" s="3321"/>
      <c r="F35" s="3321"/>
      <c r="G35" s="3321"/>
      <c r="H35" s="3321"/>
      <c r="I35" s="3322"/>
      <c r="J35" s="1678"/>
      <c r="K35" s="1759"/>
      <c r="L35" s="1707"/>
      <c r="M35" s="1707"/>
      <c r="N35" s="1678"/>
      <c r="O35" s="1679"/>
      <c r="P35" s="1678"/>
      <c r="Q35" s="1678"/>
      <c r="R35" s="1678"/>
      <c r="S35" s="1678"/>
      <c r="T35" s="1678"/>
      <c r="U35" s="1678"/>
    </row>
    <row r="36" spans="1:21">
      <c r="A36" s="3314"/>
      <c r="B36" s="3323" t="s">
        <v>2054</v>
      </c>
      <c r="C36" s="3324"/>
      <c r="D36" s="1776"/>
      <c r="E36" s="3325"/>
      <c r="F36" s="3325"/>
      <c r="G36" s="1671" t="str">
        <f>IF(B35="场地未平整","估价结果处理","")</f>
        <v/>
      </c>
      <c r="H36" s="3326"/>
      <c r="I36" s="3326"/>
      <c r="J36" s="1678"/>
      <c r="K36" s="1759"/>
      <c r="L36" s="1707"/>
      <c r="M36" s="1707"/>
      <c r="N36" s="1678"/>
      <c r="O36" s="1679"/>
      <c r="P36" s="1678"/>
      <c r="Q36" s="1678"/>
      <c r="R36" s="1678"/>
      <c r="S36" s="1678"/>
      <c r="T36" s="1678"/>
      <c r="U36" s="1678"/>
    </row>
    <row r="37" spans="1:21" ht="28.5">
      <c r="A37" s="3314"/>
      <c r="B37" s="334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314"/>
      <c r="B38" s="3345"/>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315"/>
      <c r="B39" s="334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327" t="s">
        <v>1985</v>
      </c>
      <c r="T40" s="1715" t="str">
        <f>NUMBERSTRING(7-K40,1)&amp;"通"</f>
        <v>七通</v>
      </c>
      <c r="U40" s="1678"/>
    </row>
    <row r="41" spans="1:21">
      <c r="A41" s="1647"/>
      <c r="B41" s="3319" t="s">
        <v>1721</v>
      </c>
      <c r="C41" s="3319"/>
      <c r="D41" s="3319"/>
      <c r="E41" s="331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327"/>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t="s">
        <v>1413</v>
      </c>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t="s">
        <v>2996</v>
      </c>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245539.3</v>
      </c>
      <c r="B3" s="22">
        <f>IF(C3="否",G5-AT5,G5)</f>
        <v>245539.3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245539.3</v>
      </c>
      <c r="H5" s="27">
        <f t="shared" ref="H5:AT5" si="0">SUM(H13:H641)</f>
        <v>245539.3</v>
      </c>
      <c r="I5" s="27">
        <f t="shared" si="0"/>
        <v>245539.3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245539.3</v>
      </c>
      <c r="BA5" s="29">
        <f t="shared" si="1"/>
        <v>245539.3</v>
      </c>
      <c r="BB5" s="29">
        <f t="shared" si="1"/>
        <v>245539.3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245539.3</v>
      </c>
      <c r="F6" s="27" t="s">
        <v>1</v>
      </c>
      <c r="G6" s="27" t="s">
        <v>2</v>
      </c>
      <c r="H6" s="33">
        <f>SUMIF(I$12:AB$12,"总值",I6:AB6)</f>
        <v>245539.3</v>
      </c>
      <c r="I6" s="27">
        <f t="shared" ref="I6:AB6" si="2">ROUND($A$3*I5/$B$3,2)</f>
        <v>245539.3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245539.3</v>
      </c>
      <c r="AZ6" s="27" t="s">
        <v>3</v>
      </c>
      <c r="BA6" s="27">
        <f>ROUND($AY$6*BA5/$AZ$5,2)</f>
        <v>245539.3</v>
      </c>
      <c r="BB6" s="27">
        <f>ROUND($AY$6*BB5/$AZ$5,2)</f>
        <v>245539.3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2997</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245539.3</v>
      </c>
      <c r="F13" s="81"/>
      <c r="G13" s="82">
        <f t="shared" ref="G13:G20" si="7">H13+AC13+AT13</f>
        <v>245539.3</v>
      </c>
      <c r="H13" s="33">
        <f t="shared" ref="H13:H20" si="8">SUMIF(I$12:AB$12,"总值",I13:AB13)</f>
        <v>245539.3</v>
      </c>
      <c r="I13" s="2970">
        <f>A3</f>
        <v>245539.3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245539.3</v>
      </c>
      <c r="AZ13" s="27">
        <f t="shared" ref="AZ13:AZ20" si="12">BA13+BL13</f>
        <v>245539.3</v>
      </c>
      <c r="BA13" s="27">
        <f t="shared" ref="BA13:BA20" si="13">SUM(BB13:BK13)</f>
        <v>245539.3</v>
      </c>
      <c r="BB13" s="27">
        <f t="shared" ref="BB13:BB20" si="14">IF($D13="是",I13-J13,0)</f>
        <v>245539.3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5" t="s">
        <v>0</v>
      </c>
      <c r="B1" s="3355" t="s">
        <v>4</v>
      </c>
      <c r="C1" s="3355" t="s">
        <v>5</v>
      </c>
      <c r="D1" s="3356" t="s">
        <v>40</v>
      </c>
      <c r="E1" s="3356" t="s">
        <v>41</v>
      </c>
      <c r="F1" s="3356"/>
      <c r="G1" s="3356"/>
      <c r="H1" s="3356"/>
      <c r="I1" s="3356"/>
      <c r="J1" s="3356"/>
      <c r="K1" s="3356"/>
      <c r="L1" s="3356"/>
      <c r="M1" s="3356"/>
    </row>
    <row r="2" spans="1:13" ht="27" customHeight="1">
      <c r="A2" s="3355"/>
      <c r="B2" s="3355"/>
      <c r="C2" s="3355"/>
      <c r="D2" s="3356"/>
      <c r="E2" s="3356" t="s">
        <v>24</v>
      </c>
      <c r="F2" s="3356" t="s">
        <v>25</v>
      </c>
      <c r="G2" s="3356"/>
      <c r="H2" s="3356"/>
      <c r="I2" s="3356"/>
      <c r="J2" s="3356" t="s">
        <v>26</v>
      </c>
      <c r="K2" s="3356"/>
      <c r="L2" s="3356"/>
      <c r="M2" s="3356"/>
    </row>
    <row r="3" spans="1:13" ht="28.5">
      <c r="A3" s="3355"/>
      <c r="B3" s="3355"/>
      <c r="C3" s="3355"/>
      <c r="D3" s="3356"/>
      <c r="E3" s="33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6" t="s">
        <v>42</v>
      </c>
      <c r="B9" s="3356"/>
      <c r="C9" s="33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66" t="s">
        <v>203</v>
      </c>
      <c r="B2" s="3366"/>
      <c r="C2" s="3366"/>
      <c r="D2" s="1960" t="s">
        <v>204</v>
      </c>
      <c r="E2" s="106" t="s">
        <v>205</v>
      </c>
      <c r="F2" s="1969"/>
      <c r="G2" s="1194"/>
      <c r="H2" s="1195"/>
      <c r="I2" s="1196" t="s">
        <v>857</v>
      </c>
      <c r="J2" s="1969"/>
      <c r="K2" s="1969"/>
      <c r="L2" s="1969"/>
    </row>
    <row r="3" spans="1:16" ht="15.75" thickBot="1">
      <c r="A3" s="3367" t="s">
        <v>206</v>
      </c>
      <c r="B3" s="3367"/>
      <c r="C3" s="3367"/>
      <c r="D3" s="107">
        <f>'数据-基础表'!AY6</f>
        <v>245539.3</v>
      </c>
      <c r="E3" s="107">
        <f>'数据-基础表'!AZ5</f>
        <v>245539.3</v>
      </c>
      <c r="F3" s="1969"/>
      <c r="G3" s="280" t="s">
        <v>858</v>
      </c>
      <c r="H3" s="275" t="s">
        <v>859</v>
      </c>
      <c r="I3" s="1961">
        <f>ROUND('数据-基础表'!B3/'数据-基础表'!A3,2)</f>
        <v>1</v>
      </c>
      <c r="J3" s="1969"/>
      <c r="K3" s="1969"/>
      <c r="L3" s="1969"/>
    </row>
    <row r="4" spans="1:16" ht="15">
      <c r="A4" s="3368"/>
      <c r="B4" s="3369"/>
      <c r="C4" s="3370"/>
      <c r="D4" s="108" t="s">
        <v>204</v>
      </c>
      <c r="E4" s="109" t="s">
        <v>205</v>
      </c>
      <c r="F4" s="1969"/>
      <c r="G4" s="1197"/>
      <c r="H4" s="275" t="s">
        <v>860</v>
      </c>
      <c r="I4" s="1961">
        <f>ROUND(SUMIF('数据-基础表'!I9:AS9,"地上",'数据-基础表'!I5:AS5)/'数据-基础表'!A3,2)</f>
        <v>1</v>
      </c>
      <c r="J4" s="1969"/>
      <c r="K4" s="1969"/>
      <c r="L4" s="1969"/>
    </row>
    <row r="5" spans="1:16">
      <c r="A5" s="110" t="s">
        <v>207</v>
      </c>
      <c r="B5" s="3371" t="s">
        <v>230</v>
      </c>
      <c r="C5" s="3371"/>
      <c r="D5" s="111">
        <f>ROUND($D$3*E5/$E$3,2)</f>
        <v>245539.3</v>
      </c>
      <c r="E5" s="112">
        <f>SUMIF('数据-基础表'!$11:$11,"住宅",'数据-基础表'!$5:$5)</f>
        <v>245539.3</v>
      </c>
      <c r="F5" s="1969"/>
      <c r="G5" s="280" t="s">
        <v>861</v>
      </c>
      <c r="H5" s="275" t="s">
        <v>859</v>
      </c>
      <c r="I5" s="1961">
        <f>ROUND(E31/D31,2)</f>
        <v>1</v>
      </c>
      <c r="J5" s="1969"/>
      <c r="K5" s="1969"/>
      <c r="L5" s="1969"/>
    </row>
    <row r="6" spans="1:16" ht="15" thickBot="1">
      <c r="A6" s="113"/>
      <c r="B6" s="3371" t="s">
        <v>208</v>
      </c>
      <c r="C6" s="3371"/>
      <c r="D6" s="111">
        <f>ROUND($D$3*E6/$E$3,2)</f>
        <v>0</v>
      </c>
      <c r="E6" s="112">
        <f>E3-E5</f>
        <v>0</v>
      </c>
      <c r="F6" s="1969"/>
      <c r="G6" s="1197"/>
      <c r="H6" s="275" t="s">
        <v>860</v>
      </c>
      <c r="I6" s="1961">
        <f>ROUND(F31/D31,2)</f>
        <v>1</v>
      </c>
      <c r="J6" s="1969"/>
      <c r="K6" s="1969"/>
      <c r="L6" s="1969"/>
    </row>
    <row r="7" spans="1:16" ht="15">
      <c r="A7" s="3363"/>
      <c r="B7" s="3364"/>
      <c r="C7" s="3365"/>
      <c r="D7" s="108" t="s">
        <v>204</v>
      </c>
      <c r="E7" s="114" t="s">
        <v>231</v>
      </c>
      <c r="F7" s="1969"/>
      <c r="G7" s="1152" t="s">
        <v>1645</v>
      </c>
      <c r="H7" s="1153"/>
      <c r="I7" s="1831">
        <v>1</v>
      </c>
      <c r="J7" s="1969"/>
      <c r="K7" s="1969"/>
      <c r="L7" s="1969"/>
    </row>
    <row r="8" spans="1:16">
      <c r="A8" s="110" t="s">
        <v>209</v>
      </c>
      <c r="B8" s="115" t="s">
        <v>210</v>
      </c>
      <c r="C8" s="111" t="s">
        <v>211</v>
      </c>
      <c r="D8" s="111">
        <f t="shared" ref="D8:D15" si="0">ROUND($D$3*E8/$E$3,2)</f>
        <v>245539.3</v>
      </c>
      <c r="E8" s="116">
        <f>SUMIF('数据-基础表'!BB10:BK10,"地上",'数据-基础表'!BB5:BK5)</f>
        <v>245539.3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245539.3</v>
      </c>
      <c r="E16" s="120">
        <f>SUM(E8:E15)</f>
        <v>245539.3</v>
      </c>
      <c r="F16" s="1969"/>
      <c r="G16" s="1971"/>
      <c r="H16" s="968" t="s">
        <v>219</v>
      </c>
      <c r="I16" s="969"/>
      <c r="J16" s="1969"/>
      <c r="K16" s="3357" t="s">
        <v>2566</v>
      </c>
      <c r="L16" s="3358"/>
      <c r="M16" s="3358"/>
      <c r="N16" s="3358"/>
      <c r="O16" s="3358"/>
      <c r="P16" s="3359"/>
    </row>
    <row r="17" spans="1:19" ht="15">
      <c r="A17" s="121" t="s">
        <v>216</v>
      </c>
      <c r="B17" s="122" t="s">
        <v>217</v>
      </c>
      <c r="C17" s="2283" t="s">
        <v>2313</v>
      </c>
      <c r="D17" s="108" t="s">
        <v>204</v>
      </c>
      <c r="E17" s="124" t="s">
        <v>205</v>
      </c>
      <c r="F17" s="125"/>
      <c r="G17" s="1362"/>
      <c r="H17" s="970" t="s">
        <v>218</v>
      </c>
      <c r="I17" s="971" t="s">
        <v>2312</v>
      </c>
      <c r="J17" s="1969"/>
      <c r="K17" s="3360" t="s">
        <v>2567</v>
      </c>
      <c r="L17" s="3361"/>
      <c r="M17" s="3362"/>
      <c r="N17" s="3360" t="s">
        <v>2568</v>
      </c>
      <c r="O17" s="3361"/>
      <c r="P17" s="3362"/>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2998</v>
      </c>
      <c r="D19" s="111">
        <f t="shared" ref="D19:D26" si="1">ROUND($D$3*E19/$E$3,2)</f>
        <v>245539.3</v>
      </c>
      <c r="E19" s="134">
        <f t="shared" ref="E19:E26" si="2">SUM(F19:G19)</f>
        <v>245539.3</v>
      </c>
      <c r="F19" s="135">
        <f>'数据-基础表'!I13</f>
        <v>245539.3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245539.3</v>
      </c>
      <c r="S19" s="2286">
        <f t="shared" si="5"/>
        <v>245539.3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245539.3</v>
      </c>
      <c r="E27" s="143">
        <f>IF(SUM(E19:E26)='数据-基础表'!BA5,SUM(E19:E26),IF(F27="地上面积有误","面积有误","地下面积有误"))</f>
        <v>245539.3</v>
      </c>
      <c r="F27" s="134">
        <f>IF(SUM(F19:F26)=E8,SUM(F19:F26),"地上面积有误")</f>
        <v>245539.3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245539.3</v>
      </c>
      <c r="S27" s="275">
        <f>IF(SUM(S19:S26)=$E$3,SUM(S19:S26),SUM(S19:S26)&amp;"误差"&amp;ROUND(SUM(S19:S26)-E3,2))</f>
        <v>245539.3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245539.3</v>
      </c>
      <c r="E31" s="1368">
        <f>E27+E30</f>
        <v>245539.3</v>
      </c>
      <c r="F31" s="1369">
        <f>F27+F30</f>
        <v>245539.3</v>
      </c>
      <c r="G31" s="1370">
        <f>G27+G30</f>
        <v>0</v>
      </c>
      <c r="H31" s="1969"/>
      <c r="I31" s="1969"/>
      <c r="J31" s="1969"/>
      <c r="K31" s="1969"/>
      <c r="L31" s="1969"/>
    </row>
    <row r="32" spans="1:19">
      <c r="A32" s="1969"/>
      <c r="B32" s="2327" t="s">
        <v>2321</v>
      </c>
      <c r="C32" s="2611"/>
      <c r="D32" s="1197"/>
      <c r="E32" s="1197">
        <f>SUMIF(C19:C26,"*住宅*",E19:E26)</f>
        <v>245539.3</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43654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981</v>
      </c>
      <c r="D6" s="2293">
        <f>SUMIF(项目基本情况!D$15:I$15,C6,项目基本情况!D$18:I$18)</f>
        <v>50</v>
      </c>
      <c r="E6" s="2294">
        <f>IF(B6="","",SUMIF(项目基本情况!D$15:I$15,C6,项目基本情况!D$17:I$17))</f>
        <v>57564</v>
      </c>
      <c r="F6" s="174">
        <f>SUMIF(项目基本情况!D$15:I$15,C6,项目基本情况!D$19:I$19)</f>
        <v>38.1</v>
      </c>
      <c r="G6" s="175">
        <f>IF(ISERROR(ROUND(POWER(1+H6,D6-F6)*(POWER(1+H6,F6)-1)/(POWER(1+H6,D6)-1),3)),0,ROUND(POWER(1+H6,D6-F6)*(POWER(1+H6,F6)-1)/(POWER(1+H6,D6)-1),3))</f>
        <v>0.90300000000000002</v>
      </c>
      <c r="H6" s="2978">
        <v>0.04</v>
      </c>
      <c r="I6" s="2978">
        <v>0.05</v>
      </c>
      <c r="J6" s="176">
        <v>0.08</v>
      </c>
      <c r="K6" s="179">
        <f>SUMIF('数据-汇总表'!C$19:C$33,'数据-取费表'!A6,'数据-汇总表'!E$19:E$33)</f>
        <v>245539.3</v>
      </c>
      <c r="L6" s="2979"/>
      <c r="M6" s="177">
        <f t="shared" ref="M6:M14" si="0">ROUND(K6*L6/10000,0)</f>
        <v>0</v>
      </c>
      <c r="N6" s="2980"/>
      <c r="O6" s="177">
        <f>IF($N$5="成新度","——",ROUND(M6*N6,0))</f>
        <v>0</v>
      </c>
      <c r="P6" s="178">
        <f>IF($N$5="成新度","——",M6-O6)</f>
        <v>0</v>
      </c>
      <c r="Q6" s="2981">
        <v>0.12</v>
      </c>
      <c r="R6" s="179">
        <f>SUMIF('数据-汇总表'!C$19:C$33,A6,'数据-汇总表'!R$19:R$33)</f>
        <v>245539.3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0.77600000000000002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0.90300000000000002</v>
      </c>
      <c r="H16" s="203">
        <f>ROUND(SUMPRODUCT(H6:H13,K6:K13)/SUMPRODUCT((H6:H13&gt;0)*(K6:K13)),3)</f>
        <v>0.04</v>
      </c>
      <c r="I16" s="204"/>
      <c r="J16" s="204"/>
      <c r="K16" s="205">
        <f>SUM(K6:K15)</f>
        <v>245539.3</v>
      </c>
      <c r="L16" s="206">
        <f>ROUND(M16*10000/SUM(K6:K14),0)</f>
        <v>0</v>
      </c>
      <c r="M16" s="206">
        <f>SUM(M6:M14)</f>
        <v>0</v>
      </c>
      <c r="N16" s="207" t="e">
        <f>ROUND(SUMPRODUCT(M6:M14,N6:N14)/M16,3)</f>
        <v>#DIV/0!</v>
      </c>
      <c r="O16" s="206">
        <f>SUM(O6:O14)</f>
        <v>0</v>
      </c>
      <c r="P16" s="206">
        <f>SUM(P6:P14)</f>
        <v>0</v>
      </c>
      <c r="Q16" s="208">
        <f>ROUND(SUMPRODUCT(Q6:Q13,K6:K13)/SUMPRODUCT((Q6:Q13&gt;0)*(K6:K13)),2)</f>
        <v>0.12</v>
      </c>
      <c r="R16" s="2296">
        <f>SUM(R6:R13)</f>
        <v>245539.3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0.77600000000000002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0</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4.3499999999999997E-2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1413</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72" t="s">
        <v>1663</v>
      </c>
      <c r="B1" s="3373"/>
      <c r="C1" s="3373"/>
      <c r="D1" s="3373"/>
      <c r="E1" s="3373"/>
      <c r="F1" s="3373"/>
      <c r="G1" s="337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245539.3</v>
      </c>
      <c r="C1" s="2998"/>
      <c r="D1" s="2998"/>
      <c r="E1" s="2998"/>
      <c r="F1" s="2998"/>
    </row>
    <row r="2" spans="1:9" ht="16.5">
      <c r="A2" s="2997" t="s">
        <v>2844</v>
      </c>
      <c r="B2" s="2997">
        <f>SUM(C14:C23)</f>
        <v>245539.3</v>
      </c>
      <c r="C2" s="2998"/>
      <c r="D2" s="2998"/>
      <c r="E2" s="2998"/>
      <c r="F2" s="2998"/>
    </row>
    <row r="3" spans="1:9" ht="16.5">
      <c r="A3" s="2997" t="s">
        <v>2845</v>
      </c>
      <c r="B3" s="2999">
        <f>项目基本情况!D3</f>
        <v>43654</v>
      </c>
      <c r="C3" s="2998"/>
      <c r="D3" s="2998"/>
      <c r="E3" s="2998"/>
      <c r="F3" s="2998"/>
    </row>
    <row r="4" spans="1:9" ht="33">
      <c r="A4" s="2997" t="s">
        <v>2846</v>
      </c>
      <c r="B4" s="2997" t="s">
        <v>2847</v>
      </c>
      <c r="C4" s="2997" t="s">
        <v>2848</v>
      </c>
      <c r="D4" s="2997" t="s">
        <v>2849</v>
      </c>
      <c r="E4" s="2998"/>
      <c r="F4" s="2998"/>
    </row>
    <row r="5" spans="1:9" ht="16.5">
      <c r="A5" s="2997" t="s">
        <v>2850</v>
      </c>
      <c r="B5" s="2997">
        <f ca="1">SUM(D14:D23)</f>
        <v>89165</v>
      </c>
      <c r="C5" s="2997">
        <f ca="1">ROUND(B5*10000/$B$1,0)</f>
        <v>3631</v>
      </c>
      <c r="D5" s="2997">
        <f ca="1">ROUND(B5*10000/$B$2,0)</f>
        <v>3631</v>
      </c>
      <c r="E5" s="2998"/>
      <c r="F5" s="2998"/>
    </row>
    <row r="6" spans="1:9" ht="16.5">
      <c r="A6" s="2997" t="s">
        <v>2851</v>
      </c>
      <c r="B6" s="2997">
        <f>SUM(G14:G23)</f>
        <v>0</v>
      </c>
      <c r="C6" s="2997">
        <f t="shared" ref="C6:C8" si="0">ROUND(B6*10000/$B$1,0)</f>
        <v>0</v>
      </c>
      <c r="D6" s="2997">
        <f t="shared" ref="D6:D8" si="1">ROUND(B6*10000/$B$2,0)</f>
        <v>0</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245539.3</v>
      </c>
      <c r="C14" s="3001">
        <f>结果表!K38</f>
        <v>245539.3</v>
      </c>
      <c r="D14" s="3001">
        <f ca="1">结果表!C42</f>
        <v>89165</v>
      </c>
      <c r="E14" s="3001">
        <f ca="1">ROUND(D14*10000/B14,0)</f>
        <v>3631</v>
      </c>
      <c r="F14" s="3001">
        <f ca="1">ROUND(D14*10000/C14,0)</f>
        <v>3631</v>
      </c>
      <c r="G14" s="3001" t="str">
        <f>结果表!C44</f>
        <v>——</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38" sqref="G38"/>
    </sheetView>
  </sheetViews>
  <sheetFormatPr defaultColWidth="12.625" defaultRowHeight="21.75" customHeight="1"/>
  <cols>
    <col min="1" max="2" width="12.75" style="1246" bestFit="1" customWidth="1"/>
    <col min="3" max="4" width="12.625" style="1246" customWidth="1"/>
    <col min="5" max="6" width="12.75" style="1246" bestFit="1" customWidth="1"/>
    <col min="7" max="7" width="12.75" style="1246" customWidth="1"/>
    <col min="8"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410" t="str">
        <f>项目基本情况!K2</f>
        <v>出让国有建设用地使用权</v>
      </c>
      <c r="B2" s="3411"/>
      <c r="C2" s="3412"/>
      <c r="D2" s="3412"/>
      <c r="E2" s="3412"/>
      <c r="F2" s="3412"/>
      <c r="G2" s="3411"/>
      <c r="H2" s="3411"/>
      <c r="I2" s="3413"/>
      <c r="J2" s="2015"/>
      <c r="K2" s="2014"/>
      <c r="L2" s="2014"/>
      <c r="M2" s="2014"/>
      <c r="N2" s="2014"/>
      <c r="O2" s="2014"/>
      <c r="P2" s="2014"/>
      <c r="Q2" s="2014"/>
      <c r="R2" s="2014"/>
      <c r="S2" s="2014"/>
      <c r="T2" s="2014"/>
      <c r="U2" s="2014"/>
      <c r="V2" s="2014"/>
    </row>
    <row r="3" spans="1:22" ht="14.25">
      <c r="A3" s="3403" t="s">
        <v>298</v>
      </c>
      <c r="B3" s="3404"/>
      <c r="C3" s="3404"/>
      <c r="D3" s="3404"/>
      <c r="E3" s="3404"/>
      <c r="F3" s="3404"/>
      <c r="G3" s="3404"/>
      <c r="H3" s="3404"/>
      <c r="I3" s="3404"/>
      <c r="J3" s="2015"/>
      <c r="K3" s="2014"/>
      <c r="L3" s="2014"/>
      <c r="M3" s="2014"/>
      <c r="N3" s="2014"/>
      <c r="O3" s="2014"/>
      <c r="P3" s="2014"/>
      <c r="Q3" s="2014"/>
      <c r="R3" s="2014"/>
      <c r="S3" s="2014"/>
      <c r="T3" s="2014"/>
      <c r="U3" s="2014"/>
      <c r="V3" s="2014"/>
    </row>
    <row r="4" spans="1:22" ht="14.25">
      <c r="A4" s="258" t="s">
        <v>299</v>
      </c>
      <c r="B4" s="259" t="s">
        <v>300</v>
      </c>
      <c r="C4" s="260" t="s">
        <v>2951</v>
      </c>
      <c r="D4" s="260" t="s">
        <v>3010</v>
      </c>
      <c r="E4" s="3375" t="s">
        <v>301</v>
      </c>
      <c r="F4" s="3376"/>
      <c r="G4" s="3376"/>
      <c r="H4" s="3376"/>
      <c r="I4" s="3405"/>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74" t="s">
        <v>302</v>
      </c>
      <c r="B5" s="3400">
        <v>25</v>
      </c>
      <c r="C5" s="3398">
        <v>3</v>
      </c>
      <c r="D5" s="3402">
        <f>10-C5</f>
        <v>7</v>
      </c>
      <c r="E5" s="261" t="s">
        <v>303</v>
      </c>
      <c r="F5" s="262"/>
      <c r="G5" s="262"/>
      <c r="H5" s="262"/>
      <c r="I5" s="263"/>
      <c r="J5" s="2015"/>
      <c r="K5" s="2014"/>
      <c r="L5" s="2014"/>
      <c r="M5" s="2014"/>
      <c r="N5" s="2014"/>
      <c r="O5" s="2014"/>
      <c r="P5" s="2014"/>
      <c r="Q5" s="2014"/>
      <c r="R5" s="2014"/>
      <c r="S5" s="2014"/>
      <c r="T5" s="2014"/>
      <c r="U5" s="2014"/>
      <c r="V5" s="2014"/>
    </row>
    <row r="6" spans="1:22" ht="14.25">
      <c r="A6" s="3374"/>
      <c r="B6" s="3400"/>
      <c r="C6" s="3401"/>
      <c r="D6" s="3402"/>
      <c r="E6" s="261" t="s">
        <v>304</v>
      </c>
      <c r="F6" s="262"/>
      <c r="G6" s="262"/>
      <c r="H6" s="262"/>
      <c r="I6" s="263"/>
      <c r="J6" s="2015"/>
      <c r="K6" s="2014"/>
      <c r="L6" s="2014"/>
      <c r="M6" s="2014"/>
      <c r="N6" s="2014"/>
      <c r="O6" s="2014"/>
      <c r="P6" s="2014"/>
      <c r="Q6" s="2014"/>
      <c r="R6" s="2014"/>
      <c r="S6" s="2014"/>
      <c r="T6" s="2014"/>
      <c r="U6" s="2014"/>
      <c r="V6" s="2014"/>
    </row>
    <row r="7" spans="1:22" ht="14.25">
      <c r="A7" s="3374"/>
      <c r="B7" s="3400"/>
      <c r="C7" s="3399"/>
      <c r="D7" s="3402"/>
      <c r="E7" s="261" t="s">
        <v>305</v>
      </c>
      <c r="F7" s="262"/>
      <c r="G7" s="262"/>
      <c r="H7" s="262"/>
      <c r="I7" s="263"/>
      <c r="J7" s="2015"/>
      <c r="K7" s="2014"/>
      <c r="L7" s="2014"/>
      <c r="M7" s="2014"/>
      <c r="N7" s="2014"/>
      <c r="O7" s="2014"/>
      <c r="P7" s="2014"/>
      <c r="Q7" s="2014"/>
      <c r="R7" s="2014"/>
      <c r="S7" s="2014"/>
      <c r="T7" s="2014"/>
      <c r="U7" s="2014"/>
      <c r="V7" s="2014"/>
    </row>
    <row r="8" spans="1:22" ht="14.25">
      <c r="A8" s="3374" t="s">
        <v>306</v>
      </c>
      <c r="B8" s="3400">
        <v>15</v>
      </c>
      <c r="C8" s="3398"/>
      <c r="D8" s="3402"/>
      <c r="E8" s="261" t="s">
        <v>307</v>
      </c>
      <c r="F8" s="262"/>
      <c r="G8" s="262"/>
      <c r="H8" s="262"/>
      <c r="I8" s="263"/>
      <c r="J8" s="2015"/>
      <c r="K8" s="2014"/>
      <c r="L8" s="2014"/>
      <c r="M8" s="2014"/>
      <c r="N8" s="2014"/>
      <c r="O8" s="2014"/>
      <c r="P8" s="2014"/>
      <c r="Q8" s="2014"/>
      <c r="R8" s="2014"/>
      <c r="S8" s="2014"/>
      <c r="T8" s="2014"/>
      <c r="U8" s="2014"/>
      <c r="V8" s="2014"/>
    </row>
    <row r="9" spans="1:22" ht="14.25">
      <c r="A9" s="3374"/>
      <c r="B9" s="3400"/>
      <c r="C9" s="3399"/>
      <c r="D9" s="3402"/>
      <c r="E9" s="261" t="s">
        <v>308</v>
      </c>
      <c r="F9" s="262"/>
      <c r="G9" s="262"/>
      <c r="H9" s="262"/>
      <c r="I9" s="263"/>
      <c r="J9" s="2015"/>
      <c r="K9" s="2014"/>
      <c r="L9" s="2014"/>
      <c r="M9" s="2014"/>
      <c r="N9" s="2014"/>
      <c r="O9" s="2014"/>
      <c r="P9" s="2014"/>
      <c r="Q9" s="2014"/>
      <c r="R9" s="2014"/>
      <c r="S9" s="2014"/>
      <c r="T9" s="2014"/>
      <c r="U9" s="2014"/>
      <c r="V9" s="2014"/>
    </row>
    <row r="10" spans="1:22" ht="14.25">
      <c r="A10" s="3374" t="s">
        <v>309</v>
      </c>
      <c r="B10" s="3400">
        <v>15</v>
      </c>
      <c r="C10" s="3398"/>
      <c r="D10" s="340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4"/>
      <c r="B11" s="3400"/>
      <c r="C11" s="3399"/>
      <c r="D11" s="340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4" t="s">
        <v>312</v>
      </c>
      <c r="B12" s="3400">
        <v>15</v>
      </c>
      <c r="C12" s="3398"/>
      <c r="D12" s="340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4"/>
      <c r="B13" s="3400"/>
      <c r="C13" s="3399"/>
      <c r="D13" s="340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4" t="s">
        <v>315</v>
      </c>
      <c r="B14" s="3400">
        <v>30</v>
      </c>
      <c r="C14" s="3398"/>
      <c r="D14" s="3402"/>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4"/>
      <c r="B15" s="3400"/>
      <c r="C15" s="3401"/>
      <c r="D15" s="340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4"/>
      <c r="B16" s="3400"/>
      <c r="C16" s="3399"/>
      <c r="D16" s="340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29882</v>
      </c>
      <c r="D19" s="271">
        <f ca="1">SUMIF(INDIRECT("'"&amp;D4&amp;"'"&amp;"!A:A"),结果表!B19,INDIRECT("'"&amp;D4&amp;"'"&amp;"!B:B"))</f>
        <v>114572</v>
      </c>
      <c r="E19" s="268" t="s">
        <v>323</v>
      </c>
      <c r="F19" s="269" t="s">
        <v>322</v>
      </c>
      <c r="G19" s="272">
        <f ca="1">ROUND(C19*$C$18+D19*$D$18,0)</f>
        <v>89165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1217</v>
      </c>
      <c r="D20" s="277">
        <f ca="1">SUMIF(INDIRECT("'"&amp;D4&amp;"'"&amp;"!A:A"),结果表!B20,INDIRECT("'"&amp;D4&amp;"'"&amp;"!B:B"))</f>
        <v>4666</v>
      </c>
      <c r="E20" s="274"/>
      <c r="F20" s="275" t="s">
        <v>325</v>
      </c>
      <c r="G20" s="278">
        <f ca="1">ROUND(C20*$C$18+D20*$D$18,0)</f>
        <v>3631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1217</v>
      </c>
      <c r="D21" s="151">
        <f ca="1">SUMIF(INDIRECT("'"&amp;D4&amp;"'"&amp;"!A:A"),结果表!B21,INDIRECT("'"&amp;D4&amp;"'"&amp;"!B:B"))</f>
        <v>4666</v>
      </c>
      <c r="E21" s="274"/>
      <c r="F21" s="280" t="s">
        <v>327</v>
      </c>
      <c r="G21" s="282">
        <f ca="1">ROUND(C21*$C$18+D21*$D$18,0)</f>
        <v>3631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2.8341476474131584</v>
      </c>
      <c r="E22" s="284"/>
      <c r="F22" s="285"/>
      <c r="G22" s="286">
        <f ca="1">ROUND(G19/('数据-汇总表'!D3/666.67),0)</f>
        <v>242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8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1"/>
      <c r="B25" s="1317" t="s">
        <v>331</v>
      </c>
      <c r="C25" s="290">
        <f>IF(B30=0,0,C30)</f>
        <v>0</v>
      </c>
      <c r="D25" s="291"/>
      <c r="E25" s="311"/>
      <c r="F25" s="311"/>
      <c r="G25" s="311"/>
      <c r="H25" s="311"/>
      <c r="I25" s="311"/>
      <c r="J25" s="2014"/>
      <c r="K25" s="1251" t="str">
        <f ca="1">项目基本情况!B16&amp;"国有建设用地使用权价格："&amp;O38&amp;"万元"</f>
        <v>出让国有建设用地使用权价格：89165万元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大写金额：人民币捌亿玖仟壹佰陆拾伍万元整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单位面积地价：3631元/平方米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楼面地价：3631元/平方米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89165</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3631</v>
      </c>
      <c r="D33" s="1382" t="s">
        <v>1691</v>
      </c>
      <c r="E33" s="3380"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3631</v>
      </c>
      <c r="D34" s="1384" t="s">
        <v>1691</v>
      </c>
      <c r="E34" s="3421"/>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242</v>
      </c>
      <c r="D35" s="1387" t="s">
        <v>1693</v>
      </c>
      <c r="E35" s="3422"/>
      <c r="F35" s="301" t="s">
        <v>342</v>
      </c>
      <c r="G35" s="982"/>
      <c r="H35" s="981" t="s">
        <v>343</v>
      </c>
      <c r="I35" s="311"/>
      <c r="J35" s="2014"/>
      <c r="K35" s="3395" t="s">
        <v>350</v>
      </c>
      <c r="L35" s="3395" t="s">
        <v>351</v>
      </c>
      <c r="M35" s="1260" t="s">
        <v>352</v>
      </c>
      <c r="N35" s="3395" t="s">
        <v>353</v>
      </c>
      <c r="O35" s="3395" t="s">
        <v>354</v>
      </c>
      <c r="P35" s="2014"/>
      <c r="V35" s="2014"/>
    </row>
    <row r="36" spans="1:26" ht="16.5" customHeight="1">
      <c r="A36" s="303" t="s">
        <v>344</v>
      </c>
      <c r="B36" s="304" t="s">
        <v>333</v>
      </c>
      <c r="C36" s="305" t="s">
        <v>345</v>
      </c>
      <c r="D36" s="305" t="s">
        <v>346</v>
      </c>
      <c r="E36" s="306" t="s">
        <v>347</v>
      </c>
      <c r="F36" s="311"/>
      <c r="G36" s="311"/>
      <c r="H36" s="311"/>
      <c r="I36" s="311"/>
      <c r="J36" s="2016"/>
      <c r="K36" s="3396"/>
      <c r="L36" s="3396"/>
      <c r="M36" s="1262" t="s">
        <v>355</v>
      </c>
      <c r="N36" s="3396"/>
      <c r="O36" s="3396"/>
      <c r="P36" s="2014"/>
      <c r="V36" s="2014"/>
    </row>
    <row r="37" spans="1:26" ht="16.5" customHeight="1" thickBot="1">
      <c r="A37" s="1256" t="s">
        <v>348</v>
      </c>
      <c r="B37" s="307"/>
      <c r="C37" s="294"/>
      <c r="D37" s="294"/>
      <c r="E37" s="295"/>
      <c r="F37" s="311"/>
      <c r="G37" s="311"/>
      <c r="H37" s="311"/>
      <c r="I37" s="311"/>
      <c r="J37" s="2016"/>
      <c r="K37" s="3397"/>
      <c r="L37" s="3397"/>
      <c r="M37" s="1263"/>
      <c r="N37" s="3397"/>
      <c r="O37" s="3397"/>
      <c r="P37" s="2014"/>
      <c r="V37" s="2014"/>
    </row>
    <row r="38" spans="1:26" ht="16.5" customHeight="1" thickBot="1">
      <c r="A38" s="1256" t="s">
        <v>349</v>
      </c>
      <c r="B38" s="307"/>
      <c r="C38" s="294"/>
      <c r="D38" s="294"/>
      <c r="E38" s="295"/>
      <c r="F38" s="311"/>
      <c r="G38" s="311"/>
      <c r="H38" s="311"/>
      <c r="I38" s="311"/>
      <c r="J38" s="2016"/>
      <c r="K38" s="1264">
        <f>'数据-汇总表'!D3</f>
        <v>245539.3</v>
      </c>
      <c r="L38" s="1265">
        <f>'数据-汇总表'!E3</f>
        <v>245539.3</v>
      </c>
      <c r="M38" s="1265">
        <f ca="1">C34</f>
        <v>3631</v>
      </c>
      <c r="N38" s="1265">
        <f ca="1">C33</f>
        <v>3631</v>
      </c>
      <c r="O38" s="1266">
        <f ca="1">C32</f>
        <v>89165</v>
      </c>
      <c r="P38" s="2014"/>
      <c r="V38" s="2014"/>
    </row>
    <row r="39" spans="1:26" ht="16.5" customHeight="1" thickBot="1">
      <c r="A39" s="1261"/>
      <c r="B39" s="308"/>
      <c r="C39" s="309"/>
      <c r="D39" s="309"/>
      <c r="E39" s="310"/>
      <c r="F39" s="311"/>
      <c r="G39" s="311"/>
      <c r="H39" s="311"/>
      <c r="I39" s="311"/>
      <c r="J39" s="2016"/>
      <c r="K39" s="3440" t="str">
        <f>MID(A44,3,LEN(A44)-2)</f>
        <v/>
      </c>
      <c r="L39" s="3441"/>
      <c r="M39" s="3441"/>
      <c r="N39" s="3442"/>
      <c r="O39" s="1389" t="str">
        <f>C44</f>
        <v>——</v>
      </c>
      <c r="P39" s="2014"/>
      <c r="V39" s="2014"/>
    </row>
    <row r="40" spans="1:26" ht="19.5" thickBot="1">
      <c r="A40" s="104" t="s">
        <v>873</v>
      </c>
      <c r="B40" s="311"/>
      <c r="C40" s="311"/>
      <c r="D40" s="311"/>
      <c r="E40" s="311"/>
      <c r="F40" s="311"/>
      <c r="G40" s="311"/>
      <c r="H40" s="311"/>
      <c r="I40" s="311"/>
      <c r="J40" s="2016"/>
      <c r="K40" s="3440" t="str">
        <f t="shared" ref="K40:K41" si="0">MID(A45,3,LEN(A45)-2)</f>
        <v/>
      </c>
      <c r="L40" s="3441"/>
      <c r="M40" s="3441"/>
      <c r="N40" s="3442"/>
      <c r="O40" s="1389" t="str">
        <f>C45</f>
        <v>——</v>
      </c>
      <c r="P40" s="2014"/>
      <c r="V40" s="2014"/>
    </row>
    <row r="41" spans="1:26" ht="16.5" thickBot="1">
      <c r="A41" s="312" t="s">
        <v>356</v>
      </c>
      <c r="B41" s="313"/>
      <c r="C41" s="314" t="s">
        <v>357</v>
      </c>
      <c r="D41" s="315" t="s">
        <v>358</v>
      </c>
      <c r="E41" s="315" t="s">
        <v>359</v>
      </c>
      <c r="F41" s="316" t="s">
        <v>360</v>
      </c>
      <c r="G41" s="311"/>
      <c r="H41" s="311"/>
      <c r="I41" s="311"/>
      <c r="J41" s="2016"/>
      <c r="K41" s="3440" t="str">
        <f t="shared" si="0"/>
        <v/>
      </c>
      <c r="L41" s="3441"/>
      <c r="M41" s="3441"/>
      <c r="N41" s="3442"/>
      <c r="O41" s="1389" t="str">
        <f>C46</f>
        <v>——</v>
      </c>
      <c r="P41" s="2014"/>
      <c r="V41" s="2014"/>
    </row>
    <row r="42" spans="1:26" ht="29.25">
      <c r="A42" s="3382" t="s">
        <v>2067</v>
      </c>
      <c r="B42" s="3383"/>
      <c r="C42" s="264">
        <f ca="1">C32</f>
        <v>89165</v>
      </c>
      <c r="D42" s="317">
        <f ca="1">C33</f>
        <v>3631</v>
      </c>
      <c r="E42" s="317">
        <f ca="1">C34</f>
        <v>3631</v>
      </c>
      <c r="F42" s="318">
        <f ca="1">C35</f>
        <v>242</v>
      </c>
      <c r="G42" s="311"/>
      <c r="H42" s="311"/>
      <c r="I42" s="319"/>
      <c r="J42" s="2016"/>
      <c r="K42" s="1267" t="s">
        <v>361</v>
      </c>
      <c r="L42" s="2033" t="s">
        <v>362</v>
      </c>
      <c r="M42" s="1268" t="s">
        <v>363</v>
      </c>
      <c r="N42" s="2034" t="s">
        <v>364</v>
      </c>
      <c r="O42" s="2035" t="s">
        <v>365</v>
      </c>
      <c r="P42" s="2014"/>
      <c r="V42" s="2014"/>
    </row>
    <row r="43" spans="1:26" ht="18">
      <c r="A43" s="3393" t="s">
        <v>2730</v>
      </c>
      <c r="B43" s="3394"/>
      <c r="C43" s="264">
        <f>IF(H33="正常操作",G33+G34+G35,G34+G35)</f>
        <v>0</v>
      </c>
      <c r="D43" s="317" t="s">
        <v>43</v>
      </c>
      <c r="E43" s="317" t="s">
        <v>44</v>
      </c>
      <c r="F43" s="318" t="s">
        <v>44</v>
      </c>
      <c r="G43" s="2822" t="s">
        <v>952</v>
      </c>
      <c r="H43" s="311"/>
      <c r="I43" s="319"/>
      <c r="J43" s="2016"/>
      <c r="K43" s="1269" t="str">
        <f>C4</f>
        <v>基准地价</v>
      </c>
      <c r="L43" s="1270">
        <f ca="1">IF(L42="估价结果/万元",C19,C20)</f>
        <v>29882</v>
      </c>
      <c r="M43" s="1271">
        <f>C18</f>
        <v>0.3</v>
      </c>
      <c r="N43" s="1272">
        <f ca="1">IF(N42="测算结果/万元",G19,G20)</f>
        <v>89165</v>
      </c>
      <c r="O43" s="1273">
        <f ca="1">IF(O42="最终结果/万元",C32,C33)</f>
        <v>89165</v>
      </c>
      <c r="P43" s="2014"/>
      <c r="V43" s="2014"/>
    </row>
    <row r="44" spans="1:26" ht="18.75" thickBot="1">
      <c r="A44" s="3382" t="str">
        <f>IF(OR(项目基本情况!E8="抵押价格",项目基本情况!E8="已注销及未注销"),"3.抵押价格","——")</f>
        <v>——</v>
      </c>
      <c r="B44" s="3383"/>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v>
      </c>
      <c r="L44" s="1275">
        <f ca="1">IF(L42="估价结果/万元",D19,D20)</f>
        <v>114572</v>
      </c>
      <c r="M44" s="1276">
        <f>D18</f>
        <v>0.7</v>
      </c>
      <c r="N44" s="1277"/>
      <c r="O44" s="1278"/>
      <c r="P44" s="2014"/>
      <c r="V44" s="2014"/>
    </row>
    <row r="45" spans="1:26" ht="15">
      <c r="A45" s="3388" t="str">
        <f>IF(项目基本情况!E8="已注销及未注销","4.抵押担保权已注销时的抵押价格",IF(项目基本情况!E8="已注销","3.抵押担保权已注销时的抵押价格","——"))</f>
        <v>——</v>
      </c>
      <c r="B45" s="338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4" t="str">
        <f>IF(项目基本情况!E9="抵押净值",IF(A45="——","4.抵押净值","5.抵押净值"),"——")</f>
        <v>——</v>
      </c>
      <c r="B46" s="338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429" t="s">
        <v>374</v>
      </c>
      <c r="B63" s="3430"/>
      <c r="C63" s="3431"/>
      <c r="D63" s="341">
        <f ca="1">ROUND(C42*F63,0)</f>
        <v>53499</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0" t="s">
        <v>378</v>
      </c>
      <c r="B64" s="3391"/>
      <c r="C64" s="3391"/>
      <c r="D64" s="3391"/>
      <c r="E64" s="3391"/>
      <c r="F64" s="3391"/>
      <c r="G64" s="339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6" t="s">
        <v>386</v>
      </c>
      <c r="B66" s="3387"/>
      <c r="C66" s="3387"/>
      <c r="D66" s="261">
        <f ca="1">IF(H66="情况1",0,IF(H66="情况2",D70,IF(H66="情况3",D71,IF(H66="情况4",D72))))</f>
        <v>2802</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444" t="s">
        <v>385</v>
      </c>
      <c r="M66" s="3445"/>
      <c r="N66" s="2423"/>
      <c r="O66" s="2424"/>
      <c r="P66" s="2425"/>
      <c r="Q66" s="2014"/>
      <c r="R66" s="2014"/>
      <c r="S66" s="2014"/>
      <c r="T66" s="2014"/>
      <c r="U66" s="2014"/>
      <c r="V66" s="2014"/>
    </row>
    <row r="67" spans="1:22" ht="25.5" customHeight="1">
      <c r="A67" s="352" t="s">
        <v>390</v>
      </c>
      <c r="B67" s="3377" t="s">
        <v>391</v>
      </c>
      <c r="C67" s="3377"/>
      <c r="D67" s="353">
        <v>0</v>
      </c>
      <c r="E67" s="41" t="s">
        <v>392</v>
      </c>
      <c r="F67" s="62" t="s">
        <v>21</v>
      </c>
      <c r="G67" s="3432"/>
      <c r="H67" s="311"/>
      <c r="I67" s="1288"/>
      <c r="J67" s="2021"/>
      <c r="K67" s="1962">
        <v>2</v>
      </c>
      <c r="L67" s="3443" t="s">
        <v>389</v>
      </c>
      <c r="M67" s="3443"/>
      <c r="N67" s="1321">
        <f>'数据-取费表'!B2</f>
        <v>43654</v>
      </c>
      <c r="O67" s="1321"/>
      <c r="P67" s="1321"/>
      <c r="Q67" s="2014"/>
      <c r="R67" s="2014"/>
      <c r="S67" s="2014"/>
      <c r="T67" s="2014"/>
      <c r="U67" s="2014"/>
      <c r="V67" s="2014"/>
    </row>
    <row r="68" spans="1:22" ht="25.5" customHeight="1">
      <c r="A68" s="354"/>
      <c r="B68" s="3377" t="s">
        <v>394</v>
      </c>
      <c r="C68" s="3377"/>
      <c r="D68" s="355"/>
      <c r="E68" s="77"/>
      <c r="F68" s="356"/>
      <c r="G68" s="3433"/>
      <c r="H68" s="311"/>
      <c r="I68" s="1288"/>
      <c r="J68" s="2021"/>
      <c r="K68" s="1962">
        <v>3</v>
      </c>
      <c r="L68" s="3443" t="s">
        <v>393</v>
      </c>
      <c r="M68" s="3443"/>
      <c r="N68" s="1289">
        <f ca="1">C42</f>
        <v>89165</v>
      </c>
      <c r="O68" s="1289"/>
      <c r="P68" s="1289"/>
      <c r="Q68" s="2014"/>
      <c r="R68" s="2014"/>
      <c r="S68" s="2014"/>
      <c r="T68" s="2014"/>
      <c r="U68" s="2014"/>
      <c r="V68" s="2014"/>
    </row>
    <row r="69" spans="1:22" ht="12" customHeight="1">
      <c r="A69" s="357"/>
      <c r="B69" s="3377" t="s">
        <v>395</v>
      </c>
      <c r="C69" s="3377"/>
      <c r="D69" s="358"/>
      <c r="E69" s="73"/>
      <c r="F69" s="356"/>
      <c r="G69" s="3434"/>
      <c r="H69" s="311"/>
      <c r="I69" s="1288"/>
      <c r="J69" s="2021"/>
      <c r="K69" s="1290">
        <v>4</v>
      </c>
      <c r="L69" s="3448" t="s">
        <v>2882</v>
      </c>
      <c r="M69" s="3449"/>
      <c r="N69" s="1291" t="str">
        <f>C44</f>
        <v>——</v>
      </c>
      <c r="O69" s="1291"/>
      <c r="P69" s="1291"/>
      <c r="Q69" s="2014"/>
      <c r="R69" s="2014"/>
      <c r="S69" s="2014"/>
      <c r="T69" s="2014"/>
      <c r="U69" s="2014"/>
      <c r="V69" s="2014"/>
    </row>
    <row r="70" spans="1:22" ht="24" customHeight="1">
      <c r="A70" s="359" t="s">
        <v>396</v>
      </c>
      <c r="B70" s="3377" t="s">
        <v>397</v>
      </c>
      <c r="C70" s="3377"/>
      <c r="D70" s="358">
        <f ca="1">ROUND(D63*'数据-取费表'!B41/(1+'数据-取费表'!C42),0)</f>
        <v>2802</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78" t="s">
        <v>405</v>
      </c>
      <c r="C71" s="3379"/>
      <c r="D71" s="358">
        <f ca="1">ROUND(D63*'数据-取费表'!B41/(1+'数据-取费表'!C42),0)</f>
        <v>2802</v>
      </c>
      <c r="E71" s="17" t="s">
        <v>398</v>
      </c>
      <c r="F71" s="360">
        <f>'数据-取费表'!B41</f>
        <v>5.5000000000000007E-2</v>
      </c>
      <c r="G71" s="361"/>
      <c r="H71" s="311"/>
      <c r="I71" s="1288"/>
      <c r="J71" s="2021"/>
      <c r="K71" s="3013" t="s">
        <v>399</v>
      </c>
      <c r="L71" s="3450" t="s">
        <v>400</v>
      </c>
      <c r="M71" s="3450"/>
      <c r="N71" s="3013" t="s">
        <v>401</v>
      </c>
      <c r="O71" s="3013" t="s">
        <v>402</v>
      </c>
      <c r="P71" s="3013" t="s">
        <v>403</v>
      </c>
      <c r="Q71" s="2014"/>
      <c r="R71" s="2014"/>
      <c r="S71" s="2014"/>
      <c r="T71" s="2014"/>
      <c r="U71" s="2014"/>
      <c r="V71" s="2014"/>
    </row>
    <row r="72" spans="1:22" ht="12" customHeight="1">
      <c r="A72" s="359" t="s">
        <v>407</v>
      </c>
      <c r="B72" s="3378" t="s">
        <v>408</v>
      </c>
      <c r="C72" s="3379"/>
      <c r="D72" s="358">
        <f ca="1">C86</f>
        <v>2692</v>
      </c>
      <c r="E72" s="73" t="s">
        <v>409</v>
      </c>
      <c r="F72" s="360">
        <f>'数据-取费表'!B41</f>
        <v>5.5000000000000007E-2</v>
      </c>
      <c r="G72" s="361"/>
      <c r="H72" s="1294"/>
      <c r="I72" s="1288"/>
      <c r="J72" s="2021"/>
      <c r="K72" s="1962">
        <v>1</v>
      </c>
      <c r="L72" s="3425" t="s">
        <v>406</v>
      </c>
      <c r="M72" s="3425"/>
      <c r="N72" s="1292">
        <f ca="1">D66</f>
        <v>2802</v>
      </c>
      <c r="O72" s="1845" t="str">
        <f>E66</f>
        <v>销售额×税（费）率</v>
      </c>
      <c r="P72" s="1293">
        <f>F66</f>
        <v>5.5000000000000007E-2</v>
      </c>
      <c r="Q72" s="2014"/>
      <c r="R72" s="2014"/>
      <c r="S72" s="2014"/>
      <c r="T72" s="2014"/>
      <c r="U72" s="2014"/>
      <c r="V72" s="2014"/>
    </row>
    <row r="73" spans="1:22" ht="24" customHeight="1">
      <c r="A73" s="3419" t="s">
        <v>411</v>
      </c>
      <c r="B73" s="3387"/>
      <c r="C73" s="3387"/>
      <c r="D73" s="362">
        <f>IF(H73="个人住宅",0,ROUND(D63*I73,0))</f>
        <v>0</v>
      </c>
      <c r="E73" s="17" t="s">
        <v>412</v>
      </c>
      <c r="F73" s="360" t="str">
        <f>IF(H73="正常",I73,"免征")</f>
        <v>免征</v>
      </c>
      <c r="G73" s="361"/>
      <c r="H73" s="191" t="s">
        <v>2455</v>
      </c>
      <c r="I73" s="360">
        <f>'数据-取费表'!B49</f>
        <v>5.0000000000000001E-4</v>
      </c>
      <c r="J73" s="2021"/>
      <c r="K73" s="1962">
        <v>2</v>
      </c>
      <c r="L73" s="3425" t="s">
        <v>410</v>
      </c>
      <c r="M73" s="3425"/>
      <c r="N73" s="1292">
        <f t="shared" ref="N73:P74" si="1">D73</f>
        <v>0</v>
      </c>
      <c r="O73" s="1845" t="str">
        <f t="shared" si="1"/>
        <v>销售额×税（费）率</v>
      </c>
      <c r="P73" s="1293" t="str">
        <f t="shared" si="1"/>
        <v>免征</v>
      </c>
      <c r="Q73" s="2014"/>
      <c r="R73" s="2014"/>
      <c r="S73" s="2014"/>
      <c r="T73" s="2014"/>
      <c r="U73" s="2014"/>
      <c r="V73" s="2014"/>
    </row>
    <row r="74" spans="1:22" ht="24.75">
      <c r="A74" s="3419" t="s">
        <v>415</v>
      </c>
      <c r="B74" s="3387"/>
      <c r="C74" s="3387"/>
      <c r="D74" s="362">
        <f ca="1">IF(H74="个人住宅",D75,D76)</f>
        <v>29673</v>
      </c>
      <c r="E74" s="17" t="s">
        <v>416</v>
      </c>
      <c r="F74" s="360" t="str">
        <f>IF(H74="正常",F76,"免征")</f>
        <v>——</v>
      </c>
      <c r="G74" s="983" t="s">
        <v>417</v>
      </c>
      <c r="H74" s="363" t="s">
        <v>413</v>
      </c>
      <c r="I74" s="42"/>
      <c r="J74" s="2021"/>
      <c r="K74" s="1962">
        <v>3</v>
      </c>
      <c r="L74" s="3425" t="s">
        <v>414</v>
      </c>
      <c r="M74" s="3425"/>
      <c r="N74" s="1292">
        <f t="shared" ca="1" si="1"/>
        <v>29673</v>
      </c>
      <c r="O74" s="1845" t="str">
        <f t="shared" si="1"/>
        <v>增值额×税（费）率</v>
      </c>
      <c r="P74" s="1295" t="str">
        <f t="shared" si="1"/>
        <v>——</v>
      </c>
      <c r="Q74" s="2014"/>
      <c r="R74" s="2014"/>
      <c r="S74" s="2014"/>
      <c r="T74" s="2014"/>
      <c r="U74" s="2014"/>
      <c r="V74" s="2014"/>
    </row>
    <row r="75" spans="1:22" ht="24">
      <c r="A75" s="359" t="s">
        <v>418</v>
      </c>
      <c r="B75" s="3375" t="s">
        <v>419</v>
      </c>
      <c r="C75" s="3405"/>
      <c r="D75" s="364">
        <v>0</v>
      </c>
      <c r="E75" s="41" t="s">
        <v>420</v>
      </c>
      <c r="F75" s="365"/>
      <c r="G75" s="361"/>
      <c r="H75" s="42"/>
      <c r="I75" s="42"/>
      <c r="J75" s="2021"/>
      <c r="K75" s="3006">
        <f>IF(H77="非个人房产","",4)</f>
        <v>4</v>
      </c>
      <c r="L75" s="3425" t="str">
        <f>IF(H77="非个人房产","——","个人所得税")</f>
        <v>个人所得税</v>
      </c>
      <c r="M75" s="3425"/>
      <c r="N75" s="1296">
        <f ca="1">D77</f>
        <v>535</v>
      </c>
      <c r="O75" s="1858" t="str">
        <f>E77</f>
        <v>销售额×税（费）率</v>
      </c>
      <c r="P75" s="1297">
        <f>F77</f>
        <v>0.01</v>
      </c>
      <c r="Q75" s="2014"/>
      <c r="R75" s="2014"/>
      <c r="S75" s="2014"/>
      <c r="T75" s="2014"/>
      <c r="U75" s="2014"/>
      <c r="V75" s="2014"/>
    </row>
    <row r="76" spans="1:22" ht="24.75">
      <c r="A76" s="359" t="s">
        <v>396</v>
      </c>
      <c r="B76" s="3375" t="s">
        <v>422</v>
      </c>
      <c r="C76" s="3376"/>
      <c r="D76" s="362">
        <f ca="1">IF(H76="转让取得",C99,C115)</f>
        <v>29673</v>
      </c>
      <c r="E76" s="17" t="s">
        <v>423</v>
      </c>
      <c r="F76" s="53" t="s">
        <v>21</v>
      </c>
      <c r="G76" s="361"/>
      <c r="H76" s="363" t="s">
        <v>424</v>
      </c>
      <c r="I76" s="42"/>
      <c r="J76" s="2021"/>
      <c r="K76" s="3006" t="str">
        <f>IF(项目基本情况!K6="上海银行",IF(K75="",4,K75+1),"")</f>
        <v/>
      </c>
      <c r="L76" s="3436" t="str">
        <f>IF(项目基本情况!K6="上海银行","其他处置费用","")</f>
        <v/>
      </c>
      <c r="M76" s="3437"/>
      <c r="N76" s="1292" t="str">
        <f>IF(项目基本情况!K6="上海银行",N89,"")</f>
        <v/>
      </c>
      <c r="O76" s="3438" t="str">
        <f>IF(项目基本情况!K6="上海银行","包含处置中涉及的律师、诉讼、拍卖、评估等费用","")</f>
        <v/>
      </c>
      <c r="P76" s="3439"/>
      <c r="Q76" s="2014"/>
      <c r="R76" s="2014"/>
      <c r="S76" s="2014"/>
      <c r="T76" s="2014"/>
      <c r="U76" s="2014"/>
      <c r="V76" s="2014"/>
    </row>
    <row r="77" spans="1:22" ht="26.25" thickBot="1">
      <c r="A77" s="3427" t="s">
        <v>426</v>
      </c>
      <c r="B77" s="3428"/>
      <c r="C77" s="3428"/>
      <c r="D77" s="366">
        <f ca="1">IF(H77="非个人房产","——",IF(H77="个人住宅",0,ROUND(D63*I77,0)))</f>
        <v>535</v>
      </c>
      <c r="E77" s="367" t="str">
        <f>IF(H77="非个人房产","——","销售额×税（费）率")</f>
        <v>销售额×税（费）率</v>
      </c>
      <c r="F77" s="368">
        <f>IF(H77="非个人房产","——",IF(H77="个人住宅","免征",I77))</f>
        <v>0.01</v>
      </c>
      <c r="G77" s="984" t="s">
        <v>417</v>
      </c>
      <c r="H77" s="363" t="s">
        <v>2883</v>
      </c>
      <c r="I77" s="369">
        <v>0.01</v>
      </c>
      <c r="J77" s="2021"/>
      <c r="K77" s="3426">
        <f>IF(AND(K75="",K76=""),4,IF(项目基本情况!K6="上海银行",K76+1,K75+1))</f>
        <v>5</v>
      </c>
      <c r="L77" s="3425" t="s">
        <v>2884</v>
      </c>
      <c r="M77" s="3012" t="s">
        <v>421</v>
      </c>
      <c r="N77" s="1298"/>
      <c r="O77" s="1299">
        <f ca="1">SUMIF(N72:N76,"&lt;9e307")</f>
        <v>33010</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426"/>
      <c r="L78" s="3425"/>
      <c r="M78" s="3012" t="s">
        <v>425</v>
      </c>
      <c r="N78" s="1298"/>
      <c r="O78" s="1299" t="str">
        <f ca="1">NUMBERSTRING(INT(O77*10000),2)&amp;"元整"</f>
        <v>叁亿叁仟零壹拾万元整</v>
      </c>
      <c r="P78" s="1300"/>
      <c r="Q78" s="2014"/>
      <c r="R78" s="2014"/>
      <c r="S78" s="2014"/>
      <c r="T78" s="2014"/>
      <c r="U78" s="2014"/>
      <c r="V78" s="2014"/>
    </row>
    <row r="79" spans="1:22" ht="13.5" thickBot="1">
      <c r="A79" s="3420" t="s">
        <v>427</v>
      </c>
      <c r="B79" s="3420"/>
      <c r="C79" s="3420"/>
      <c r="D79" s="3420"/>
      <c r="E79" s="3420"/>
      <c r="F79" s="42"/>
      <c r="G79" s="42"/>
      <c r="H79" s="1003"/>
      <c r="I79" s="311"/>
      <c r="J79" s="2021"/>
      <c r="K79" s="3446">
        <f>K77+1</f>
        <v>6</v>
      </c>
      <c r="L79" s="3425" t="s">
        <v>2885</v>
      </c>
      <c r="M79" s="3012" t="s">
        <v>421</v>
      </c>
      <c r="N79" s="1298"/>
      <c r="O79" s="1299" t="e">
        <f ca="1">N69-O77</f>
        <v>#VALUE!</v>
      </c>
      <c r="P79" s="1300"/>
      <c r="Q79" s="2014"/>
      <c r="R79" s="2014"/>
      <c r="S79" s="2014"/>
      <c r="T79" s="2014"/>
      <c r="U79" s="2014"/>
      <c r="V79" s="2014"/>
    </row>
    <row r="80" spans="1:22" ht="12.75">
      <c r="A80" s="3415" t="s">
        <v>428</v>
      </c>
      <c r="B80" s="3416"/>
      <c r="C80" s="994"/>
      <c r="D80" s="994" t="s">
        <v>429</v>
      </c>
      <c r="E80" s="370" t="s">
        <v>430</v>
      </c>
      <c r="F80" s="42"/>
      <c r="G80" s="42"/>
      <c r="H80" s="1003"/>
      <c r="I80" s="311"/>
      <c r="J80" s="2014"/>
      <c r="K80" s="3447"/>
      <c r="L80" s="3425"/>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50951</v>
      </c>
      <c r="D81" s="373"/>
      <c r="E81" s="374"/>
      <c r="F81" s="42"/>
      <c r="G81" s="42"/>
      <c r="H81" s="1003"/>
      <c r="I81" s="311"/>
      <c r="J81" s="2014"/>
      <c r="K81" s="3006">
        <f>K79+1</f>
        <v>7</v>
      </c>
      <c r="L81" s="3423" t="s">
        <v>2886</v>
      </c>
      <c r="M81" s="3424"/>
      <c r="N81" s="1302"/>
      <c r="O81" s="1303" t="e">
        <f ca="1">ROUND(O79*10000/'数据-汇总表'!E3,0)</f>
        <v>#VALUE!</v>
      </c>
      <c r="P81" s="1304"/>
      <c r="Q81" s="2014"/>
      <c r="R81" s="2014"/>
      <c r="S81" s="2014"/>
      <c r="T81" s="2014"/>
      <c r="U81" s="2014"/>
      <c r="V81" s="2014"/>
    </row>
    <row r="82" spans="1:26" ht="13.5" thickTop="1">
      <c r="A82" s="375" t="s">
        <v>1824</v>
      </c>
      <c r="B82" s="376" t="s">
        <v>432</v>
      </c>
      <c r="C82" s="377">
        <f ca="1">D63</f>
        <v>53499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435" t="s">
        <v>2873</v>
      </c>
      <c r="L83" s="3018" t="s">
        <v>2874</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435"/>
      <c r="L84" s="3018" t="s">
        <v>2875</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2876</v>
      </c>
      <c r="P84" s="2014"/>
      <c r="Q84" s="2014"/>
      <c r="R84" s="2014"/>
      <c r="S84" s="2014"/>
      <c r="T84" s="2014"/>
      <c r="U84" s="2014"/>
      <c r="V84" s="2014"/>
    </row>
    <row r="85" spans="1:26" ht="12.75">
      <c r="A85" s="381" t="s">
        <v>1827</v>
      </c>
      <c r="B85" s="382" t="s">
        <v>435</v>
      </c>
      <c r="C85" s="385">
        <f ca="1">C81-C84</f>
        <v>48951</v>
      </c>
      <c r="D85" s="378" t="s">
        <v>19</v>
      </c>
      <c r="E85" s="379"/>
      <c r="F85" s="42"/>
      <c r="G85" s="42"/>
      <c r="H85" s="1003"/>
      <c r="I85" s="311"/>
      <c r="J85" s="2014"/>
      <c r="K85" s="3435"/>
      <c r="L85" s="3018" t="s">
        <v>2877</v>
      </c>
      <c r="M85" s="3008" t="e">
        <f>IF(N69&gt;1000,N69*0.1%,IF(AND(N69&gt;500,N69&lt;=1000),N69*0.5%,IF(AND(N69&gt;50,N69&lt;=500),N69*1%,IF(AND(N69&gt;1,N69&lt;=50),N69*1.5%))))</f>
        <v>#VALUE!</v>
      </c>
      <c r="N85" s="53" t="e">
        <f t="shared" si="2"/>
        <v>#VALUE!</v>
      </c>
      <c r="O85" s="2014" t="s">
        <v>2876</v>
      </c>
      <c r="P85" s="2014"/>
      <c r="Q85" s="2014"/>
      <c r="R85" s="2014"/>
      <c r="S85" s="2014"/>
      <c r="T85" s="2014"/>
      <c r="U85" s="2014"/>
      <c r="V85" s="2014"/>
    </row>
    <row r="86" spans="1:26" ht="13.5" thickBot="1">
      <c r="A86" s="386" t="s">
        <v>1828</v>
      </c>
      <c r="B86" s="387" t="s">
        <v>436</v>
      </c>
      <c r="C86" s="388">
        <f ca="1">IF(C85&lt;=0,0,ROUND(C85*D86,0))</f>
        <v>2692</v>
      </c>
      <c r="D86" s="389">
        <f>'数据-取费表'!B41</f>
        <v>5.5000000000000007E-2</v>
      </c>
      <c r="E86" s="390"/>
      <c r="F86" s="42"/>
      <c r="G86" s="42"/>
      <c r="H86" s="1003"/>
      <c r="I86" s="311"/>
      <c r="J86" s="2014"/>
      <c r="K86" s="3435"/>
      <c r="L86" s="3018" t="s">
        <v>2878</v>
      </c>
      <c r="M86" s="3008" t="e">
        <f>N69*0.5%</f>
        <v>#VALUE!</v>
      </c>
      <c r="N86" s="53" t="e">
        <f>IF(M86&gt;0.5,0.5,ROUND(M86,0))</f>
        <v>#VALUE!</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435"/>
      <c r="L87" s="3018" t="s">
        <v>2880</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417" t="s">
        <v>437</v>
      </c>
      <c r="B88" s="3418"/>
      <c r="C88" s="3418"/>
      <c r="D88" s="3418"/>
      <c r="E88" s="3418"/>
      <c r="F88" s="3418"/>
      <c r="G88" s="3418"/>
      <c r="H88" s="3418"/>
      <c r="I88" s="1311"/>
      <c r="J88" s="2022"/>
      <c r="K88" s="3435"/>
      <c r="L88" s="3018" t="s">
        <v>2881</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415" t="s">
        <v>428</v>
      </c>
      <c r="B89" s="3416"/>
      <c r="C89" s="994"/>
      <c r="D89" s="994" t="s">
        <v>429</v>
      </c>
      <c r="E89" s="391" t="s">
        <v>438</v>
      </c>
      <c r="F89" s="392"/>
      <c r="G89" s="392"/>
      <c r="H89" s="393"/>
      <c r="I89" s="1312"/>
      <c r="J89" s="2024"/>
      <c r="K89" s="3435"/>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50951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2816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8" t="s">
        <v>447</v>
      </c>
      <c r="F94" s="3377"/>
      <c r="G94" s="3377"/>
      <c r="H94" s="341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255</v>
      </c>
      <c r="D96" s="406">
        <f>'数据-取费表'!B43</f>
        <v>5.000000000000001E-3</v>
      </c>
      <c r="E96" s="3406" t="s">
        <v>2428</v>
      </c>
      <c r="F96" s="3407"/>
      <c r="G96" s="3407"/>
      <c r="H96" s="340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48135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17.093394886363637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27895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417" t="s">
        <v>454</v>
      </c>
      <c r="B101" s="3418"/>
      <c r="C101" s="3418"/>
      <c r="D101" s="3418"/>
      <c r="E101" s="3418"/>
      <c r="F101" s="3418"/>
      <c r="G101" s="3418"/>
      <c r="H101" s="341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415" t="s">
        <v>428</v>
      </c>
      <c r="B102" s="341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50951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945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409" t="s">
        <v>462</v>
      </c>
      <c r="F109" s="3407"/>
      <c r="G109" s="3407"/>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409" t="s">
        <v>464</v>
      </c>
      <c r="F110" s="3407"/>
      <c r="G110" s="3407"/>
      <c r="H110" s="340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255</v>
      </c>
      <c r="D111" s="406">
        <f>'数据-取费表'!B43</f>
        <v>5.000000000000001E-3</v>
      </c>
      <c r="E111" s="3406" t="s">
        <v>2428</v>
      </c>
      <c r="F111" s="3407"/>
      <c r="G111" s="3407"/>
      <c r="H111" s="340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409" t="s">
        <v>2453</v>
      </c>
      <c r="F112" s="3407"/>
      <c r="G112" s="3407"/>
      <c r="H112" s="340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50006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52.916402116402118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29673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-4868</v>
      </c>
      <c r="C2" s="2090"/>
      <c r="D2" s="2090"/>
      <c r="E2" s="2090"/>
      <c r="F2" s="2090"/>
      <c r="G2" s="2090"/>
      <c r="H2" s="2090"/>
      <c r="I2" s="2090"/>
      <c r="J2" s="2090"/>
      <c r="K2" s="2090"/>
    </row>
    <row r="3" spans="1:31" s="2027" customFormat="1" ht="18" customHeight="1">
      <c r="A3" s="2092" t="s">
        <v>1684</v>
      </c>
      <c r="B3" s="2093">
        <f ca="1">ROUND(B2*10000/IF(B1="",'数据-汇总表'!E3,INDIRECT("'数据-取费表'!K"&amp;$K$1)),0)</f>
        <v>-198</v>
      </c>
      <c r="C3" s="2090"/>
      <c r="D3" s="2090"/>
      <c r="E3" s="2090"/>
      <c r="F3" s="2090"/>
      <c r="G3" s="2090"/>
      <c r="H3" s="2090"/>
      <c r="I3" s="2090"/>
      <c r="J3" s="2090"/>
      <c r="K3" s="2090"/>
    </row>
    <row r="4" spans="1:31" s="2027" customFormat="1" ht="18" customHeight="1">
      <c r="A4" s="426" t="s">
        <v>468</v>
      </c>
      <c r="B4" s="427">
        <f ca="1">ROUND(B2*10000/IF(B1="",'数据-汇总表'!D3,INDIRECT("'数据-取费表'!R"&amp;$K$1)),0)</f>
        <v>-198</v>
      </c>
      <c r="C4" s="428"/>
      <c r="D4" s="422"/>
      <c r="E4" s="422"/>
      <c r="F4" s="422"/>
      <c r="G4" s="422"/>
      <c r="H4" s="422"/>
      <c r="I4" s="422"/>
      <c r="J4" s="422"/>
      <c r="K4" s="422"/>
    </row>
    <row r="5" spans="1:31" s="2027" customFormat="1" ht="18" customHeight="1" thickBot="1">
      <c r="A5" s="429"/>
      <c r="B5" s="430">
        <f ca="1">ROUND(B2/(IF(B1="",'数据-汇总表'!D3,INDIRECT("'数据-取费表'!R"&amp;$K$1))/666.67),0)</f>
        <v>-13</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4911</v>
      </c>
      <c r="D16" s="2800">
        <f ca="1">IF(B1="",'数据-汇总表'!E3,INDIRECT("'数据-取费表'!K"&amp;$K$1)+INDIRECT("'数据-取费表'!S"&amp;$K$1))</f>
        <v>245539.3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245539.3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245539.3</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8" t="s">
        <v>2833</v>
      </c>
      <c r="C23" s="2808">
        <f ca="1">ROUND((C18+C19+C20)*F23,0)</f>
        <v>98</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ROUND(C6*F24,0)</f>
        <v>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2835</v>
      </c>
      <c r="C26" s="2813">
        <f ca="1">C28</f>
        <v>0</v>
      </c>
      <c r="D26" s="467">
        <f ca="1">C27</f>
        <v>0</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0</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5009</v>
      </c>
      <c r="D30" s="477">
        <f ca="1">C32</f>
        <v>2.9000000000000001E-2</v>
      </c>
      <c r="E30" s="469" t="s">
        <v>495</v>
      </c>
      <c r="F30" s="471"/>
      <c r="G30" s="2776" t="s">
        <v>2972</v>
      </c>
      <c r="H30" s="2769"/>
      <c r="I30" s="2769"/>
      <c r="J30" s="2769"/>
      <c r="K30" s="2770"/>
    </row>
    <row r="31" spans="1:14" s="2106" customFormat="1" ht="13.5" customHeight="1">
      <c r="A31" s="803" t="s">
        <v>1856</v>
      </c>
      <c r="B31" s="2814"/>
      <c r="C31" s="450">
        <f ca="1">C18+C19+C20+C23+C24+C26+C29</f>
        <v>5009</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2832</v>
      </c>
      <c r="B33" s="2985" t="s">
        <v>2830</v>
      </c>
      <c r="C33" s="478">
        <f ca="1">C35</f>
        <v>601</v>
      </c>
      <c r="D33" s="467">
        <f ca="1">C34</f>
        <v>0.1235</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0.1235</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601</v>
      </c>
      <c r="D35" s="1615"/>
      <c r="E35" s="2820"/>
      <c r="F35" s="1616"/>
      <c r="G35" s="2778"/>
      <c r="H35" s="2779"/>
      <c r="I35" s="2779"/>
      <c r="J35" s="2779"/>
      <c r="K35" s="2780"/>
    </row>
    <row r="36" spans="1:11" s="2071" customFormat="1" ht="13.5" customHeight="1" thickBot="1">
      <c r="A36" s="284" t="s">
        <v>1844</v>
      </c>
      <c r="B36" s="2782"/>
      <c r="C36" s="2821">
        <f ca="1">ROUND((C6-C30-C33)/(1+D30+D33),0)</f>
        <v>-4868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#DIV/0!</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#DIV/0!</v>
      </c>
      <c r="C3" s="2090"/>
      <c r="D3" s="2090"/>
      <c r="E3" s="2090"/>
      <c r="F3" s="2090"/>
      <c r="G3" s="2090"/>
      <c r="H3" s="2090"/>
      <c r="I3" s="2090"/>
      <c r="J3" s="2090"/>
      <c r="K3" s="2090"/>
    </row>
    <row r="4" spans="1:41" s="2027" customFormat="1" ht="18" customHeight="1">
      <c r="A4" s="426" t="s">
        <v>468</v>
      </c>
      <c r="B4" s="427" t="e">
        <f ca="1">ROUND(B2*10000/IF(B1="",'数据-汇总表'!D3,INDIRECT("'数据-取费表'!R"&amp;$K$1)),0)</f>
        <v>#DIV/0!</v>
      </c>
      <c r="C4" s="2047"/>
      <c r="D4" s="2090"/>
      <c r="E4" s="2090"/>
      <c r="F4" s="2090"/>
      <c r="G4" s="2090"/>
      <c r="H4" s="2090"/>
      <c r="I4" s="2090"/>
      <c r="J4" s="2090"/>
      <c r="K4" s="2090"/>
    </row>
    <row r="5" spans="1:41" s="2027" customFormat="1" ht="18" customHeight="1" thickBot="1">
      <c r="A5" s="429"/>
      <c r="B5" s="430" t="e">
        <f ca="1">ROUND(B2/(IF(B1="",'数据-汇总表'!D3,INDIRECT("'数据-取费表'!R"&amp;$K$1))/666.67),0)</f>
        <v>#DIV/0!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4911</v>
      </c>
      <c r="D16" s="451">
        <f ca="1">IF(B1="",'数据-汇总表'!E3,INDIRECT("'数据-取费表'!K"&amp;$K$1)+INDIRECT("'数据-取费表'!S"&amp;$K$1))</f>
        <v>245539.3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4911</v>
      </c>
      <c r="D18" s="461"/>
      <c r="E18" s="462"/>
      <c r="F18" s="462"/>
      <c r="G18" s="1323" t="s">
        <v>2432</v>
      </c>
      <c r="H18" s="447"/>
      <c r="I18" s="447"/>
      <c r="J18" s="447"/>
      <c r="K18" s="448"/>
    </row>
    <row r="19" spans="1:14" s="2105" customFormat="1" ht="13.5" customHeight="1">
      <c r="A19" s="1620" t="s">
        <v>1854</v>
      </c>
      <c r="B19" s="459" t="s">
        <v>493</v>
      </c>
      <c r="C19" s="460">
        <f ca="1">ROUND(C18*F19,0)</f>
        <v>98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2831</v>
      </c>
      <c r="C24" s="478">
        <f ca="1">C25</f>
        <v>601</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2436</v>
      </c>
      <c r="C25" s="490">
        <f ca="1">ROUND((C18+C19)*F24,0)</f>
        <v>601</v>
      </c>
      <c r="D25" s="472"/>
      <c r="E25" s="473"/>
      <c r="F25" s="480"/>
      <c r="G25" s="1322" t="s">
        <v>2433</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2829</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6064</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#DIV/0!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8"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6" t="str">
        <f>项目基本情况!B1</f>
        <v>出让国有建设用地使用权预评估</v>
      </c>
      <c r="C37" s="3286"/>
      <c r="D37" s="3286"/>
      <c r="E37" s="3286"/>
      <c r="F37" s="3286"/>
      <c r="G37" s="3286"/>
      <c r="H37" s="3286"/>
      <c r="I37" s="3286"/>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60" t="s">
        <v>522</v>
      </c>
      <c r="D6" s="3461"/>
      <c r="E6" s="3460" t="s">
        <v>523</v>
      </c>
      <c r="F6" s="3461"/>
      <c r="G6" s="3460" t="s">
        <v>524</v>
      </c>
      <c r="H6" s="3461"/>
      <c r="I6" s="3460" t="s">
        <v>525</v>
      </c>
      <c r="J6" s="3461"/>
      <c r="K6" s="514" t="s">
        <v>526</v>
      </c>
      <c r="L6" s="2119"/>
      <c r="M6" s="2118"/>
      <c r="N6" s="2118"/>
      <c r="O6" s="2120"/>
      <c r="P6" s="3462" t="s">
        <v>527</v>
      </c>
      <c r="Q6" s="3463"/>
      <c r="R6" s="3468" t="s">
        <v>523</v>
      </c>
      <c r="S6" s="3469"/>
      <c r="T6" s="3468" t="s">
        <v>524</v>
      </c>
      <c r="U6" s="3469"/>
      <c r="V6" s="3455" t="s">
        <v>525</v>
      </c>
      <c r="W6" s="3455"/>
      <c r="X6" s="1554"/>
      <c r="Y6" s="3468" t="s">
        <v>527</v>
      </c>
      <c r="Z6" s="3469"/>
      <c r="AA6" s="3457" t="s">
        <v>523</v>
      </c>
      <c r="AB6" s="3458" t="s">
        <v>524</v>
      </c>
      <c r="AC6" s="3457" t="s">
        <v>525</v>
      </c>
    </row>
    <row r="7" spans="1:30" ht="20.25">
      <c r="A7" s="515"/>
      <c r="B7" s="516"/>
      <c r="C7" s="3476" t="s">
        <v>2930</v>
      </c>
      <c r="D7" s="3477"/>
      <c r="E7" s="3476" t="s">
        <v>2931</v>
      </c>
      <c r="F7" s="3477"/>
      <c r="G7" s="3476" t="s">
        <v>2932</v>
      </c>
      <c r="H7" s="3477"/>
      <c r="I7" s="3476" t="s">
        <v>2933</v>
      </c>
      <c r="J7" s="3477"/>
      <c r="K7" s="514"/>
      <c r="L7" s="2119"/>
      <c r="M7" s="2118"/>
      <c r="N7" s="2118"/>
      <c r="O7" s="2120"/>
      <c r="P7" s="3464"/>
      <c r="Q7" s="3465"/>
      <c r="R7" s="3470"/>
      <c r="S7" s="3471"/>
      <c r="T7" s="3470"/>
      <c r="U7" s="3471"/>
      <c r="V7" s="3455"/>
      <c r="W7" s="3455"/>
      <c r="X7" s="1554"/>
      <c r="Y7" s="3470"/>
      <c r="Z7" s="3471"/>
      <c r="AA7" s="3458"/>
      <c r="AB7" s="3458"/>
      <c r="AC7" s="3458"/>
    </row>
    <row r="8" spans="1:30" ht="21" thickBot="1">
      <c r="A8" s="515"/>
      <c r="B8" s="516"/>
      <c r="C8" s="3478" t="s">
        <v>2934</v>
      </c>
      <c r="D8" s="3479"/>
      <c r="E8" s="3478" t="s">
        <v>2934</v>
      </c>
      <c r="F8" s="3479"/>
      <c r="G8" s="3474" t="s">
        <v>2934</v>
      </c>
      <c r="H8" s="3475"/>
      <c r="I8" s="3474" t="s">
        <v>2934</v>
      </c>
      <c r="J8" s="3475"/>
      <c r="K8" s="514" t="s">
        <v>528</v>
      </c>
      <c r="L8" s="2119"/>
      <c r="M8" s="2118"/>
      <c r="N8" s="2118"/>
      <c r="O8" s="2120"/>
      <c r="P8" s="3466"/>
      <c r="Q8" s="3467"/>
      <c r="R8" s="3470"/>
      <c r="S8" s="3471"/>
      <c r="T8" s="3472"/>
      <c r="U8" s="3473"/>
      <c r="V8" s="3455"/>
      <c r="W8" s="3455"/>
      <c r="X8" s="1554"/>
      <c r="Y8" s="3472"/>
      <c r="Z8" s="3473"/>
      <c r="AA8" s="3459"/>
      <c r="AB8" s="3459"/>
      <c r="AC8" s="3459"/>
    </row>
    <row r="9" spans="1:30" s="1216" customFormat="1" ht="21" thickBot="1">
      <c r="A9" s="2868"/>
      <c r="B9" s="2875" t="s">
        <v>529</v>
      </c>
      <c r="C9" s="2867">
        <f>'数据-取费表'!B2</f>
        <v>43654</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85" t="s">
        <v>530</v>
      </c>
      <c r="Q9" s="3487"/>
      <c r="R9" s="1555" t="s">
        <v>8</v>
      </c>
      <c r="S9" s="1556">
        <f t="shared" ref="S9:S17" si="0">F9</f>
        <v>0</v>
      </c>
      <c r="T9" s="1555" t="s">
        <v>8</v>
      </c>
      <c r="U9" s="1556">
        <f t="shared" ref="U9:U17" si="1">H9</f>
        <v>0</v>
      </c>
      <c r="V9" s="1555" t="s">
        <v>8</v>
      </c>
      <c r="W9" s="1556">
        <f t="shared" ref="W9:W17" si="2">J9</f>
        <v>0</v>
      </c>
      <c r="X9" s="1557"/>
      <c r="Y9" s="3485" t="s">
        <v>530</v>
      </c>
      <c r="Z9" s="3486"/>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85" t="s">
        <v>533</v>
      </c>
      <c r="Q10" s="3486"/>
      <c r="R10" s="1555" t="s">
        <v>8</v>
      </c>
      <c r="S10" s="1556">
        <f t="shared" si="0"/>
        <v>0</v>
      </c>
      <c r="T10" s="1555" t="s">
        <v>8</v>
      </c>
      <c r="U10" s="1556">
        <f t="shared" si="1"/>
        <v>0</v>
      </c>
      <c r="V10" s="1555" t="s">
        <v>8</v>
      </c>
      <c r="W10" s="1556">
        <f t="shared" si="2"/>
        <v>0</v>
      </c>
      <c r="X10" s="1557"/>
      <c r="Y10" s="3485" t="s">
        <v>533</v>
      </c>
      <c r="Z10" s="3486"/>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54" t="s">
        <v>535</v>
      </c>
      <c r="Q11" s="1147" t="str">
        <f t="shared" ref="Q11:Q17" si="6">B11</f>
        <v>用途</v>
      </c>
      <c r="R11" s="1555" t="s">
        <v>8</v>
      </c>
      <c r="S11" s="1556">
        <f t="shared" si="0"/>
        <v>100</v>
      </c>
      <c r="T11" s="1555" t="s">
        <v>8</v>
      </c>
      <c r="U11" s="1556">
        <f t="shared" si="1"/>
        <v>100</v>
      </c>
      <c r="V11" s="1555" t="s">
        <v>8</v>
      </c>
      <c r="W11" s="1556">
        <f t="shared" si="2"/>
        <v>100</v>
      </c>
      <c r="X11" s="1557"/>
      <c r="Y11" s="3400"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111</v>
      </c>
      <c r="G12" s="530"/>
      <c r="H12" s="255">
        <f>ROUND(100/'数据-取费表'!G16,0)</f>
        <v>111</v>
      </c>
      <c r="I12" s="530"/>
      <c r="J12" s="255">
        <f>ROUND(100/'数据-取费表'!G16,0)</f>
        <v>111</v>
      </c>
      <c r="K12" s="531"/>
      <c r="L12" s="2124"/>
      <c r="M12" s="2118"/>
      <c r="N12" s="2118"/>
      <c r="O12" s="2125"/>
      <c r="P12" s="3454"/>
      <c r="Q12" s="1147" t="str">
        <f t="shared" si="6"/>
        <v>土地使用年限（年）</v>
      </c>
      <c r="R12" s="1555" t="s">
        <v>8</v>
      </c>
      <c r="S12" s="1556">
        <f t="shared" si="0"/>
        <v>111</v>
      </c>
      <c r="T12" s="1555" t="s">
        <v>8</v>
      </c>
      <c r="U12" s="1556">
        <f t="shared" si="1"/>
        <v>111</v>
      </c>
      <c r="V12" s="1555" t="s">
        <v>8</v>
      </c>
      <c r="W12" s="1556">
        <f t="shared" si="2"/>
        <v>111</v>
      </c>
      <c r="X12" s="1557"/>
      <c r="Y12" s="3400"/>
      <c r="Z12" s="1146" t="str">
        <f t="shared" si="7"/>
        <v>土地使用年限（年）</v>
      </c>
      <c r="AA12" s="1558">
        <f t="shared" si="3"/>
        <v>0.90090090090090091</v>
      </c>
      <c r="AB12" s="1558">
        <f t="shared" si="4"/>
        <v>0.90090090090090091</v>
      </c>
      <c r="AC12" s="1558">
        <f t="shared" si="5"/>
        <v>0.90090090090090091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54"/>
      <c r="Q13" s="1147" t="str">
        <f t="shared" si="6"/>
        <v>容积率</v>
      </c>
      <c r="R13" s="1555" t="s">
        <v>8</v>
      </c>
      <c r="S13" s="1556" t="e">
        <f t="shared" si="0"/>
        <v>#N/A</v>
      </c>
      <c r="T13" s="1555" t="s">
        <v>8</v>
      </c>
      <c r="U13" s="1556" t="e">
        <f t="shared" si="1"/>
        <v>#N/A</v>
      </c>
      <c r="V13" s="1555" t="s">
        <v>8</v>
      </c>
      <c r="W13" s="1556" t="e">
        <f t="shared" si="2"/>
        <v>#N/A</v>
      </c>
      <c r="X13" s="1557"/>
      <c r="Y13" s="3400"/>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54"/>
      <c r="Q14" s="1147" t="str">
        <f t="shared" si="6"/>
        <v>配建</v>
      </c>
      <c r="R14" s="1555" t="s">
        <v>8</v>
      </c>
      <c r="S14" s="1556">
        <f t="shared" si="0"/>
        <v>100</v>
      </c>
      <c r="T14" s="1555" t="s">
        <v>8</v>
      </c>
      <c r="U14" s="1556">
        <f t="shared" si="1"/>
        <v>100</v>
      </c>
      <c r="V14" s="1555" t="s">
        <v>8</v>
      </c>
      <c r="W14" s="1556">
        <f t="shared" si="2"/>
        <v>100</v>
      </c>
      <c r="X14" s="1557"/>
      <c r="Y14" s="340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54"/>
      <c r="Q15" s="1147">
        <f t="shared" si="6"/>
        <v>111</v>
      </c>
      <c r="R15" s="1555" t="s">
        <v>8</v>
      </c>
      <c r="S15" s="1556">
        <f t="shared" si="0"/>
        <v>100</v>
      </c>
      <c r="T15" s="1555" t="s">
        <v>8</v>
      </c>
      <c r="U15" s="1556">
        <f t="shared" si="1"/>
        <v>100</v>
      </c>
      <c r="V15" s="1555" t="s">
        <v>8</v>
      </c>
      <c r="W15" s="1556">
        <f t="shared" si="2"/>
        <v>100</v>
      </c>
      <c r="X15" s="1557"/>
      <c r="Y15" s="340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54"/>
      <c r="Q16" s="1147">
        <f t="shared" si="6"/>
        <v>111</v>
      </c>
      <c r="R16" s="1555" t="s">
        <v>8</v>
      </c>
      <c r="S16" s="1556">
        <f t="shared" si="0"/>
        <v>100</v>
      </c>
      <c r="T16" s="1555" t="s">
        <v>8</v>
      </c>
      <c r="U16" s="1556">
        <f t="shared" si="1"/>
        <v>100</v>
      </c>
      <c r="V16" s="1555" t="s">
        <v>8</v>
      </c>
      <c r="W16" s="1556">
        <f t="shared" si="2"/>
        <v>100</v>
      </c>
      <c r="X16" s="1557"/>
      <c r="Y16" s="3400"/>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88" t="s">
        <v>540</v>
      </c>
      <c r="Q17" s="1559" t="str">
        <f t="shared" si="6"/>
        <v>居住社区成熟度</v>
      </c>
      <c r="R17" s="1560" t="s">
        <v>8</v>
      </c>
      <c r="S17" s="1561">
        <f t="shared" si="0"/>
        <v>100</v>
      </c>
      <c r="T17" s="1560" t="s">
        <v>8</v>
      </c>
      <c r="U17" s="1561">
        <f t="shared" si="1"/>
        <v>100</v>
      </c>
      <c r="V17" s="1560" t="s">
        <v>8</v>
      </c>
      <c r="W17" s="1561">
        <f t="shared" si="2"/>
        <v>100</v>
      </c>
      <c r="X17" s="1554"/>
      <c r="Y17" s="348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89"/>
      <c r="Q18" s="1559"/>
      <c r="R18" s="1560"/>
      <c r="S18" s="1561"/>
      <c r="T18" s="1560"/>
      <c r="U18" s="1561"/>
      <c r="V18" s="1560"/>
      <c r="W18" s="1561"/>
      <c r="X18" s="1554"/>
      <c r="Y18" s="348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89"/>
      <c r="Q19" s="1559" t="str">
        <f>B19</f>
        <v>商业繁华度</v>
      </c>
      <c r="R19" s="1560" t="s">
        <v>8</v>
      </c>
      <c r="S19" s="1561">
        <f>F19</f>
        <v>100</v>
      </c>
      <c r="T19" s="1560" t="s">
        <v>8</v>
      </c>
      <c r="U19" s="1561">
        <f>H19</f>
        <v>100</v>
      </c>
      <c r="V19" s="1560" t="s">
        <v>8</v>
      </c>
      <c r="W19" s="1561">
        <f>J19</f>
        <v>100</v>
      </c>
      <c r="X19" s="1554"/>
      <c r="Y19" s="348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89"/>
      <c r="Q20" s="1559"/>
      <c r="R20" s="1560"/>
      <c r="S20" s="1561"/>
      <c r="T20" s="1560"/>
      <c r="U20" s="1561"/>
      <c r="V20" s="1560"/>
      <c r="W20" s="1561"/>
      <c r="X20" s="1554"/>
      <c r="Y20" s="348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89"/>
      <c r="Q21" s="1559" t="str">
        <f>B21</f>
        <v>办公集聚程度</v>
      </c>
      <c r="R21" s="1560" t="s">
        <v>8</v>
      </c>
      <c r="S21" s="1561">
        <f>F21</f>
        <v>100</v>
      </c>
      <c r="T21" s="1560" t="s">
        <v>8</v>
      </c>
      <c r="U21" s="1561">
        <f>H21</f>
        <v>100</v>
      </c>
      <c r="V21" s="1560" t="s">
        <v>8</v>
      </c>
      <c r="W21" s="1561">
        <f>J21</f>
        <v>100</v>
      </c>
      <c r="X21" s="1554"/>
      <c r="Y21" s="348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89"/>
      <c r="Q22" s="1559"/>
      <c r="R22" s="1560"/>
      <c r="S22" s="1561"/>
      <c r="T22" s="1560"/>
      <c r="U22" s="1561"/>
      <c r="V22" s="1560"/>
      <c r="W22" s="1561"/>
      <c r="X22" s="1554"/>
      <c r="Y22" s="348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89"/>
      <c r="Q23" s="1559" t="str">
        <f>B23</f>
        <v>交通便捷度</v>
      </c>
      <c r="R23" s="1560" t="s">
        <v>8</v>
      </c>
      <c r="S23" s="1561">
        <f>F23</f>
        <v>100</v>
      </c>
      <c r="T23" s="1560" t="s">
        <v>8</v>
      </c>
      <c r="U23" s="1561">
        <f>H23</f>
        <v>100</v>
      </c>
      <c r="V23" s="1560" t="s">
        <v>8</v>
      </c>
      <c r="W23" s="1561">
        <f>J23</f>
        <v>100</v>
      </c>
      <c r="X23" s="1554"/>
      <c r="Y23" s="348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89"/>
      <c r="Q24" s="1559"/>
      <c r="R24" s="1560"/>
      <c r="S24" s="1561"/>
      <c r="T24" s="1560"/>
      <c r="U24" s="1561"/>
      <c r="V24" s="1560"/>
      <c r="W24" s="1561"/>
      <c r="X24" s="1554"/>
      <c r="Y24" s="348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89"/>
      <c r="Q25" s="1559" t="str">
        <f t="shared" ref="Q25:Q39" si="8">B25</f>
        <v>区域土地利用方向</v>
      </c>
      <c r="R25" s="1560" t="s">
        <v>8</v>
      </c>
      <c r="S25" s="1561">
        <f>F25</f>
        <v>100</v>
      </c>
      <c r="T25" s="1560" t="s">
        <v>8</v>
      </c>
      <c r="U25" s="1561">
        <f>H25</f>
        <v>100</v>
      </c>
      <c r="V25" s="1560" t="s">
        <v>8</v>
      </c>
      <c r="W25" s="1561">
        <f>J25</f>
        <v>100</v>
      </c>
      <c r="X25" s="1554"/>
      <c r="Y25" s="348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89"/>
      <c r="Q26" s="1559"/>
      <c r="R26" s="1560"/>
      <c r="S26" s="1561"/>
      <c r="T26" s="1560"/>
      <c r="U26" s="1561"/>
      <c r="V26" s="1560"/>
      <c r="W26" s="1561"/>
      <c r="X26" s="1554"/>
      <c r="Y26" s="348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89"/>
      <c r="Q27" s="1559" t="str">
        <f t="shared" si="8"/>
        <v>自然及人文环境状况</v>
      </c>
      <c r="R27" s="1560" t="s">
        <v>8</v>
      </c>
      <c r="S27" s="1561">
        <f>F27</f>
        <v>100</v>
      </c>
      <c r="T27" s="1560" t="s">
        <v>8</v>
      </c>
      <c r="U27" s="1561">
        <f>H27</f>
        <v>100</v>
      </c>
      <c r="V27" s="1560" t="s">
        <v>8</v>
      </c>
      <c r="W27" s="1561">
        <f>J27</f>
        <v>100</v>
      </c>
      <c r="X27" s="1554"/>
      <c r="Y27" s="348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89"/>
      <c r="Q28" s="1559"/>
      <c r="R28" s="1560"/>
      <c r="S28" s="1561"/>
      <c r="T28" s="1560"/>
      <c r="U28" s="1561"/>
      <c r="V28" s="1560"/>
      <c r="W28" s="1561"/>
      <c r="X28" s="1554"/>
      <c r="Y28" s="3489"/>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89"/>
      <c r="Q29" s="1147" t="str">
        <f t="shared" si="8"/>
        <v>公共配套设施</v>
      </c>
      <c r="R29" s="1555" t="s">
        <v>8</v>
      </c>
      <c r="S29" s="1556">
        <f>F29</f>
        <v>100</v>
      </c>
      <c r="T29" s="1555" t="s">
        <v>8</v>
      </c>
      <c r="U29" s="1556">
        <f>H29</f>
        <v>100</v>
      </c>
      <c r="V29" s="1555" t="s">
        <v>8</v>
      </c>
      <c r="W29" s="1556">
        <f>J29</f>
        <v>100</v>
      </c>
      <c r="X29" s="1557"/>
      <c r="Y29" s="348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89"/>
      <c r="Q30" s="1147"/>
      <c r="R30" s="1555"/>
      <c r="S30" s="1556"/>
      <c r="T30" s="1555"/>
      <c r="U30" s="1556"/>
      <c r="V30" s="1555"/>
      <c r="W30" s="1556"/>
      <c r="X30" s="1557"/>
      <c r="Y30" s="3489"/>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89"/>
      <c r="Q31" s="2543" t="str">
        <f t="shared" ref="Q31" si="9">B31</f>
        <v>基础设施水平</v>
      </c>
      <c r="R31" s="1555" t="s">
        <v>8</v>
      </c>
      <c r="S31" s="1556">
        <f>F31</f>
        <v>100</v>
      </c>
      <c r="T31" s="1555" t="s">
        <v>8</v>
      </c>
      <c r="U31" s="1556">
        <f>H31</f>
        <v>100</v>
      </c>
      <c r="V31" s="1555" t="s">
        <v>8</v>
      </c>
      <c r="W31" s="1556">
        <f>J31</f>
        <v>100</v>
      </c>
      <c r="X31" s="1557"/>
      <c r="Y31" s="348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89"/>
      <c r="Q32" s="2543"/>
      <c r="R32" s="1555"/>
      <c r="S32" s="1556"/>
      <c r="T32" s="1555"/>
      <c r="U32" s="1556"/>
      <c r="V32" s="1555"/>
      <c r="W32" s="1556"/>
      <c r="X32" s="1557"/>
      <c r="Y32" s="348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8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8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89"/>
      <c r="Q34" s="1559" t="str">
        <f t="shared" si="8"/>
        <v>毗邻道路的类型与等级</v>
      </c>
      <c r="R34" s="1560" t="s">
        <v>8</v>
      </c>
      <c r="S34" s="1561">
        <f t="shared" si="10"/>
        <v>100</v>
      </c>
      <c r="T34" s="1560" t="s">
        <v>8</v>
      </c>
      <c r="U34" s="1561">
        <f t="shared" si="11"/>
        <v>100</v>
      </c>
      <c r="V34" s="1560" t="s">
        <v>8</v>
      </c>
      <c r="W34" s="1561">
        <f t="shared" si="12"/>
        <v>100</v>
      </c>
      <c r="X34" s="1554"/>
      <c r="Y34" s="348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89"/>
      <c r="Q35" s="1559"/>
      <c r="R35" s="1560"/>
      <c r="S35" s="1561"/>
      <c r="T35" s="1560"/>
      <c r="U35" s="1561"/>
      <c r="V35" s="1560"/>
      <c r="W35" s="1561"/>
      <c r="X35" s="1554"/>
      <c r="Y35" s="348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89"/>
      <c r="Q36" s="1559" t="str">
        <f t="shared" si="8"/>
        <v>土地级别</v>
      </c>
      <c r="R36" s="1560" t="s">
        <v>8</v>
      </c>
      <c r="S36" s="1561">
        <f t="shared" si="10"/>
        <v>100</v>
      </c>
      <c r="T36" s="1560" t="s">
        <v>8</v>
      </c>
      <c r="U36" s="1561">
        <f t="shared" si="11"/>
        <v>100</v>
      </c>
      <c r="V36" s="1560" t="s">
        <v>8</v>
      </c>
      <c r="W36" s="1561">
        <f t="shared" si="12"/>
        <v>100</v>
      </c>
      <c r="X36" s="1554"/>
      <c r="Y36" s="348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89"/>
      <c r="Q37" s="1559">
        <f t="shared" si="8"/>
        <v>111</v>
      </c>
      <c r="R37" s="1560" t="s">
        <v>8</v>
      </c>
      <c r="S37" s="1561">
        <f t="shared" si="10"/>
        <v>100</v>
      </c>
      <c r="T37" s="1560" t="s">
        <v>8</v>
      </c>
      <c r="U37" s="1561">
        <f t="shared" si="11"/>
        <v>100</v>
      </c>
      <c r="V37" s="1560" t="s">
        <v>8</v>
      </c>
      <c r="W37" s="1561">
        <f t="shared" si="12"/>
        <v>100</v>
      </c>
      <c r="X37" s="1554"/>
      <c r="Y37" s="348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90" t="s">
        <v>550</v>
      </c>
      <c r="Q38" s="1559">
        <f t="shared" si="8"/>
        <v>111</v>
      </c>
      <c r="R38" s="1560" t="s">
        <v>8</v>
      </c>
      <c r="S38" s="1561">
        <f t="shared" si="10"/>
        <v>100</v>
      </c>
      <c r="T38" s="1560" t="s">
        <v>8</v>
      </c>
      <c r="U38" s="1561">
        <f t="shared" si="11"/>
        <v>100</v>
      </c>
      <c r="V38" s="1560" t="s">
        <v>8</v>
      </c>
      <c r="W38" s="1561">
        <f t="shared" si="12"/>
        <v>100</v>
      </c>
      <c r="X38" s="1554"/>
      <c r="Y38" s="3491"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91"/>
      <c r="Q39" s="1559">
        <f t="shared" si="8"/>
        <v>111</v>
      </c>
      <c r="R39" s="1564" t="s">
        <v>8</v>
      </c>
      <c r="S39" s="1565">
        <f t="shared" si="10"/>
        <v>100</v>
      </c>
      <c r="T39" s="1564" t="s">
        <v>8</v>
      </c>
      <c r="U39" s="1565">
        <f t="shared" si="11"/>
        <v>100</v>
      </c>
      <c r="V39" s="1564" t="s">
        <v>8</v>
      </c>
      <c r="W39" s="1565">
        <f t="shared" si="12"/>
        <v>100</v>
      </c>
      <c r="X39" s="1566"/>
      <c r="Y39" s="3491"/>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91"/>
      <c r="Q40" s="1559" t="str">
        <f>B40</f>
        <v>宗地面积</v>
      </c>
      <c r="R40" s="1560" t="s">
        <v>8</v>
      </c>
      <c r="S40" s="1561" t="e">
        <f t="shared" si="10"/>
        <v>#N/A</v>
      </c>
      <c r="T40" s="1560" t="s">
        <v>8</v>
      </c>
      <c r="U40" s="1561" t="e">
        <f t="shared" si="11"/>
        <v>#N/A</v>
      </c>
      <c r="V40" s="1560" t="s">
        <v>8</v>
      </c>
      <c r="W40" s="1561" t="e">
        <f t="shared" si="12"/>
        <v>#N/A</v>
      </c>
      <c r="X40" s="1554"/>
      <c r="Y40" s="3491"/>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91"/>
      <c r="Q41" s="1559" t="str">
        <f t="shared" ref="Q41:Q47" si="14">B41</f>
        <v>宗地形状</v>
      </c>
      <c r="R41" s="1560" t="s">
        <v>8</v>
      </c>
      <c r="S41" s="1561">
        <f t="shared" si="10"/>
        <v>100</v>
      </c>
      <c r="T41" s="1560" t="s">
        <v>8</v>
      </c>
      <c r="U41" s="1561">
        <f t="shared" si="11"/>
        <v>100</v>
      </c>
      <c r="V41" s="1560" t="s">
        <v>8</v>
      </c>
      <c r="W41" s="1561">
        <f t="shared" si="12"/>
        <v>100</v>
      </c>
      <c r="X41" s="1554"/>
      <c r="Y41" s="349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91"/>
      <c r="Q42" s="1559" t="str">
        <f t="shared" si="14"/>
        <v>临街宽度及深度</v>
      </c>
      <c r="R42" s="1560" t="s">
        <v>8</v>
      </c>
      <c r="S42" s="1561">
        <f t="shared" si="10"/>
        <v>100</v>
      </c>
      <c r="T42" s="1560" t="s">
        <v>8</v>
      </c>
      <c r="U42" s="1561">
        <f t="shared" si="11"/>
        <v>100</v>
      </c>
      <c r="V42" s="1560" t="s">
        <v>8</v>
      </c>
      <c r="W42" s="1561">
        <f t="shared" si="12"/>
        <v>100</v>
      </c>
      <c r="X42" s="1554"/>
      <c r="Y42" s="3491"/>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91"/>
      <c r="Q43" s="1559" t="str">
        <f t="shared" si="14"/>
        <v>宗地开发程度</v>
      </c>
      <c r="R43" s="1555" t="s">
        <v>8</v>
      </c>
      <c r="S43" s="1556">
        <f t="shared" si="10"/>
        <v>100</v>
      </c>
      <c r="T43" s="1555" t="s">
        <v>8</v>
      </c>
      <c r="U43" s="1556">
        <f t="shared" si="11"/>
        <v>100</v>
      </c>
      <c r="V43" s="1555" t="s">
        <v>8</v>
      </c>
      <c r="W43" s="1556">
        <f t="shared" si="12"/>
        <v>100</v>
      </c>
      <c r="X43" s="1557"/>
      <c r="Y43" s="3491"/>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91" t="s">
        <v>550</v>
      </c>
      <c r="Q44" s="1559" t="str">
        <f t="shared" si="14"/>
        <v>工程地质条件</v>
      </c>
      <c r="R44" s="1560" t="s">
        <v>8</v>
      </c>
      <c r="S44" s="1561">
        <f t="shared" si="10"/>
        <v>100</v>
      </c>
      <c r="T44" s="1560" t="s">
        <v>8</v>
      </c>
      <c r="U44" s="1561">
        <f t="shared" si="11"/>
        <v>100</v>
      </c>
      <c r="V44" s="1560" t="s">
        <v>8</v>
      </c>
      <c r="W44" s="1561">
        <f t="shared" si="12"/>
        <v>100</v>
      </c>
      <c r="X44" s="1554"/>
      <c r="Y44" s="3491"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91"/>
      <c r="Q45" s="1559">
        <f t="shared" si="14"/>
        <v>111</v>
      </c>
      <c r="R45" s="1560" t="s">
        <v>8</v>
      </c>
      <c r="S45" s="1561">
        <f t="shared" si="10"/>
        <v>100</v>
      </c>
      <c r="T45" s="1560" t="s">
        <v>8</v>
      </c>
      <c r="U45" s="1561">
        <f t="shared" si="11"/>
        <v>100</v>
      </c>
      <c r="V45" s="1560" t="s">
        <v>8</v>
      </c>
      <c r="W45" s="1561">
        <f t="shared" si="12"/>
        <v>100</v>
      </c>
      <c r="X45" s="1554"/>
      <c r="Y45" s="349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91"/>
      <c r="Q46" s="1559">
        <f t="shared" si="14"/>
        <v>111</v>
      </c>
      <c r="R46" s="1560" t="s">
        <v>8</v>
      </c>
      <c r="S46" s="1561">
        <f t="shared" si="10"/>
        <v>100</v>
      </c>
      <c r="T46" s="1560" t="s">
        <v>8</v>
      </c>
      <c r="U46" s="1561">
        <f t="shared" si="11"/>
        <v>100</v>
      </c>
      <c r="V46" s="1560" t="s">
        <v>8</v>
      </c>
      <c r="W46" s="1561">
        <f t="shared" si="12"/>
        <v>100</v>
      </c>
      <c r="X46" s="1554"/>
      <c r="Y46" s="349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91"/>
      <c r="Q47" s="1559">
        <f t="shared" si="14"/>
        <v>111</v>
      </c>
      <c r="R47" s="1564" t="s">
        <v>8</v>
      </c>
      <c r="S47" s="1565">
        <f t="shared" si="10"/>
        <v>100</v>
      </c>
      <c r="T47" s="1564" t="s">
        <v>8</v>
      </c>
      <c r="U47" s="1565">
        <f t="shared" si="11"/>
        <v>100</v>
      </c>
      <c r="V47" s="1564" t="s">
        <v>8</v>
      </c>
      <c r="W47" s="1565">
        <f t="shared" si="12"/>
        <v>100</v>
      </c>
      <c r="X47" s="1566"/>
      <c r="Y47" s="3491"/>
      <c r="Z47" s="1567">
        <f t="shared" si="13"/>
        <v>111</v>
      </c>
      <c r="AA47" s="1563">
        <f t="shared" si="3"/>
        <v>1</v>
      </c>
      <c r="AB47" s="1563">
        <f t="shared" si="4"/>
        <v>1</v>
      </c>
      <c r="AC47" s="1563">
        <f t="shared" si="5"/>
        <v>1</v>
      </c>
    </row>
    <row r="48" spans="1:29" ht="20.25">
      <c r="A48" s="607" t="s">
        <v>556</v>
      </c>
      <c r="B48" s="608" t="s">
        <v>2935</v>
      </c>
      <c r="C48" s="609" t="s">
        <v>1</v>
      </c>
      <c r="D48" s="610"/>
      <c r="E48" s="611"/>
      <c r="F48" s="612"/>
      <c r="G48" s="613"/>
      <c r="H48" s="614"/>
      <c r="I48" s="611"/>
      <c r="J48" s="614"/>
      <c r="K48" s="1336"/>
      <c r="L48" s="2130"/>
      <c r="M48" s="2118"/>
      <c r="N48" s="2118"/>
      <c r="O48" s="2131"/>
      <c r="P48" s="3454" t="str">
        <f>A48</f>
        <v>成交单价</v>
      </c>
      <c r="Q48" s="3454"/>
      <c r="R48" s="3455">
        <f>E48</f>
        <v>0</v>
      </c>
      <c r="S48" s="3455"/>
      <c r="T48" s="3455">
        <f>G48</f>
        <v>0</v>
      </c>
      <c r="U48" s="3455"/>
      <c r="V48" s="3455">
        <f>I48</f>
        <v>0</v>
      </c>
      <c r="W48" s="3455"/>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54" t="str">
        <f>A49</f>
        <v>比较价格（元/平方米）</v>
      </c>
      <c r="Q49" s="3454"/>
      <c r="R49" s="3456" t="e">
        <f>ROUND(PRODUCT(R48,AA9:AA47),0)</f>
        <v>#DIV/0!</v>
      </c>
      <c r="S49" s="3456"/>
      <c r="T49" s="3456" t="e">
        <f>ROUND(PRODUCT(T48,AB9:AB47),0)</f>
        <v>#DIV/0!</v>
      </c>
      <c r="U49" s="3456"/>
      <c r="V49" s="3456" t="e">
        <f>ROUND(PRODUCT(V48,AC9:AC47),0)</f>
        <v>#DIV/0!</v>
      </c>
      <c r="W49" s="3456"/>
      <c r="X49" s="1546"/>
      <c r="Y49" s="1546"/>
      <c r="Z49" s="1546"/>
      <c r="AA49" s="1546"/>
      <c r="AB49" s="1546"/>
      <c r="AC49" s="1546"/>
    </row>
    <row r="50" spans="1:29" ht="21" thickBot="1">
      <c r="A50" s="621" t="s">
        <v>2936</v>
      </c>
      <c r="B50" s="622"/>
      <c r="C50" s="623" t="e">
        <f>R50</f>
        <v>#DIV/0!</v>
      </c>
      <c r="D50" s="623"/>
      <c r="E50" s="623"/>
      <c r="F50" s="623"/>
      <c r="G50" s="623"/>
      <c r="H50" s="623"/>
      <c r="I50" s="623"/>
      <c r="J50" s="623"/>
      <c r="K50" s="1338"/>
      <c r="L50" s="2130"/>
      <c r="M50" s="2118"/>
      <c r="N50" s="2118"/>
      <c r="O50" s="2131"/>
      <c r="P50" s="3451" t="str">
        <f>A50</f>
        <v>估价对象XX用房的比较价格（楼面单价，元/平方米）</v>
      </c>
      <c r="Q50" s="3452"/>
      <c r="R50" s="3453" t="e">
        <f>ROUND(AVERAGE(R49:V49),0)</f>
        <v>#DIV/0!</v>
      </c>
      <c r="S50" s="3453"/>
      <c r="T50" s="3453"/>
      <c r="U50" s="3453"/>
      <c r="V50" s="3453"/>
      <c r="W50" s="345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80" t="s">
        <v>2281</v>
      </c>
      <c r="H57" s="3481"/>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245539.3</v>
      </c>
      <c r="F58" s="636" t="e">
        <f t="shared" ref="F58:F67" si="15">ROUND(B58*E58/10000,0)</f>
        <v>#DIV/0!</v>
      </c>
      <c r="G58" s="3482"/>
      <c r="H58" s="348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84"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8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8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8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245539.3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60" t="s">
        <v>522</v>
      </c>
      <c r="D6" s="3461"/>
      <c r="E6" s="3494" t="s">
        <v>523</v>
      </c>
      <c r="F6" s="3495"/>
      <c r="G6" s="3460" t="s">
        <v>524</v>
      </c>
      <c r="H6" s="3461"/>
      <c r="I6" s="3460" t="s">
        <v>525</v>
      </c>
      <c r="J6" s="3461"/>
      <c r="K6" s="514" t="s">
        <v>526</v>
      </c>
      <c r="L6" s="2119"/>
      <c r="M6" s="2120"/>
      <c r="N6" s="2120"/>
      <c r="O6" s="2120"/>
      <c r="P6" s="3462" t="s">
        <v>527</v>
      </c>
      <c r="Q6" s="3463"/>
      <c r="R6" s="3468" t="s">
        <v>523</v>
      </c>
      <c r="S6" s="3469"/>
      <c r="T6" s="3468" t="s">
        <v>524</v>
      </c>
      <c r="U6" s="3469"/>
      <c r="V6" s="3455" t="s">
        <v>525</v>
      </c>
      <c r="W6" s="3455"/>
      <c r="X6" s="1554"/>
      <c r="Y6" s="3468" t="s">
        <v>527</v>
      </c>
      <c r="Z6" s="3469"/>
      <c r="AA6" s="3457" t="s">
        <v>523</v>
      </c>
      <c r="AB6" s="3458" t="s">
        <v>524</v>
      </c>
      <c r="AC6" s="3457" t="s">
        <v>525</v>
      </c>
    </row>
    <row r="7" spans="1:29" ht="15">
      <c r="A7" s="515"/>
      <c r="B7" s="516"/>
      <c r="C7" s="3476" t="s">
        <v>2930</v>
      </c>
      <c r="D7" s="3477"/>
      <c r="E7" s="3496" t="s">
        <v>2931</v>
      </c>
      <c r="F7" s="3497"/>
      <c r="G7" s="3476" t="s">
        <v>2932</v>
      </c>
      <c r="H7" s="3477"/>
      <c r="I7" s="3476" t="s">
        <v>2933</v>
      </c>
      <c r="J7" s="3477"/>
      <c r="K7" s="514"/>
      <c r="L7" s="2119"/>
      <c r="M7" s="2120"/>
      <c r="N7" s="2120"/>
      <c r="O7" s="2120"/>
      <c r="P7" s="3464"/>
      <c r="Q7" s="3465"/>
      <c r="R7" s="3470"/>
      <c r="S7" s="3471"/>
      <c r="T7" s="3470"/>
      <c r="U7" s="3471"/>
      <c r="V7" s="3455"/>
      <c r="W7" s="3455"/>
      <c r="X7" s="1554"/>
      <c r="Y7" s="3470"/>
      <c r="Z7" s="3471"/>
      <c r="AA7" s="3458"/>
      <c r="AB7" s="3458"/>
      <c r="AC7" s="3458"/>
    </row>
    <row r="8" spans="1:29" ht="15.75" thickBot="1">
      <c r="A8" s="517"/>
      <c r="B8" s="518"/>
      <c r="C8" s="3474" t="s">
        <v>2934</v>
      </c>
      <c r="D8" s="3475"/>
      <c r="E8" s="3492" t="s">
        <v>2934</v>
      </c>
      <c r="F8" s="3493"/>
      <c r="G8" s="3474" t="s">
        <v>2934</v>
      </c>
      <c r="H8" s="3475"/>
      <c r="I8" s="3474" t="s">
        <v>2934</v>
      </c>
      <c r="J8" s="3475"/>
      <c r="K8" s="514" t="s">
        <v>528</v>
      </c>
      <c r="L8" s="2119"/>
      <c r="M8" s="2120"/>
      <c r="N8" s="2120"/>
      <c r="O8" s="2120"/>
      <c r="P8" s="3466"/>
      <c r="Q8" s="3467"/>
      <c r="R8" s="3470"/>
      <c r="S8" s="3471"/>
      <c r="T8" s="3472"/>
      <c r="U8" s="3473"/>
      <c r="V8" s="3455"/>
      <c r="W8" s="3455"/>
      <c r="X8" s="1554"/>
      <c r="Y8" s="3472"/>
      <c r="Z8" s="3473"/>
      <c r="AA8" s="3459"/>
      <c r="AB8" s="3459"/>
      <c r="AC8" s="3459"/>
    </row>
    <row r="9" spans="1:29" s="1216" customFormat="1" ht="15.75" thickBot="1">
      <c r="A9" s="2868"/>
      <c r="B9" s="2875" t="s">
        <v>529</v>
      </c>
      <c r="C9" s="519">
        <f>'数据-取费表'!B2</f>
        <v>43654</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85" t="s">
        <v>530</v>
      </c>
      <c r="Q9" s="3487"/>
      <c r="R9" s="1555" t="s">
        <v>8</v>
      </c>
      <c r="S9" s="1556">
        <f t="shared" ref="S9:S17" si="0">F9</f>
        <v>0</v>
      </c>
      <c r="T9" s="1555" t="s">
        <v>8</v>
      </c>
      <c r="U9" s="1556">
        <f t="shared" ref="U9:U17" si="1">H9</f>
        <v>0</v>
      </c>
      <c r="V9" s="1555" t="s">
        <v>8</v>
      </c>
      <c r="W9" s="1556">
        <f t="shared" ref="W9:W17" si="2">J9</f>
        <v>0</v>
      </c>
      <c r="X9" s="1557"/>
      <c r="Y9" s="3485" t="s">
        <v>530</v>
      </c>
      <c r="Z9" s="348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85" t="s">
        <v>533</v>
      </c>
      <c r="Q10" s="3486"/>
      <c r="R10" s="1555" t="s">
        <v>8</v>
      </c>
      <c r="S10" s="1556">
        <f t="shared" si="0"/>
        <v>0</v>
      </c>
      <c r="T10" s="1555" t="s">
        <v>8</v>
      </c>
      <c r="U10" s="1556">
        <f t="shared" si="1"/>
        <v>0</v>
      </c>
      <c r="V10" s="1555" t="s">
        <v>8</v>
      </c>
      <c r="W10" s="1556">
        <f t="shared" si="2"/>
        <v>0</v>
      </c>
      <c r="X10" s="1557"/>
      <c r="Y10" s="3485" t="s">
        <v>533</v>
      </c>
      <c r="Z10" s="3486"/>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54" t="s">
        <v>535</v>
      </c>
      <c r="Q11" s="1147" t="str">
        <f t="shared" ref="Q11:Q17" si="6">B11</f>
        <v>用途</v>
      </c>
      <c r="R11" s="1555" t="s">
        <v>8</v>
      </c>
      <c r="S11" s="1556">
        <f t="shared" si="0"/>
        <v>100</v>
      </c>
      <c r="T11" s="1555" t="s">
        <v>8</v>
      </c>
      <c r="U11" s="1556">
        <f t="shared" si="1"/>
        <v>100</v>
      </c>
      <c r="V11" s="1555" t="s">
        <v>8</v>
      </c>
      <c r="W11" s="1556">
        <f t="shared" si="2"/>
        <v>100</v>
      </c>
      <c r="X11" s="1557"/>
      <c r="Y11" s="3400"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111</v>
      </c>
      <c r="G12" s="528"/>
      <c r="H12" s="255">
        <f>ROUND(100/'数据-取费表'!G16,0)</f>
        <v>111</v>
      </c>
      <c r="I12" s="528"/>
      <c r="J12" s="255">
        <f>ROUND(100/'数据-取费表'!G16,0)</f>
        <v>111</v>
      </c>
      <c r="K12" s="531"/>
      <c r="L12" s="2124"/>
      <c r="M12" s="2164"/>
      <c r="N12" s="2164"/>
      <c r="O12" s="2125"/>
      <c r="P12" s="3454"/>
      <c r="Q12" s="1147" t="str">
        <f t="shared" si="6"/>
        <v>土地使用年限（年）</v>
      </c>
      <c r="R12" s="1555" t="s">
        <v>8</v>
      </c>
      <c r="S12" s="1556">
        <f t="shared" si="0"/>
        <v>111</v>
      </c>
      <c r="T12" s="1555" t="s">
        <v>8</v>
      </c>
      <c r="U12" s="1556">
        <f t="shared" si="1"/>
        <v>111</v>
      </c>
      <c r="V12" s="1555" t="s">
        <v>8</v>
      </c>
      <c r="W12" s="1556">
        <f t="shared" si="2"/>
        <v>111</v>
      </c>
      <c r="X12" s="1557"/>
      <c r="Y12" s="3400"/>
      <c r="Z12" s="1146" t="str">
        <f t="shared" si="7"/>
        <v>土地使用年限（年）</v>
      </c>
      <c r="AA12" s="1558">
        <f t="shared" si="3"/>
        <v>0.90090090090090091</v>
      </c>
      <c r="AB12" s="1558">
        <f t="shared" si="4"/>
        <v>0.90090090090090091</v>
      </c>
      <c r="AC12" s="1558">
        <f t="shared" si="5"/>
        <v>0.90090090090090091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54"/>
      <c r="Q13" s="1147" t="str">
        <f t="shared" si="6"/>
        <v>容积率</v>
      </c>
      <c r="R13" s="1555" t="s">
        <v>8</v>
      </c>
      <c r="S13" s="1556" t="e">
        <f t="shared" si="0"/>
        <v>#N/A</v>
      </c>
      <c r="T13" s="1555" t="s">
        <v>8</v>
      </c>
      <c r="U13" s="1556" t="e">
        <f t="shared" si="1"/>
        <v>#N/A</v>
      </c>
      <c r="V13" s="1555" t="s">
        <v>8</v>
      </c>
      <c r="W13" s="1556" t="e">
        <f t="shared" si="2"/>
        <v>#N/A</v>
      </c>
      <c r="X13" s="1557"/>
      <c r="Y13" s="340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54"/>
      <c r="Q14" s="1147">
        <f t="shared" si="6"/>
        <v>111</v>
      </c>
      <c r="R14" s="1555" t="s">
        <v>8</v>
      </c>
      <c r="S14" s="1556">
        <f t="shared" si="0"/>
        <v>100</v>
      </c>
      <c r="T14" s="1555" t="s">
        <v>8</v>
      </c>
      <c r="U14" s="1556">
        <f t="shared" si="1"/>
        <v>100</v>
      </c>
      <c r="V14" s="1555" t="s">
        <v>8</v>
      </c>
      <c r="W14" s="1556">
        <f t="shared" si="2"/>
        <v>100</v>
      </c>
      <c r="X14" s="1557"/>
      <c r="Y14" s="340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54"/>
      <c r="Q15" s="1147">
        <f t="shared" si="6"/>
        <v>111</v>
      </c>
      <c r="R15" s="1555" t="s">
        <v>8</v>
      </c>
      <c r="S15" s="1556">
        <f t="shared" si="0"/>
        <v>100</v>
      </c>
      <c r="T15" s="1555" t="s">
        <v>8</v>
      </c>
      <c r="U15" s="1556">
        <f t="shared" si="1"/>
        <v>100</v>
      </c>
      <c r="V15" s="1555" t="s">
        <v>8</v>
      </c>
      <c r="W15" s="1556">
        <f t="shared" si="2"/>
        <v>100</v>
      </c>
      <c r="X15" s="1557"/>
      <c r="Y15" s="340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54"/>
      <c r="Q16" s="1147">
        <f t="shared" si="6"/>
        <v>111</v>
      </c>
      <c r="R16" s="1555" t="s">
        <v>8</v>
      </c>
      <c r="S16" s="1556">
        <f t="shared" si="0"/>
        <v>100</v>
      </c>
      <c r="T16" s="1555" t="s">
        <v>8</v>
      </c>
      <c r="U16" s="1556">
        <f t="shared" si="1"/>
        <v>100</v>
      </c>
      <c r="V16" s="1555" t="s">
        <v>8</v>
      </c>
      <c r="W16" s="1556">
        <f t="shared" si="2"/>
        <v>100</v>
      </c>
      <c r="X16" s="1557"/>
      <c r="Y16" s="3400"/>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88" t="s">
        <v>540</v>
      </c>
      <c r="Q17" s="1559" t="str">
        <f t="shared" si="6"/>
        <v>产业集聚程度</v>
      </c>
      <c r="R17" s="1560" t="s">
        <v>8</v>
      </c>
      <c r="S17" s="1561">
        <f t="shared" si="0"/>
        <v>100</v>
      </c>
      <c r="T17" s="1560" t="s">
        <v>8</v>
      </c>
      <c r="U17" s="1561">
        <f t="shared" si="1"/>
        <v>100</v>
      </c>
      <c r="V17" s="1560" t="s">
        <v>8</v>
      </c>
      <c r="W17" s="1561">
        <f t="shared" si="2"/>
        <v>100</v>
      </c>
      <c r="X17" s="1554"/>
      <c r="Y17" s="348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89"/>
      <c r="Q18" s="1559"/>
      <c r="R18" s="1560"/>
      <c r="S18" s="1561"/>
      <c r="T18" s="1560"/>
      <c r="U18" s="1561"/>
      <c r="V18" s="1560"/>
      <c r="W18" s="1561"/>
      <c r="X18" s="1554"/>
      <c r="Y18" s="348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89"/>
      <c r="Q19" s="1559" t="str">
        <f>B19</f>
        <v>交通便捷度</v>
      </c>
      <c r="R19" s="1560" t="s">
        <v>8</v>
      </c>
      <c r="S19" s="1561">
        <f>F19</f>
        <v>100</v>
      </c>
      <c r="T19" s="1560" t="s">
        <v>8</v>
      </c>
      <c r="U19" s="1561">
        <f>H19</f>
        <v>100</v>
      </c>
      <c r="V19" s="1560" t="s">
        <v>8</v>
      </c>
      <c r="W19" s="1561">
        <f>J19</f>
        <v>100</v>
      </c>
      <c r="X19" s="1554"/>
      <c r="Y19" s="348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89"/>
      <c r="Q20" s="1559"/>
      <c r="R20" s="1560"/>
      <c r="S20" s="1561"/>
      <c r="T20" s="1560"/>
      <c r="U20" s="1561"/>
      <c r="V20" s="1560"/>
      <c r="W20" s="1561"/>
      <c r="X20" s="1554"/>
      <c r="Y20" s="348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89"/>
      <c r="Q21" s="1559" t="str">
        <f t="shared" ref="Q21:Q35" si="8">B21</f>
        <v>区域土地利用方向</v>
      </c>
      <c r="R21" s="1560" t="s">
        <v>8</v>
      </c>
      <c r="S21" s="1561">
        <f>F21</f>
        <v>100</v>
      </c>
      <c r="T21" s="1560" t="s">
        <v>8</v>
      </c>
      <c r="U21" s="1561">
        <f>H21</f>
        <v>100</v>
      </c>
      <c r="V21" s="1560" t="s">
        <v>8</v>
      </c>
      <c r="W21" s="1561">
        <f>J21</f>
        <v>100</v>
      </c>
      <c r="X21" s="1554"/>
      <c r="Y21" s="348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89"/>
      <c r="Q22" s="1559"/>
      <c r="R22" s="1560"/>
      <c r="S22" s="1561"/>
      <c r="T22" s="1560"/>
      <c r="U22" s="1561"/>
      <c r="V22" s="1560"/>
      <c r="W22" s="1561"/>
      <c r="X22" s="1554"/>
      <c r="Y22" s="348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89"/>
      <c r="Q23" s="1559" t="str">
        <f t="shared" si="8"/>
        <v>环境状况</v>
      </c>
      <c r="R23" s="1560" t="s">
        <v>8</v>
      </c>
      <c r="S23" s="1561">
        <f>F23</f>
        <v>100</v>
      </c>
      <c r="T23" s="1560" t="s">
        <v>8</v>
      </c>
      <c r="U23" s="1561">
        <f>H23</f>
        <v>100</v>
      </c>
      <c r="V23" s="1560" t="s">
        <v>8</v>
      </c>
      <c r="W23" s="1561">
        <f>J23</f>
        <v>100</v>
      </c>
      <c r="X23" s="1554"/>
      <c r="Y23" s="348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89"/>
      <c r="Q24" s="1559"/>
      <c r="R24" s="1560"/>
      <c r="S24" s="1561"/>
      <c r="T24" s="1560"/>
      <c r="U24" s="1561"/>
      <c r="V24" s="1560"/>
      <c r="W24" s="1561"/>
      <c r="X24" s="1554"/>
      <c r="Y24" s="3489"/>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89"/>
      <c r="Q25" s="1147" t="str">
        <f t="shared" si="8"/>
        <v>公共配套设施</v>
      </c>
      <c r="R25" s="1555" t="s">
        <v>8</v>
      </c>
      <c r="S25" s="1556">
        <f>F25</f>
        <v>100</v>
      </c>
      <c r="T25" s="1555" t="s">
        <v>8</v>
      </c>
      <c r="U25" s="1556">
        <f>H25</f>
        <v>100</v>
      </c>
      <c r="V25" s="1555" t="s">
        <v>8</v>
      </c>
      <c r="W25" s="1556">
        <f>J25</f>
        <v>100</v>
      </c>
      <c r="X25" s="1557"/>
      <c r="Y25" s="348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89"/>
      <c r="Q26" s="1147"/>
      <c r="R26" s="1555"/>
      <c r="S26" s="1556"/>
      <c r="T26" s="1555"/>
      <c r="U26" s="1556"/>
      <c r="V26" s="1555"/>
      <c r="W26" s="1556"/>
      <c r="X26" s="1557"/>
      <c r="Y26" s="3489"/>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89"/>
      <c r="Q27" s="2543" t="str">
        <f t="shared" ref="Q27" si="9">B27</f>
        <v>基础设施水平</v>
      </c>
      <c r="R27" s="1555" t="s">
        <v>8</v>
      </c>
      <c r="S27" s="1556">
        <f>F27</f>
        <v>100</v>
      </c>
      <c r="T27" s="1555" t="s">
        <v>8</v>
      </c>
      <c r="U27" s="1556">
        <f>H27</f>
        <v>100</v>
      </c>
      <c r="V27" s="1555" t="s">
        <v>8</v>
      </c>
      <c r="W27" s="1556">
        <f>J27</f>
        <v>100</v>
      </c>
      <c r="X27" s="1557"/>
      <c r="Y27" s="348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89"/>
      <c r="Q28" s="2543"/>
      <c r="R28" s="1555"/>
      <c r="S28" s="1556"/>
      <c r="T28" s="1555"/>
      <c r="U28" s="1556"/>
      <c r="V28" s="1555"/>
      <c r="W28" s="1556"/>
      <c r="X28" s="1557"/>
      <c r="Y28" s="348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8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8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89"/>
      <c r="Q30" s="1559" t="str">
        <f t="shared" si="8"/>
        <v>毗邻道路的类型与等级</v>
      </c>
      <c r="R30" s="1560" t="s">
        <v>8</v>
      </c>
      <c r="S30" s="1561">
        <f t="shared" si="10"/>
        <v>100</v>
      </c>
      <c r="T30" s="1560" t="s">
        <v>8</v>
      </c>
      <c r="U30" s="1561">
        <f t="shared" si="11"/>
        <v>100</v>
      </c>
      <c r="V30" s="1560" t="s">
        <v>8</v>
      </c>
      <c r="W30" s="1561">
        <f t="shared" si="12"/>
        <v>100</v>
      </c>
      <c r="X30" s="1554"/>
      <c r="Y30" s="348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89"/>
      <c r="Q31" s="1559"/>
      <c r="R31" s="1560"/>
      <c r="S31" s="1561"/>
      <c r="T31" s="1560"/>
      <c r="U31" s="1561"/>
      <c r="V31" s="1560"/>
      <c r="W31" s="1561"/>
      <c r="X31" s="1554"/>
      <c r="Y31" s="348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89"/>
      <c r="Q32" s="1559" t="str">
        <f t="shared" si="8"/>
        <v>土地级别</v>
      </c>
      <c r="R32" s="1560" t="s">
        <v>8</v>
      </c>
      <c r="S32" s="1561">
        <f t="shared" si="10"/>
        <v>100</v>
      </c>
      <c r="T32" s="1560" t="s">
        <v>8</v>
      </c>
      <c r="U32" s="1561">
        <f t="shared" si="11"/>
        <v>100</v>
      </c>
      <c r="V32" s="1560" t="s">
        <v>8</v>
      </c>
      <c r="W32" s="1561">
        <f t="shared" si="12"/>
        <v>100</v>
      </c>
      <c r="X32" s="1554"/>
      <c r="Y32" s="348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89"/>
      <c r="Q33" s="1559">
        <f t="shared" si="8"/>
        <v>111</v>
      </c>
      <c r="R33" s="1560" t="s">
        <v>8</v>
      </c>
      <c r="S33" s="1561">
        <f t="shared" si="10"/>
        <v>100</v>
      </c>
      <c r="T33" s="1560" t="s">
        <v>8</v>
      </c>
      <c r="U33" s="1561">
        <f t="shared" si="11"/>
        <v>100</v>
      </c>
      <c r="V33" s="1560" t="s">
        <v>8</v>
      </c>
      <c r="W33" s="1561">
        <f t="shared" si="12"/>
        <v>100</v>
      </c>
      <c r="X33" s="1554"/>
      <c r="Y33" s="348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90" t="s">
        <v>550</v>
      </c>
      <c r="Q34" s="1559">
        <f t="shared" si="8"/>
        <v>111</v>
      </c>
      <c r="R34" s="1560" t="s">
        <v>8</v>
      </c>
      <c r="S34" s="1561">
        <f t="shared" si="10"/>
        <v>100</v>
      </c>
      <c r="T34" s="1560" t="s">
        <v>8</v>
      </c>
      <c r="U34" s="1561">
        <f t="shared" si="11"/>
        <v>100</v>
      </c>
      <c r="V34" s="1560" t="s">
        <v>8</v>
      </c>
      <c r="W34" s="1561">
        <f t="shared" si="12"/>
        <v>100</v>
      </c>
      <c r="X34" s="1554"/>
      <c r="Y34" s="349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91"/>
      <c r="Q35" s="1559">
        <f t="shared" si="8"/>
        <v>111</v>
      </c>
      <c r="R35" s="1564" t="s">
        <v>8</v>
      </c>
      <c r="S35" s="1565">
        <f t="shared" si="10"/>
        <v>100</v>
      </c>
      <c r="T35" s="1564" t="s">
        <v>8</v>
      </c>
      <c r="U35" s="1565">
        <f t="shared" si="11"/>
        <v>100</v>
      </c>
      <c r="V35" s="1564" t="s">
        <v>8</v>
      </c>
      <c r="W35" s="1565">
        <f t="shared" si="12"/>
        <v>100</v>
      </c>
      <c r="X35" s="1566"/>
      <c r="Y35" s="3491"/>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91"/>
      <c r="Q36" s="1559" t="str">
        <f>B36</f>
        <v>宗地面积</v>
      </c>
      <c r="R36" s="1560" t="s">
        <v>8</v>
      </c>
      <c r="S36" s="1561" t="e">
        <f t="shared" si="10"/>
        <v>#N/A</v>
      </c>
      <c r="T36" s="1560" t="s">
        <v>8</v>
      </c>
      <c r="U36" s="1561" t="e">
        <f t="shared" si="11"/>
        <v>#N/A</v>
      </c>
      <c r="V36" s="1560" t="s">
        <v>8</v>
      </c>
      <c r="W36" s="1561" t="e">
        <f t="shared" si="12"/>
        <v>#N/A</v>
      </c>
      <c r="X36" s="1554"/>
      <c r="Y36" s="349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91"/>
      <c r="Q37" s="1559" t="str">
        <f t="shared" ref="Q37:Q42" si="14">B37</f>
        <v>宗地形状</v>
      </c>
      <c r="R37" s="1560" t="s">
        <v>8</v>
      </c>
      <c r="S37" s="1561">
        <f t="shared" si="10"/>
        <v>100</v>
      </c>
      <c r="T37" s="1560" t="s">
        <v>8</v>
      </c>
      <c r="U37" s="1561">
        <f t="shared" si="11"/>
        <v>100</v>
      </c>
      <c r="V37" s="1560" t="s">
        <v>8</v>
      </c>
      <c r="W37" s="1561">
        <f t="shared" si="12"/>
        <v>100</v>
      </c>
      <c r="X37" s="1554"/>
      <c r="Y37" s="3491"/>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91"/>
      <c r="Q38" s="1559" t="str">
        <f t="shared" si="14"/>
        <v>宗地开发程度</v>
      </c>
      <c r="R38" s="1555" t="s">
        <v>8</v>
      </c>
      <c r="S38" s="1556">
        <f t="shared" si="10"/>
        <v>100</v>
      </c>
      <c r="T38" s="1555" t="s">
        <v>8</v>
      </c>
      <c r="U38" s="1556">
        <f t="shared" si="11"/>
        <v>100</v>
      </c>
      <c r="V38" s="1555" t="s">
        <v>8</v>
      </c>
      <c r="W38" s="1556">
        <f t="shared" si="12"/>
        <v>100</v>
      </c>
      <c r="X38" s="1557"/>
      <c r="Y38" s="349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91" t="s">
        <v>601</v>
      </c>
      <c r="Q39" s="1559" t="str">
        <f t="shared" si="14"/>
        <v>工程地质条件</v>
      </c>
      <c r="R39" s="1560" t="s">
        <v>8</v>
      </c>
      <c r="S39" s="1561">
        <f t="shared" si="10"/>
        <v>100</v>
      </c>
      <c r="T39" s="1560" t="s">
        <v>8</v>
      </c>
      <c r="U39" s="1561">
        <f t="shared" si="11"/>
        <v>100</v>
      </c>
      <c r="V39" s="1560" t="s">
        <v>8</v>
      </c>
      <c r="W39" s="1561">
        <f t="shared" si="12"/>
        <v>100</v>
      </c>
      <c r="X39" s="1554"/>
      <c r="Y39" s="349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91"/>
      <c r="Q40" s="1559">
        <f t="shared" si="14"/>
        <v>111</v>
      </c>
      <c r="R40" s="1560" t="s">
        <v>8</v>
      </c>
      <c r="S40" s="1561">
        <f t="shared" si="10"/>
        <v>100</v>
      </c>
      <c r="T40" s="1560" t="s">
        <v>8</v>
      </c>
      <c r="U40" s="1561">
        <f t="shared" si="11"/>
        <v>100</v>
      </c>
      <c r="V40" s="1560" t="s">
        <v>8</v>
      </c>
      <c r="W40" s="1561">
        <f t="shared" si="12"/>
        <v>100</v>
      </c>
      <c r="X40" s="1554"/>
      <c r="Y40" s="349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91"/>
      <c r="Q41" s="1559">
        <f t="shared" si="14"/>
        <v>111</v>
      </c>
      <c r="R41" s="1560" t="s">
        <v>8</v>
      </c>
      <c r="S41" s="1561">
        <f t="shared" si="10"/>
        <v>100</v>
      </c>
      <c r="T41" s="1560" t="s">
        <v>8</v>
      </c>
      <c r="U41" s="1561">
        <f t="shared" si="11"/>
        <v>100</v>
      </c>
      <c r="V41" s="1560" t="s">
        <v>8</v>
      </c>
      <c r="W41" s="1561">
        <f t="shared" si="12"/>
        <v>100</v>
      </c>
      <c r="X41" s="1554"/>
      <c r="Y41" s="349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91"/>
      <c r="Q42" s="1559">
        <f t="shared" si="14"/>
        <v>111</v>
      </c>
      <c r="R42" s="1564" t="s">
        <v>8</v>
      </c>
      <c r="S42" s="1565">
        <f t="shared" si="10"/>
        <v>100</v>
      </c>
      <c r="T42" s="1564" t="s">
        <v>8</v>
      </c>
      <c r="U42" s="1565">
        <f t="shared" si="11"/>
        <v>100</v>
      </c>
      <c r="V42" s="1564" t="s">
        <v>8</v>
      </c>
      <c r="W42" s="1565">
        <f t="shared" si="12"/>
        <v>100</v>
      </c>
      <c r="X42" s="1566"/>
      <c r="Y42" s="3491"/>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454" t="str">
        <f>A43</f>
        <v>成交单价</v>
      </c>
      <c r="Q43" s="3454"/>
      <c r="R43" s="3455">
        <f>E43</f>
        <v>0</v>
      </c>
      <c r="S43" s="3455"/>
      <c r="T43" s="3455">
        <f>G43</f>
        <v>0</v>
      </c>
      <c r="U43" s="3455"/>
      <c r="V43" s="3455">
        <f>I43</f>
        <v>0</v>
      </c>
      <c r="W43" s="3455"/>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54" t="str">
        <f>A44</f>
        <v>比较价格（元/平方米）</v>
      </c>
      <c r="Q44" s="3454"/>
      <c r="R44" s="3456" t="e">
        <f>ROUND(PRODUCT(R43,AA9:AA42),0)</f>
        <v>#DIV/0!</v>
      </c>
      <c r="S44" s="3456"/>
      <c r="T44" s="3456" t="e">
        <f>ROUND(PRODUCT(T43,AB9:AB42),0)</f>
        <v>#DIV/0!</v>
      </c>
      <c r="U44" s="3456"/>
      <c r="V44" s="3456" t="e">
        <f>ROUND(PRODUCT(V43,AC9:AC42),0)</f>
        <v>#DIV/0!</v>
      </c>
      <c r="W44" s="3456"/>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451" t="str">
        <f>A45</f>
        <v>估价对象XX用房的比较价格（楼面单价，元/平方米）</v>
      </c>
      <c r="Q45" s="3452"/>
      <c r="R45" s="3453" t="e">
        <f>ROUND(AVERAGE(R44:V44),0)</f>
        <v>#DIV/0!</v>
      </c>
      <c r="S45" s="3453"/>
      <c r="T45" s="3453"/>
      <c r="U45" s="3453"/>
      <c r="V45" s="3453"/>
      <c r="W45" s="345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98" t="s">
        <v>2284</v>
      </c>
      <c r="H52" s="349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245539.3</v>
      </c>
      <c r="F53" s="1936" t="e">
        <f t="shared" ref="F53:F62" si="15">ROUND(B53*E53/10000,0)</f>
        <v>#DIV/0!</v>
      </c>
      <c r="G53" s="3500"/>
      <c r="H53" s="350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50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50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50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50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245539.3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F16" sqref="F16:G16"/>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245539.3</v>
      </c>
      <c r="E1" s="1403" t="s">
        <v>2427</v>
      </c>
      <c r="F1" s="2417">
        <f>'数据-基础表'!A3</f>
        <v>245539.3</v>
      </c>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f ca="1">C26</f>
        <v>29882</v>
      </c>
      <c r="C2" s="1404" t="s">
        <v>921</v>
      </c>
      <c r="D2" s="1405" t="s">
        <v>922</v>
      </c>
      <c r="E2" s="1406" t="s">
        <v>981</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Ⅷ-昌1</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1.9419999999999999</v>
      </c>
      <c r="T2" s="2893">
        <f ca="1">ROUND($C$5*$C$18*$C$19*$C$20*S2*$C$24,0)</f>
        <v>2363</v>
      </c>
      <c r="U2" s="2882"/>
      <c r="V2" s="2893">
        <f ca="1">ROUND(T2*U2/10000,0)</f>
        <v>0</v>
      </c>
      <c r="W2" s="2175"/>
      <c r="X2" s="2175"/>
      <c r="Y2" s="2175"/>
      <c r="Z2" s="2175"/>
      <c r="AA2" s="2175"/>
      <c r="AB2" s="2175"/>
      <c r="AC2" s="2176"/>
    </row>
    <row r="3" spans="1:39" ht="15.75">
      <c r="A3" s="1408" t="s">
        <v>1687</v>
      </c>
      <c r="B3" s="1038">
        <f ca="1">ROUND(B2*10000/D1,0)</f>
        <v>1217</v>
      </c>
      <c r="C3" s="1404" t="s">
        <v>927</v>
      </c>
      <c r="D3" s="1405" t="s">
        <v>928</v>
      </c>
      <c r="E3" s="1409" t="s">
        <v>2999</v>
      </c>
      <c r="F3" s="1410" t="s">
        <v>3000</v>
      </c>
      <c r="G3" s="1039">
        <f>IF(F3="宗地容积率",'数据-汇总表'!I4,IF(F3="估价对象容积率",'数据-汇总表'!I6,'数据-汇总表'!I7))</f>
        <v>1</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1.2799</v>
      </c>
      <c r="T3" s="2893">
        <f t="shared" ref="T3:T16" ca="1" si="0">ROUND($C$5*$C$18*$C$19*$C$20*S3*$C$24,0)</f>
        <v>1557</v>
      </c>
      <c r="U3" s="2882"/>
      <c r="V3" s="2893">
        <f t="shared" ref="V3:V16" ca="1" si="1">ROUND(T3*U3/10000,0)</f>
        <v>0</v>
      </c>
      <c r="W3" s="2175"/>
      <c r="X3" s="2175"/>
      <c r="Y3" s="2175"/>
      <c r="Z3" s="2175"/>
      <c r="AA3" s="2175"/>
      <c r="AB3" s="2175"/>
      <c r="AC3" s="2176"/>
    </row>
    <row r="4" spans="1:39" ht="28.5">
      <c r="A4" s="1877" t="s">
        <v>2280</v>
      </c>
      <c r="B4" s="2418">
        <f ca="1">ROUND(B2*10000/F1,0)</f>
        <v>1217</v>
      </c>
      <c r="C4" s="1880" t="s">
        <v>2254</v>
      </c>
      <c r="D4" s="1880">
        <f ca="1">ROUND(B2/(F1/666.67),0)</f>
        <v>81</v>
      </c>
      <c r="E4" s="1880" t="s">
        <v>2255</v>
      </c>
      <c r="F4" s="1878"/>
      <c r="G4" s="1878"/>
      <c r="H4" s="1878"/>
      <c r="I4" s="1878"/>
      <c r="J4" s="1879"/>
      <c r="K4" s="3150"/>
      <c r="L4" s="1871" t="s">
        <v>2241</v>
      </c>
      <c r="M4" s="1872">
        <f>SUMPRODUCT((区片价!B49:B75=I2)*(区片价!C3:F3=E2)*(区片价!C49:F75))</f>
        <v>0</v>
      </c>
      <c r="N4" s="1873">
        <f>SUMPRODUCT((因素修正幅度!B49:B75=I2)*(因素修正幅度!C3:F3=E2)*(因素修正幅度!C49:F75))</f>
        <v>0</v>
      </c>
      <c r="O4" s="3150"/>
      <c r="P4" s="1398"/>
      <c r="Q4" s="2175"/>
      <c r="R4" s="2893">
        <v>3</v>
      </c>
      <c r="S4" s="2893">
        <f>ROUND(IF(G3&gt;1,IF(R4&lt;7,SUMPRODUCT((B93:B98=R4)*(C92:N92=G2)*(C93:N98)),SUMIF(C92:N92,G2,C100:N100)),IF(R4&lt;7,SUMPRODUCT((B102:B107=R4)*(C92:N92=G2)*(C102:N107)),SUMIF(C92:N92,G2,C109:N109))),4)</f>
        <v>1.0072000000000001</v>
      </c>
      <c r="T4" s="2893">
        <f t="shared" ca="1" si="0"/>
        <v>1226</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940</v>
      </c>
      <c r="D5" s="3073">
        <f>ROUND(C6+C16,0)</f>
        <v>940</v>
      </c>
      <c r="E5" s="3073"/>
      <c r="F5" s="1413"/>
      <c r="G5" s="1414"/>
      <c r="H5" s="1414"/>
      <c r="I5" s="1414"/>
      <c r="J5" s="1415"/>
      <c r="K5" s="3151"/>
      <c r="L5" s="1871" t="s">
        <v>2242</v>
      </c>
      <c r="M5" s="1872">
        <f>SUMPRODUCT((区片价!B76:B109=I2)*(区片价!C3:F3=E2)*(区片价!C76:F109))</f>
        <v>0</v>
      </c>
      <c r="N5" s="1873">
        <f>SUMPRODUCT((因素修正幅度!B76:B109=I2)*(因素修正幅度!C3:F3=E2)*(因素修正幅度!C76:F109))</f>
        <v>0</v>
      </c>
      <c r="O5" s="3151"/>
      <c r="P5" s="1581"/>
      <c r="Q5" s="2175"/>
      <c r="R5" s="2893">
        <v>4</v>
      </c>
      <c r="S5" s="2893">
        <f>ROUND(IF(G3&gt;1,IF(R5&lt;7,SUMPRODUCT((B93:B98=R5)*(C92:N92=G2)*(C93:N98)),SUMIF(C92:N92,G2,C100:N100)),IF(R5&lt;7,SUMPRODUCT((B102:B107=R5)*(C92:N92=G2)*(C102:N107)),SUMIF(C92:N92,G2,C109:N109))),4)</f>
        <v>0.75249999999999995</v>
      </c>
      <c r="T5" s="2893">
        <f t="shared" ca="1" si="0"/>
        <v>916</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940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0.56589999999999996</v>
      </c>
      <c r="T6" s="2893">
        <f t="shared" ca="1" si="0"/>
        <v>689</v>
      </c>
      <c r="U6" s="2882"/>
      <c r="V6" s="2893">
        <f t="shared" ca="1" si="1"/>
        <v>0</v>
      </c>
      <c r="W6" s="2175"/>
      <c r="X6" s="2175"/>
      <c r="Y6" s="2175"/>
      <c r="Z6" s="2175"/>
      <c r="AA6" s="2175"/>
      <c r="AB6" s="2175"/>
      <c r="AC6" s="2177"/>
      <c r="AD6" s="1416"/>
      <c r="AE6" s="1416"/>
      <c r="AF6" s="1416"/>
      <c r="AG6" s="1416"/>
      <c r="AH6" s="1416"/>
      <c r="AI6" s="1416"/>
      <c r="AJ6" s="1417"/>
    </row>
    <row r="7" spans="1:39" ht="24">
      <c r="A7" s="3514" t="str">
        <f>IF(E2="商业",IF(C8="不临58条商业街","",2),"")</f>
        <v/>
      </c>
      <c r="B7" s="1424" t="s">
        <v>932</v>
      </c>
      <c r="C7" s="1043">
        <f>IF(C8="不临58条商业街",1,ROUND(1+(1.6*E8+1.2*E9+0.8*E10+0.4*E11)*C9,4))</f>
        <v>1</v>
      </c>
      <c r="D7" s="1425" t="s">
        <v>933</v>
      </c>
      <c r="E7" s="1044">
        <v>60</v>
      </c>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0.45250000000000001</v>
      </c>
      <c r="T7" s="2893">
        <f t="shared" ca="1" si="0"/>
        <v>551</v>
      </c>
      <c r="U7" s="2882"/>
      <c r="V7" s="2893">
        <f t="shared" ca="1" si="1"/>
        <v>0</v>
      </c>
      <c r="W7" s="2891" t="s">
        <v>2764</v>
      </c>
      <c r="X7" s="2883" t="str">
        <f>G2</f>
        <v>八级</v>
      </c>
      <c r="Y7" s="2883" t="s">
        <v>2765</v>
      </c>
      <c r="Z7" s="2884">
        <f>G3</f>
        <v>1</v>
      </c>
      <c r="AA7" s="2178"/>
      <c r="AB7" s="2178"/>
      <c r="AC7" s="2179"/>
      <c r="AD7" s="2885"/>
      <c r="AE7" s="2885"/>
      <c r="AF7" s="2885"/>
      <c r="AG7" s="2885"/>
      <c r="AH7" s="2885"/>
      <c r="AI7" s="2885"/>
      <c r="AJ7" s="2886"/>
    </row>
    <row r="8" spans="1:39" ht="15">
      <c r="A8" s="3515"/>
      <c r="B8" s="1411" t="s">
        <v>934</v>
      </c>
      <c r="C8" s="1517"/>
      <c r="D8" s="1045" t="s">
        <v>935</v>
      </c>
      <c r="E8" s="1046">
        <f>ROUND(C11/E7,4)</f>
        <v>0</v>
      </c>
      <c r="F8" s="1429" t="s">
        <v>936</v>
      </c>
      <c r="G8" s="1430"/>
      <c r="H8" s="1430"/>
      <c r="I8" s="1430"/>
      <c r="J8" s="1431"/>
      <c r="K8" s="1453"/>
      <c r="L8" s="1871" t="s">
        <v>2245</v>
      </c>
      <c r="M8" s="1872">
        <f>SUMPRODUCT((区片价!B206:B244=I2)*(区片价!C3:F3=E2)*(区片价!C206:F244))</f>
        <v>940</v>
      </c>
      <c r="N8" s="1873">
        <f>SUMPRODUCT((因素修正幅度!B206:B244=I2)*(因素修正幅度!C3:F3=E2)*(因素修正幅度!C206:F244))</f>
        <v>0.15</v>
      </c>
      <c r="O8" s="1453"/>
      <c r="P8" s="1398"/>
      <c r="Q8" s="2175"/>
      <c r="R8" s="2893">
        <v>7</v>
      </c>
      <c r="S8" s="2882"/>
      <c r="T8" s="2893">
        <f t="shared" ca="1" si="0"/>
        <v>0</v>
      </c>
      <c r="U8" s="2882"/>
      <c r="V8" s="2893">
        <f t="shared" ca="1" si="1"/>
        <v>0</v>
      </c>
      <c r="W8" s="3504" t="s">
        <v>2782</v>
      </c>
      <c r="X8" s="3505"/>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515"/>
      <c r="B9" s="1411" t="s">
        <v>937</v>
      </c>
      <c r="C9" s="1047">
        <f>SUMIF(修正!C59:C119,C8,修正!E59:E119)</f>
        <v>0</v>
      </c>
      <c r="D9" s="1048" t="s">
        <v>938</v>
      </c>
      <c r="E9" s="1048">
        <f>ROUND(C11/E7,4)</f>
        <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503"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515"/>
      <c r="B10" s="1411" t="s">
        <v>940</v>
      </c>
      <c r="C10" s="1048">
        <f>SUMIF(修正!C59:C119,C8,修正!F59:F119)</f>
        <v>0</v>
      </c>
      <c r="D10" s="1048" t="s">
        <v>941</v>
      </c>
      <c r="E10" s="1048">
        <f>ROUND(C11/E7,4)</f>
        <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50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515"/>
      <c r="B11" s="1432" t="s">
        <v>943</v>
      </c>
      <c r="C11" s="1049">
        <f>C10/4</f>
        <v>0</v>
      </c>
      <c r="D11" s="1049" t="s">
        <v>944</v>
      </c>
      <c r="E11" s="1049">
        <f>ROUND(C11/E7,4)</f>
        <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503" t="s">
        <v>2780</v>
      </c>
      <c r="X11" s="1048" t="s">
        <v>2765</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514"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503"/>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516"/>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5"/>
      <c r="R13" s="2893">
        <v>12</v>
      </c>
      <c r="S13" s="2882"/>
      <c r="T13" s="2893">
        <f t="shared" ca="1" si="0"/>
        <v>0</v>
      </c>
      <c r="U13" s="2882"/>
      <c r="V13" s="2893">
        <f t="shared" ca="1" si="1"/>
        <v>0</v>
      </c>
      <c r="W13" s="3503"/>
      <c r="X13" s="2890"/>
      <c r="Y13" s="2889">
        <f>(-0.163*(Y12^2)-0.59*Y12+7617)*(10^(-4))/Y11</f>
        <v>0.76170000000000004</v>
      </c>
      <c r="Z13" s="2889">
        <f t="shared" ref="Z13:AJ13" si="5">(-0.163*(Z12^2)-0.59*Z12+7617)*(10^(-4))/Z11</f>
        <v>0.76170000000000004</v>
      </c>
      <c r="AA13" s="2889">
        <f t="shared" si="5"/>
        <v>0.76170000000000004</v>
      </c>
      <c r="AB13" s="2889">
        <f t="shared" si="5"/>
        <v>0.76170000000000004</v>
      </c>
      <c r="AC13" s="2889">
        <f t="shared" si="5"/>
        <v>0.76170000000000004</v>
      </c>
      <c r="AD13" s="2889">
        <f t="shared" si="5"/>
        <v>0.76170000000000004</v>
      </c>
      <c r="AE13" s="2889">
        <f t="shared" si="5"/>
        <v>0.76170000000000004</v>
      </c>
      <c r="AF13" s="2889">
        <f t="shared" si="5"/>
        <v>0.76170000000000004</v>
      </c>
      <c r="AG13" s="2889">
        <f t="shared" si="5"/>
        <v>0.76170000000000004</v>
      </c>
      <c r="AH13" s="2889">
        <f t="shared" si="5"/>
        <v>0.76170000000000004</v>
      </c>
      <c r="AI13" s="2889">
        <f t="shared" si="5"/>
        <v>0.76170000000000004</v>
      </c>
      <c r="AJ13" s="2889">
        <f t="shared" si="5"/>
        <v>0.76170000000000004</v>
      </c>
    </row>
    <row r="14" spans="1:39" ht="12.75" customHeight="1">
      <c r="A14" s="3516"/>
      <c r="B14" s="1448"/>
      <c r="C14" s="1449"/>
      <c r="D14" s="1450"/>
      <c r="E14" s="1450"/>
      <c r="F14" s="1451"/>
      <c r="G14" s="1452" t="s">
        <v>949</v>
      </c>
      <c r="H14" s="1453"/>
      <c r="I14" s="1454"/>
      <c r="J14" s="1455"/>
      <c r="K14" s="3152"/>
      <c r="L14" s="3152"/>
      <c r="M14" s="3152"/>
      <c r="N14" s="3152"/>
      <c r="O14" s="3152"/>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517"/>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514" t="s">
        <v>1838</v>
      </c>
      <c r="B16" s="1424" t="s">
        <v>950</v>
      </c>
      <c r="C16" s="1052">
        <f>ROUND(IF(F17="与级别开发程度一致",0,(G17-E17)/C17),0)</f>
        <v>0</v>
      </c>
      <c r="D16" s="3511" t="s">
        <v>954</v>
      </c>
      <c r="E16" s="3512"/>
      <c r="F16" s="3511" t="s">
        <v>951</v>
      </c>
      <c r="G16" s="3512"/>
      <c r="H16" s="1456" t="s">
        <v>3001</v>
      </c>
      <c r="I16" s="1456" t="s">
        <v>3002</v>
      </c>
      <c r="J16" s="3602" t="s">
        <v>3239</v>
      </c>
      <c r="K16" s="1456" t="s">
        <v>3003</v>
      </c>
      <c r="L16" s="1456" t="s">
        <v>3004</v>
      </c>
      <c r="M16" s="1456" t="s">
        <v>3005</v>
      </c>
      <c r="N16" s="1456"/>
      <c r="O16" s="3176"/>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518"/>
      <c r="B17" s="3177" t="s">
        <v>953</v>
      </c>
      <c r="C17" s="3178">
        <f>SUMPRODUCT((修正!A2:A5=E2)*(修正!B1:M1=G2)*(修正!B2:M5))</f>
        <v>1</v>
      </c>
      <c r="D17" s="3179" t="str">
        <f>IF(OR(G2="八级",G2="九级",G2="十级",G2="十一级",G2="十二级"),"五通一平","七通一平")</f>
        <v>五通一平</v>
      </c>
      <c r="E17" s="3169">
        <f>SUMPRODUCT((修正!B1:M1=G2)*(修正!B15:M15))</f>
        <v>155</v>
      </c>
      <c r="F17" s="3170" t="s">
        <v>3130</v>
      </c>
      <c r="G17" s="3169">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180">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2" t="s">
        <v>955</v>
      </c>
      <c r="C18" s="3173">
        <f>SUMIF(修正!C18:C39,E3,修正!E18:E39)</f>
        <v>1</v>
      </c>
      <c r="D18" s="3174"/>
      <c r="E18" s="3175"/>
      <c r="F18" s="3157"/>
      <c r="G18" s="3151"/>
      <c r="H18" s="3151"/>
      <c r="I18" s="3151"/>
      <c r="J18" s="3165"/>
      <c r="K18" s="3151"/>
      <c r="L18" s="3151"/>
      <c r="M18" s="3151"/>
      <c r="N18" s="3151"/>
      <c r="O18" s="3151"/>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1.3573</v>
      </c>
      <c r="D19" s="1463" t="s">
        <v>957</v>
      </c>
      <c r="E19" s="1054">
        <v>41640</v>
      </c>
      <c r="F19" s="1463" t="s">
        <v>958</v>
      </c>
      <c r="G19" s="1055">
        <f>'数据-取费表'!B2</f>
        <v>43654</v>
      </c>
      <c r="H19" s="1464" t="s">
        <v>3006</v>
      </c>
      <c r="I19" s="2741" t="str">
        <f>IF(H19="季度增幅（自定义）",SUMIF(N21:N24,E2,O21:O24),"")</f>
        <v/>
      </c>
      <c r="J19" s="1460"/>
      <c r="K19" s="3151"/>
      <c r="L19" s="2993" t="s">
        <v>2840</v>
      </c>
      <c r="M19" s="2994">
        <f>ROUND(SUMIF(地价!B2:F2,E2,地价!B27:F27),0)</f>
        <v>230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0.92069999999999996</v>
      </c>
      <c r="D20" s="2738" t="s">
        <v>972</v>
      </c>
      <c r="E20" s="3048">
        <f ca="1">存贷款利率!I4/100</f>
        <v>4.3499999999999997E-2</v>
      </c>
      <c r="F20" s="2738" t="s">
        <v>973</v>
      </c>
      <c r="G20" s="2739">
        <f ca="1">SUMIF(M26:P26,E2,M28:P28)</f>
        <v>4.8000000000000001E-2</v>
      </c>
      <c r="H20" s="2738" t="s">
        <v>974</v>
      </c>
      <c r="I20" s="2734">
        <f>SUMIF('数据-取费表'!C6:C15,E2,'数据-取费表'!F6:F15)/COUNTIF('数据-取费表'!C6:C15,E2)</f>
        <v>38.1</v>
      </c>
      <c r="J20" s="2740">
        <f>IF(E2="住宅",70,IF(E2="商业",40,50))</f>
        <v>50</v>
      </c>
      <c r="K20" s="3153"/>
      <c r="L20" s="2995" t="s">
        <v>2841</v>
      </c>
      <c r="M20" s="3160">
        <f>ROUND(SUMPRODUCT((地价!A4:A27=YEAR(G19)&amp;"-"&amp;ROUNDUP(MONTH(G19)/3,0))*(地价!B2:F2=E2)*(地价!B4:F27)),0)</f>
        <v>312</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3007</v>
      </c>
      <c r="C21" s="1154">
        <f>IF(B21="容积率修正",IF(G3&lt;=10,D22,J22),C23)</f>
        <v>1</v>
      </c>
      <c r="D21" s="1470"/>
      <c r="E21" s="1470"/>
      <c r="F21" s="1470"/>
      <c r="G21" s="1470"/>
      <c r="H21" s="1470"/>
      <c r="I21" s="1470"/>
      <c r="J21" s="1471"/>
      <c r="K21" s="3151"/>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1</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6" t="s">
        <v>977</v>
      </c>
      <c r="J22" s="1056" t="str">
        <f>IF(G3&gt;10,D113,"——")</f>
        <v>——</v>
      </c>
      <c r="K22" s="3154"/>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0.44750000000000001</v>
      </c>
      <c r="D23" s="1518"/>
      <c r="E23" s="1518"/>
      <c r="F23" s="1519"/>
      <c r="G23" s="1520"/>
      <c r="H23" s="1521"/>
      <c r="I23" s="1522"/>
      <c r="J23" s="1522"/>
      <c r="K23" s="3155"/>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1.0359</v>
      </c>
      <c r="D24" s="1523"/>
      <c r="E24" s="1524"/>
      <c r="F24" s="1524"/>
      <c r="G24" s="1524"/>
      <c r="H24" s="1524"/>
      <c r="I24" s="1524"/>
      <c r="J24" s="1524"/>
      <c r="K24" s="3155"/>
      <c r="L24" s="1470"/>
      <c r="M24" s="1470"/>
      <c r="N24" s="1467" t="s">
        <v>981</v>
      </c>
      <c r="O24" s="3159"/>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1" t="s">
        <v>2648</v>
      </c>
      <c r="O25" s="3162"/>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29882</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1217</v>
      </c>
      <c r="D29" s="1492">
        <f>F1</f>
        <v>245539.3</v>
      </c>
      <c r="E29" s="1835">
        <f ca="1">ROUND(C29*D29/10000,0)</f>
        <v>29882</v>
      </c>
      <c r="F29" s="1493" t="s">
        <v>1701</v>
      </c>
      <c r="G29" s="1494"/>
      <c r="H29" s="1494"/>
      <c r="I29" s="1494"/>
      <c r="J29" s="1495"/>
      <c r="K29" s="3156"/>
      <c r="L29" s="3156"/>
      <c r="M29" s="3156"/>
      <c r="N29" s="3156"/>
      <c r="O29" s="3156"/>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183</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521" t="s">
        <v>2961</v>
      </c>
      <c r="B33" s="1512" t="s">
        <v>999</v>
      </c>
      <c r="C33" s="1059">
        <f ca="1">ROUND(D5*C19*C20*C24*F33,0)</f>
        <v>730</v>
      </c>
      <c r="D33" s="1525"/>
      <c r="E33" s="1048">
        <f ca="1">ROUND(C33*D33/10000,0)</f>
        <v>0</v>
      </c>
      <c r="F33" s="1048">
        <f>SUMIF(修正!A45:A56,G2,修正!B45:B56)</f>
        <v>0.6</v>
      </c>
      <c r="G33" s="1048">
        <f t="shared" ref="G33" ca="1" si="6">ROUND(IF(E2="工业",C33*$M$39,C33*$M$38),0)</f>
        <v>110</v>
      </c>
      <c r="H33" s="1048">
        <f>D33</f>
        <v>0</v>
      </c>
      <c r="I33" s="1048">
        <f ca="1">ROUND(G33*H33/10000,0)</f>
        <v>0</v>
      </c>
      <c r="J33" s="1513"/>
      <c r="K33" s="3158"/>
      <c r="L33" s="3158"/>
      <c r="M33" s="3158"/>
      <c r="N33" s="3158"/>
      <c r="O33" s="3158"/>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522"/>
      <c r="B34" s="1442" t="s">
        <v>1000</v>
      </c>
      <c r="C34" s="1059">
        <f ca="1">ROUND(D5*C19*C20*C24*F34,0)</f>
        <v>365</v>
      </c>
      <c r="D34" s="1525"/>
      <c r="E34" s="1048">
        <f t="shared" ref="E34:E39" ca="1" si="7">ROUND(C34*D34/10000,0)</f>
        <v>0</v>
      </c>
      <c r="F34" s="1048">
        <f>SUMIF(修正!A45:A56,G2,修正!C45:C56)</f>
        <v>0.3</v>
      </c>
      <c r="G34" s="1048">
        <f ca="1">ROUND(IF(E2="工业",C34*$M$39,C34*$M$38),0)</f>
        <v>55</v>
      </c>
      <c r="H34" s="1048">
        <f t="shared" ref="H34:H39" si="8">D34</f>
        <v>0</v>
      </c>
      <c r="I34" s="1048">
        <f t="shared" ref="I34:I39" ca="1" si="9">ROUND(G34*H34/10000,0)</f>
        <v>0</v>
      </c>
      <c r="J34" s="1513"/>
      <c r="K34" s="3158"/>
      <c r="L34" s="3158"/>
      <c r="M34" s="3158"/>
      <c r="N34" s="3158"/>
      <c r="O34" s="3158"/>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522"/>
      <c r="B35" s="1442" t="s">
        <v>1001</v>
      </c>
      <c r="C35" s="1059">
        <f ca="1">ROUND(D5*C19*C20*C24*F35,0)</f>
        <v>243</v>
      </c>
      <c r="D35" s="1525"/>
      <c r="E35" s="1048">
        <f t="shared" ca="1" si="7"/>
        <v>0</v>
      </c>
      <c r="F35" s="1048">
        <f>SUMIF(修正!A45:A56,G2,修正!D45:D56)</f>
        <v>0.2</v>
      </c>
      <c r="G35" s="1048">
        <f ca="1">ROUND(IF(E2="工业",C35*$M$39,C35*$M$38),0)</f>
        <v>36</v>
      </c>
      <c r="H35" s="1048">
        <f t="shared" si="8"/>
        <v>0</v>
      </c>
      <c r="I35" s="1048">
        <f t="shared" ca="1" si="9"/>
        <v>0</v>
      </c>
      <c r="J35" s="1513"/>
      <c r="K35" s="3158"/>
      <c r="L35" s="3158"/>
      <c r="M35" s="3158"/>
      <c r="N35" s="3158"/>
      <c r="O35" s="3158"/>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523"/>
      <c r="B36" s="1442" t="s">
        <v>1002</v>
      </c>
      <c r="C36" s="1059">
        <f ca="1">ROUND(D5*C19*C20*C24*F36,0)</f>
        <v>243</v>
      </c>
      <c r="D36" s="1525"/>
      <c r="E36" s="1048">
        <f t="shared" ca="1" si="7"/>
        <v>0</v>
      </c>
      <c r="F36" s="1048">
        <f>SUMIF(修正!A45:A56,G2,修正!E45:E56)</f>
        <v>0.2</v>
      </c>
      <c r="G36" s="1048">
        <f ca="1">ROUND(IF(E2="工业",C36*$M$39,C36*$M$38),0)</f>
        <v>36</v>
      </c>
      <c r="H36" s="1048">
        <f t="shared" si="8"/>
        <v>0</v>
      </c>
      <c r="I36" s="1048">
        <f t="shared" ca="1" si="9"/>
        <v>0</v>
      </c>
      <c r="J36" s="1513"/>
      <c r="K36" s="3158"/>
      <c r="L36" s="3158"/>
      <c r="M36" s="3158"/>
      <c r="N36" s="3158"/>
      <c r="O36" s="3158"/>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243</v>
      </c>
      <c r="D37" s="1525"/>
      <c r="E37" s="1048">
        <f t="shared" ca="1" si="7"/>
        <v>0</v>
      </c>
      <c r="F37" s="1059">
        <f>SUMIF(修正!A45:A56,G2,修正!F45:F56)</f>
        <v>0.2</v>
      </c>
      <c r="G37" s="1048">
        <f ca="1">ROUND(IF(E2="工业",C37*$M$39,C37*$M$38),0)</f>
        <v>36</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9" t="s">
        <v>2988</v>
      </c>
      <c r="C41" s="839">
        <f ca="1">ROUND(POWER(1+E41,H41-G41)*(POWER(1+E41,G41)-1)/(POWER(1+E41,H41)-1),4)</f>
        <v>0</v>
      </c>
      <c r="D41" s="378" t="s">
        <v>2986</v>
      </c>
      <c r="E41" s="3148">
        <f ca="1">G20</f>
        <v>4.8000000000000001E-2</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hidden="1">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hidden="1"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hidden="1">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hidden="1">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hidden="1">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hidden="1">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hidden="1">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hidden="1">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hidden="1">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hidden="1">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hidden="1">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hidden="1">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hidden="1"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hidden="1">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hidden="1">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hidden="1">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hidden="1">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hidden="1">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hidden="1">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hidden="1">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hidden="1">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hidden="1">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hidden="1">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hidden="1"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1.0359</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t="s">
        <v>3009</v>
      </c>
      <c r="D80" s="2382">
        <f t="shared" ref="D80:D87" si="25">SUMIF($J$79:$N$79,C80,J80:N80)</f>
        <v>1.95E-2</v>
      </c>
      <c r="E80" s="2401">
        <f>ROUND(SUM(D80:D87),4)</f>
        <v>3.5900000000000001E-2</v>
      </c>
      <c r="F80" s="2402">
        <f>IF(E2="工业",SUMIF(L1:L12,G2,N1:N12),"——")</f>
        <v>0.15</v>
      </c>
      <c r="G80" s="2380">
        <f>H80</f>
        <v>1.95E-2</v>
      </c>
      <c r="H80" s="2426">
        <f t="shared" ref="H80:H87" si="26">IFERROR(ROUNDDOWN($F$80*I80/2,4),"——")</f>
        <v>1.95E-2</v>
      </c>
      <c r="I80" s="2400">
        <v>0.26</v>
      </c>
      <c r="J80" s="2403">
        <f t="shared" ref="J80:J87" si="27">K80+$G80</f>
        <v>3.9E-2</v>
      </c>
      <c r="K80" s="2403">
        <f t="shared" ref="K80:K87" si="28">$L80+$G80</f>
        <v>1.95E-2</v>
      </c>
      <c r="L80" s="2403">
        <v>0</v>
      </c>
      <c r="M80" s="2403">
        <f t="shared" ref="M80:N87" si="29">L80-$G80</f>
        <v>-1.95E-2</v>
      </c>
      <c r="N80" s="2403">
        <f t="shared" si="29"/>
        <v>-3.9E-2</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t="s">
        <v>3008</v>
      </c>
      <c r="D81" s="2382">
        <f t="shared" si="25"/>
        <v>0</v>
      </c>
      <c r="E81" s="2410"/>
      <c r="F81" s="2411"/>
      <c r="G81" s="2380">
        <f t="shared" ref="G81:G87" si="30">H81</f>
        <v>2.47E-2</v>
      </c>
      <c r="H81" s="2426">
        <f t="shared" si="26"/>
        <v>2.47E-2</v>
      </c>
      <c r="I81" s="2400">
        <v>0.33</v>
      </c>
      <c r="J81" s="2403">
        <f t="shared" si="27"/>
        <v>4.9399999999999999E-2</v>
      </c>
      <c r="K81" s="2403">
        <f t="shared" si="28"/>
        <v>2.47E-2</v>
      </c>
      <c r="L81" s="2403">
        <v>0</v>
      </c>
      <c r="M81" s="2403">
        <f t="shared" si="29"/>
        <v>-2.47E-2</v>
      </c>
      <c r="N81" s="2403">
        <f t="shared" si="29"/>
        <v>-4.9399999999999999E-2</v>
      </c>
      <c r="AC81" s="1402"/>
      <c r="AD81" s="1401"/>
      <c r="AJ81" s="1400"/>
      <c r="AN81" s="1401"/>
    </row>
    <row r="82" spans="1:40" ht="24">
      <c r="A82" s="1063" t="s">
        <v>1022</v>
      </c>
      <c r="B82" s="2373">
        <f>估价对象房地状况!G17</f>
        <v>0</v>
      </c>
      <c r="C82" s="1050" t="s">
        <v>3009</v>
      </c>
      <c r="D82" s="2382">
        <f t="shared" si="25"/>
        <v>3.7000000000000002E-3</v>
      </c>
      <c r="E82" s="2410"/>
      <c r="F82" s="2411"/>
      <c r="G82" s="2380">
        <f t="shared" si="30"/>
        <v>3.7000000000000002E-3</v>
      </c>
      <c r="H82" s="2426">
        <f t="shared" si="26"/>
        <v>3.7000000000000002E-3</v>
      </c>
      <c r="I82" s="2400">
        <v>0.05</v>
      </c>
      <c r="J82" s="2403">
        <f t="shared" si="27"/>
        <v>7.4000000000000003E-3</v>
      </c>
      <c r="K82" s="2403">
        <f t="shared" si="28"/>
        <v>3.7000000000000002E-3</v>
      </c>
      <c r="L82" s="2403">
        <v>0</v>
      </c>
      <c r="M82" s="2403">
        <f t="shared" si="29"/>
        <v>-3.7000000000000002E-3</v>
      </c>
      <c r="N82" s="2403">
        <f t="shared" si="29"/>
        <v>-7.4000000000000003E-3</v>
      </c>
      <c r="AC82" s="1402"/>
      <c r="AD82" s="1401"/>
      <c r="AJ82" s="1400"/>
      <c r="AN82" s="1401"/>
    </row>
    <row r="83" spans="1:40" ht="14.25">
      <c r="A83" s="1063" t="s">
        <v>1034</v>
      </c>
      <c r="B83" s="2373">
        <f>估价对象房地状况!G22</f>
        <v>0</v>
      </c>
      <c r="C83" s="1050" t="s">
        <v>3008</v>
      </c>
      <c r="D83" s="2382">
        <f t="shared" si="25"/>
        <v>0</v>
      </c>
      <c r="E83" s="2410"/>
      <c r="F83" s="2411"/>
      <c r="G83" s="2380">
        <f t="shared" si="30"/>
        <v>3.0000000000000001E-3</v>
      </c>
      <c r="H83" s="2426">
        <f t="shared" si="26"/>
        <v>3.0000000000000001E-3</v>
      </c>
      <c r="I83" s="2400">
        <v>0.04</v>
      </c>
      <c r="J83" s="2403">
        <f t="shared" si="27"/>
        <v>6.0000000000000001E-3</v>
      </c>
      <c r="K83" s="2403">
        <f t="shared" si="28"/>
        <v>3.0000000000000001E-3</v>
      </c>
      <c r="L83" s="2403">
        <v>0</v>
      </c>
      <c r="M83" s="2403">
        <f t="shared" si="29"/>
        <v>-3.0000000000000001E-3</v>
      </c>
      <c r="N83" s="2403">
        <f t="shared" si="29"/>
        <v>-6.0000000000000001E-3</v>
      </c>
      <c r="AC83" s="1402"/>
      <c r="AD83" s="1401"/>
      <c r="AJ83" s="1400"/>
      <c r="AN83" s="1401"/>
    </row>
    <row r="84" spans="1:40" ht="24">
      <c r="A84" s="1063" t="s">
        <v>1026</v>
      </c>
      <c r="B84" s="2374" t="str">
        <f>估价对象房地状况!G19</f>
        <v>估价对象所在区域公共配套设施齐备情况</v>
      </c>
      <c r="C84" s="1050" t="s">
        <v>3009</v>
      </c>
      <c r="D84" s="2382">
        <f t="shared" si="25"/>
        <v>4.4999999999999997E-3</v>
      </c>
      <c r="E84" s="2410"/>
      <c r="F84" s="2411"/>
      <c r="G84" s="2380">
        <f t="shared" si="30"/>
        <v>4.4999999999999997E-3</v>
      </c>
      <c r="H84" s="2426">
        <f t="shared" si="26"/>
        <v>4.4999999999999997E-3</v>
      </c>
      <c r="I84" s="2400">
        <v>0.06</v>
      </c>
      <c r="J84" s="2403">
        <f t="shared" si="27"/>
        <v>8.9999999999999993E-3</v>
      </c>
      <c r="K84" s="2403">
        <f t="shared" si="28"/>
        <v>4.4999999999999997E-3</v>
      </c>
      <c r="L84" s="2403">
        <v>0</v>
      </c>
      <c r="M84" s="2403">
        <f t="shared" si="29"/>
        <v>-4.4999999999999997E-3</v>
      </c>
      <c r="N84" s="2403">
        <f t="shared" si="29"/>
        <v>-8.9999999999999993E-3</v>
      </c>
      <c r="AC84" s="1402"/>
      <c r="AD84" s="1401"/>
      <c r="AJ84" s="1400"/>
      <c r="AN84" s="1401"/>
    </row>
    <row r="85" spans="1:40" ht="24">
      <c r="A85" s="1063" t="s">
        <v>1027</v>
      </c>
      <c r="B85" s="2374" t="str">
        <f>估价对象房地状况!G20</f>
        <v>估价对象所在区域基础设施水平</v>
      </c>
      <c r="C85" s="1050" t="s">
        <v>3008</v>
      </c>
      <c r="D85" s="2382">
        <f t="shared" si="25"/>
        <v>0</v>
      </c>
      <c r="E85" s="2410"/>
      <c r="F85" s="2411"/>
      <c r="G85" s="2380">
        <f t="shared" si="30"/>
        <v>1.12E-2</v>
      </c>
      <c r="H85" s="2426">
        <f t="shared" si="26"/>
        <v>1.12E-2</v>
      </c>
      <c r="I85" s="2400">
        <v>0.15</v>
      </c>
      <c r="J85" s="2403">
        <f t="shared" si="27"/>
        <v>2.24E-2</v>
      </c>
      <c r="K85" s="2403">
        <f t="shared" si="28"/>
        <v>1.12E-2</v>
      </c>
      <c r="L85" s="2403">
        <v>0</v>
      </c>
      <c r="M85" s="2403">
        <f t="shared" si="29"/>
        <v>-1.12E-2</v>
      </c>
      <c r="N85" s="2403">
        <f t="shared" si="29"/>
        <v>-2.24E-2</v>
      </c>
      <c r="AC85" s="1402"/>
      <c r="AD85" s="1401"/>
      <c r="AJ85" s="1400"/>
      <c r="AN85" s="1401"/>
    </row>
    <row r="86" spans="1:40" ht="24">
      <c r="A86" s="1063" t="s">
        <v>1025</v>
      </c>
      <c r="B86" s="3049" t="s">
        <v>2937</v>
      </c>
      <c r="C86" s="1050" t="s">
        <v>3009</v>
      </c>
      <c r="D86" s="2382">
        <f t="shared" si="25"/>
        <v>3.7000000000000002E-3</v>
      </c>
      <c r="E86" s="2410"/>
      <c r="F86" s="2411"/>
      <c r="G86" s="2380">
        <f t="shared" si="30"/>
        <v>3.7000000000000002E-3</v>
      </c>
      <c r="H86" s="2426">
        <f t="shared" si="26"/>
        <v>3.7000000000000002E-3</v>
      </c>
      <c r="I86" s="2400">
        <v>0.05</v>
      </c>
      <c r="J86" s="2403">
        <f t="shared" si="27"/>
        <v>7.4000000000000003E-3</v>
      </c>
      <c r="K86" s="2403">
        <f t="shared" si="28"/>
        <v>3.7000000000000002E-3</v>
      </c>
      <c r="L86" s="2403">
        <v>0</v>
      </c>
      <c r="M86" s="2403">
        <f t="shared" si="29"/>
        <v>-3.7000000000000002E-3</v>
      </c>
      <c r="N86" s="2403">
        <f t="shared" si="29"/>
        <v>-7.4000000000000003E-3</v>
      </c>
      <c r="AC86" s="1402"/>
      <c r="AD86" s="1401"/>
      <c r="AJ86" s="1400"/>
      <c r="AN86" s="1401"/>
    </row>
    <row r="87" spans="1:40" ht="36.75" thickBot="1">
      <c r="A87" s="2406" t="s">
        <v>1038</v>
      </c>
      <c r="B87" s="2375" t="str">
        <f>估价对象房地状况!G18</f>
        <v>该园区内是否有污染型企业，绿化情况，卫生条件，整体环境状况判断</v>
      </c>
      <c r="C87" s="1050" t="s">
        <v>3009</v>
      </c>
      <c r="D87" s="2382">
        <f t="shared" si="25"/>
        <v>4.4999999999999997E-3</v>
      </c>
      <c r="E87" s="2412"/>
      <c r="F87" s="2411"/>
      <c r="G87" s="2380">
        <f t="shared" si="30"/>
        <v>4.4999999999999997E-3</v>
      </c>
      <c r="H87" s="2426">
        <f t="shared" si="26"/>
        <v>4.4999999999999997E-3</v>
      </c>
      <c r="I87" s="2407">
        <v>0.06</v>
      </c>
      <c r="J87" s="2403">
        <f t="shared" si="27"/>
        <v>8.9999999999999993E-3</v>
      </c>
      <c r="K87" s="2403">
        <f t="shared" si="28"/>
        <v>4.4999999999999997E-3</v>
      </c>
      <c r="L87" s="2403">
        <v>0</v>
      </c>
      <c r="M87" s="2403">
        <f t="shared" si="29"/>
        <v>-4.4999999999999997E-3</v>
      </c>
      <c r="N87" s="2403">
        <f t="shared" si="29"/>
        <v>-8.9999999999999993E-3</v>
      </c>
      <c r="AC87" s="1402"/>
      <c r="AD87" s="1401"/>
      <c r="AJ87" s="1400"/>
      <c r="AN87" s="1401"/>
    </row>
    <row r="90" spans="1:40">
      <c r="A90" s="3519" t="s">
        <v>1633</v>
      </c>
      <c r="B90" s="3519"/>
      <c r="C90" s="3519"/>
      <c r="D90" s="3519"/>
      <c r="E90" s="3519"/>
      <c r="F90" s="3519"/>
      <c r="G90" s="3519"/>
      <c r="H90" s="3519"/>
      <c r="I90" s="3519"/>
      <c r="J90" s="3519"/>
      <c r="K90" s="2415"/>
      <c r="L90" s="2415"/>
      <c r="M90" s="2415"/>
      <c r="N90" s="2415"/>
    </row>
    <row r="91" spans="1:40">
      <c r="A91" s="3520" t="s">
        <v>1443</v>
      </c>
      <c r="B91" s="3520" t="s">
        <v>1634</v>
      </c>
      <c r="C91" s="1136" t="s">
        <v>1635</v>
      </c>
      <c r="D91" s="1137"/>
      <c r="E91" s="1137"/>
      <c r="F91" s="1137"/>
      <c r="G91" s="1137"/>
      <c r="H91" s="1137"/>
      <c r="I91" s="1137"/>
      <c r="J91" s="1138"/>
      <c r="K91" s="1130"/>
      <c r="L91" s="1130"/>
      <c r="M91" s="1130"/>
      <c r="N91" s="1130"/>
    </row>
    <row r="92" spans="1:40">
      <c r="A92" s="3520"/>
      <c r="B92" s="352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506"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0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0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0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0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0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07"/>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50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06" t="s">
        <v>1637</v>
      </c>
      <c r="B101" s="1143" t="s">
        <v>906</v>
      </c>
      <c r="C101" s="1144">
        <f>$G$3</f>
        <v>1</v>
      </c>
      <c r="D101" s="1144">
        <f t="shared" ref="D101:N101" si="32">$G$3</f>
        <v>1</v>
      </c>
      <c r="E101" s="1144">
        <f t="shared" si="32"/>
        <v>1</v>
      </c>
      <c r="F101" s="1144">
        <f t="shared" si="32"/>
        <v>1</v>
      </c>
      <c r="G101" s="1144">
        <f t="shared" si="32"/>
        <v>1</v>
      </c>
      <c r="H101" s="1144">
        <f t="shared" si="32"/>
        <v>1</v>
      </c>
      <c r="I101" s="1144">
        <f t="shared" si="32"/>
        <v>1</v>
      </c>
      <c r="J101" s="1144">
        <f t="shared" si="32"/>
        <v>1</v>
      </c>
      <c r="K101" s="1144">
        <f t="shared" si="32"/>
        <v>1</v>
      </c>
      <c r="L101" s="1144">
        <f t="shared" si="32"/>
        <v>1</v>
      </c>
      <c r="M101" s="1144">
        <f t="shared" si="32"/>
        <v>1</v>
      </c>
      <c r="N101" s="1144">
        <f t="shared" si="32"/>
        <v>1</v>
      </c>
    </row>
    <row r="102" spans="1:14">
      <c r="A102" s="3507"/>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507"/>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507"/>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507"/>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507"/>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507"/>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507"/>
      <c r="B108" s="3509"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508"/>
      <c r="B109" s="3510"/>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513" t="s">
        <v>1639</v>
      </c>
      <c r="B110" s="3513"/>
      <c r="C110" s="3513"/>
      <c r="D110" s="3513"/>
      <c r="E110" s="3513"/>
      <c r="F110" s="3513"/>
      <c r="G110" s="3513"/>
      <c r="H110" s="3513"/>
      <c r="I110" s="3513"/>
      <c r="J110" s="3513"/>
      <c r="K110" s="2413"/>
      <c r="L110" s="2413"/>
      <c r="M110" s="2413"/>
      <c r="N110" s="2413"/>
    </row>
    <row r="112" spans="1:14" ht="12.75" thickBot="1"/>
    <row r="113" spans="1:13" ht="25.5" thickBot="1">
      <c r="A113" s="1016" t="s">
        <v>896</v>
      </c>
      <c r="B113" s="2416">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20" t="s">
        <v>1007</v>
      </c>
      <c r="B18" s="1150" t="s">
        <v>1446</v>
      </c>
      <c r="C18" s="1127" t="s">
        <v>1447</v>
      </c>
      <c r="D18" s="1128"/>
      <c r="E18" s="1150">
        <v>1</v>
      </c>
      <c r="F18" s="1129" t="s">
        <v>1448</v>
      </c>
      <c r="G18" s="1130"/>
      <c r="H18" s="1101"/>
      <c r="I18" s="1101"/>
    </row>
    <row r="19" spans="1:9" s="1585" customFormat="1" ht="19.5" customHeight="1">
      <c r="A19" s="3520"/>
      <c r="B19" s="3520" t="s">
        <v>1449</v>
      </c>
      <c r="C19" s="1127" t="s">
        <v>1450</v>
      </c>
      <c r="D19" s="1128"/>
      <c r="E19" s="1150">
        <v>0.9</v>
      </c>
      <c r="F19" s="1129" t="s">
        <v>1451</v>
      </c>
      <c r="G19" s="1130"/>
      <c r="H19" s="1101"/>
      <c r="I19" s="1101"/>
    </row>
    <row r="20" spans="1:9" s="1585" customFormat="1" ht="19.5" customHeight="1">
      <c r="A20" s="3520"/>
      <c r="B20" s="3520"/>
      <c r="C20" s="1127" t="s">
        <v>1452</v>
      </c>
      <c r="D20" s="1128"/>
      <c r="E20" s="1150">
        <v>1.1000000000000001</v>
      </c>
      <c r="F20" s="1129" t="s">
        <v>1453</v>
      </c>
      <c r="G20" s="1130"/>
      <c r="H20" s="1101"/>
      <c r="I20" s="1101"/>
    </row>
    <row r="21" spans="1:9" s="1585" customFormat="1" ht="19.5" customHeight="1">
      <c r="A21" s="3520"/>
      <c r="B21" s="3520"/>
      <c r="C21" s="1127" t="s">
        <v>1454</v>
      </c>
      <c r="D21" s="1128"/>
      <c r="E21" s="1150">
        <v>0.8</v>
      </c>
      <c r="F21" s="1129" t="s">
        <v>1455</v>
      </c>
      <c r="G21" s="1130"/>
      <c r="H21" s="1101"/>
      <c r="I21" s="1101"/>
    </row>
    <row r="22" spans="1:9" s="1585" customFormat="1" ht="19.5" customHeight="1">
      <c r="A22" s="3520"/>
      <c r="B22" s="3520"/>
      <c r="C22" s="1127" t="s">
        <v>1456</v>
      </c>
      <c r="D22" s="1128"/>
      <c r="E22" s="1150">
        <v>0.5</v>
      </c>
      <c r="F22" s="1129"/>
      <c r="G22" s="1130"/>
      <c r="H22" s="1101"/>
      <c r="I22" s="1101"/>
    </row>
    <row r="23" spans="1:9" s="1585" customFormat="1" ht="19.5" customHeight="1">
      <c r="A23" s="3520" t="s">
        <v>1029</v>
      </c>
      <c r="B23" s="1150" t="s">
        <v>1446</v>
      </c>
      <c r="C23" s="1127" t="s">
        <v>1457</v>
      </c>
      <c r="D23" s="1128"/>
      <c r="E23" s="1150">
        <v>1</v>
      </c>
      <c r="F23" s="1129" t="s">
        <v>1458</v>
      </c>
      <c r="G23" s="1130"/>
      <c r="H23" s="1101"/>
      <c r="I23" s="1101"/>
    </row>
    <row r="24" spans="1:9" s="1585" customFormat="1" ht="19.5" customHeight="1">
      <c r="A24" s="3520"/>
      <c r="B24" s="3520" t="s">
        <v>1449</v>
      </c>
      <c r="C24" s="1127" t="s">
        <v>1459</v>
      </c>
      <c r="D24" s="1128"/>
      <c r="E24" s="1150">
        <v>0.5</v>
      </c>
      <c r="F24" s="1129"/>
      <c r="G24" s="1130"/>
      <c r="H24" s="1101"/>
      <c r="I24" s="1101"/>
    </row>
    <row r="25" spans="1:9" s="1585" customFormat="1" ht="19.5" customHeight="1">
      <c r="A25" s="3520"/>
      <c r="B25" s="3520"/>
      <c r="C25" s="1127" t="s">
        <v>1460</v>
      </c>
      <c r="D25" s="1128"/>
      <c r="E25" s="1150">
        <v>1.1000000000000001</v>
      </c>
      <c r="F25" s="1129"/>
      <c r="G25" s="1130"/>
      <c r="H25" s="1101"/>
      <c r="I25" s="1101"/>
    </row>
    <row r="26" spans="1:9" s="1585" customFormat="1" ht="19.5" customHeight="1">
      <c r="A26" s="3520"/>
      <c r="B26" s="3520"/>
      <c r="C26" s="1127" t="s">
        <v>1461</v>
      </c>
      <c r="D26" s="1128"/>
      <c r="E26" s="1150">
        <v>1.1000000000000001</v>
      </c>
      <c r="F26" s="1129"/>
      <c r="G26" s="1130"/>
      <c r="H26" s="1101"/>
      <c r="I26" s="1101"/>
    </row>
    <row r="27" spans="1:9" s="1585" customFormat="1" ht="19.5" customHeight="1">
      <c r="A27" s="3520"/>
      <c r="B27" s="3520"/>
      <c r="C27" s="1127" t="s">
        <v>1462</v>
      </c>
      <c r="D27" s="1128"/>
      <c r="E27" s="1150">
        <v>0.9</v>
      </c>
      <c r="F27" s="1129" t="s">
        <v>1463</v>
      </c>
      <c r="G27" s="1130"/>
      <c r="H27" s="1101"/>
      <c r="I27" s="1101"/>
    </row>
    <row r="28" spans="1:9" s="1585" customFormat="1" ht="19.5" customHeight="1">
      <c r="A28" s="3520"/>
      <c r="B28" s="3520"/>
      <c r="C28" s="1127" t="s">
        <v>1464</v>
      </c>
      <c r="D28" s="1128"/>
      <c r="E28" s="1150">
        <v>0.9</v>
      </c>
      <c r="F28" s="1129" t="s">
        <v>1465</v>
      </c>
      <c r="G28" s="1130"/>
      <c r="H28" s="1101"/>
      <c r="I28" s="1101"/>
    </row>
    <row r="29" spans="1:9" s="1585" customFormat="1" ht="19.5" customHeight="1">
      <c r="A29" s="3520"/>
      <c r="B29" s="3520"/>
      <c r="C29" s="1127" t="s">
        <v>1466</v>
      </c>
      <c r="D29" s="1128"/>
      <c r="E29" s="1150">
        <v>0.9</v>
      </c>
      <c r="F29" s="1129" t="s">
        <v>1467</v>
      </c>
      <c r="G29" s="1130"/>
      <c r="H29" s="1101"/>
      <c r="I29" s="1101"/>
    </row>
    <row r="30" spans="1:9" s="1585" customFormat="1" ht="19.5" customHeight="1">
      <c r="A30" s="3520"/>
      <c r="B30" s="3520"/>
      <c r="C30" s="1127" t="s">
        <v>1468</v>
      </c>
      <c r="D30" s="1128"/>
      <c r="E30" s="1150">
        <v>0.9</v>
      </c>
      <c r="F30" s="1129" t="s">
        <v>1469</v>
      </c>
      <c r="G30" s="1130"/>
      <c r="H30" s="1101"/>
      <c r="I30" s="1101"/>
    </row>
    <row r="31" spans="1:9" s="1585" customFormat="1" ht="19.5" customHeight="1">
      <c r="A31" s="3520"/>
      <c r="B31" s="3520"/>
      <c r="C31" s="1127" t="s">
        <v>1470</v>
      </c>
      <c r="D31" s="1128"/>
      <c r="E31" s="1150">
        <v>0.8</v>
      </c>
      <c r="F31" s="1129" t="s">
        <v>1471</v>
      </c>
      <c r="G31" s="1130"/>
      <c r="H31" s="1101"/>
      <c r="I31" s="1101"/>
    </row>
    <row r="32" spans="1:9" s="1585" customFormat="1" ht="19.5" customHeight="1">
      <c r="A32" s="3520"/>
      <c r="B32" s="3520"/>
      <c r="C32" s="1127" t="s">
        <v>1472</v>
      </c>
      <c r="D32" s="1128"/>
      <c r="E32" s="1150">
        <v>0.8</v>
      </c>
      <c r="F32" s="1129" t="s">
        <v>1473</v>
      </c>
      <c r="G32" s="1130"/>
      <c r="H32" s="1101"/>
      <c r="I32" s="1101"/>
    </row>
    <row r="33" spans="1:9" s="1585" customFormat="1" ht="19.5" customHeight="1">
      <c r="A33" s="3520" t="s">
        <v>1474</v>
      </c>
      <c r="B33" s="1150" t="s">
        <v>1446</v>
      </c>
      <c r="C33" s="1127" t="s">
        <v>1475</v>
      </c>
      <c r="D33" s="1128"/>
      <c r="E33" s="1150">
        <v>1</v>
      </c>
      <c r="F33" s="1129" t="s">
        <v>1476</v>
      </c>
      <c r="G33" s="1130"/>
      <c r="H33" s="1101"/>
      <c r="I33" s="1101"/>
    </row>
    <row r="34" spans="1:9" s="1585" customFormat="1" ht="19.5" customHeight="1">
      <c r="A34" s="3520"/>
      <c r="B34" s="1150" t="s">
        <v>1449</v>
      </c>
      <c r="C34" s="1127" t="s">
        <v>1477</v>
      </c>
      <c r="D34" s="1128"/>
      <c r="E34" s="1150">
        <v>1.5</v>
      </c>
      <c r="F34" s="1129" t="s">
        <v>1478</v>
      </c>
      <c r="G34" s="1130"/>
      <c r="H34" s="1101"/>
      <c r="I34" s="1101"/>
    </row>
    <row r="35" spans="1:9" s="1585" customFormat="1" ht="19.5" customHeight="1">
      <c r="A35" s="3520" t="s">
        <v>1432</v>
      </c>
      <c r="B35" s="1150" t="s">
        <v>1446</v>
      </c>
      <c r="C35" s="1127" t="s">
        <v>1479</v>
      </c>
      <c r="D35" s="1128"/>
      <c r="E35" s="1150">
        <v>1</v>
      </c>
      <c r="F35" s="1129" t="s">
        <v>1480</v>
      </c>
      <c r="G35" s="1130"/>
      <c r="H35" s="1101"/>
      <c r="I35" s="1101"/>
    </row>
    <row r="36" spans="1:9" s="1585" customFormat="1" ht="19.5" customHeight="1">
      <c r="A36" s="3520"/>
      <c r="B36" s="3520" t="s">
        <v>1449</v>
      </c>
      <c r="C36" s="1127" t="s">
        <v>1481</v>
      </c>
      <c r="D36" s="1128"/>
      <c r="E36" s="1150">
        <v>1</v>
      </c>
      <c r="F36" s="1129" t="s">
        <v>1482</v>
      </c>
      <c r="G36" s="1130"/>
      <c r="H36" s="1101"/>
      <c r="I36" s="1101"/>
    </row>
    <row r="37" spans="1:9" s="1585" customFormat="1" ht="19.5" customHeight="1">
      <c r="A37" s="3520"/>
      <c r="B37" s="3520"/>
      <c r="C37" s="1127" t="s">
        <v>1483</v>
      </c>
      <c r="D37" s="1128"/>
      <c r="E37" s="1150">
        <v>1.5</v>
      </c>
      <c r="F37" s="1129" t="s">
        <v>1484</v>
      </c>
      <c r="G37" s="1130"/>
      <c r="H37" s="1101"/>
      <c r="I37" s="1101"/>
    </row>
    <row r="38" spans="1:9" s="1585" customFormat="1" ht="19.5" customHeight="1">
      <c r="A38" s="3520"/>
      <c r="B38" s="3520"/>
      <c r="C38" s="1127" t="s">
        <v>1485</v>
      </c>
      <c r="D38" s="1128"/>
      <c r="E38" s="1150">
        <v>1</v>
      </c>
      <c r="F38" s="1129" t="s">
        <v>1486</v>
      </c>
      <c r="G38" s="1130"/>
      <c r="H38" s="1101"/>
      <c r="I38" s="1101"/>
    </row>
    <row r="39" spans="1:9" s="1585" customFormat="1" ht="19.5" customHeight="1">
      <c r="A39" s="3520"/>
      <c r="B39" s="352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20" t="s">
        <v>1501</v>
      </c>
      <c r="C61" s="1064" t="s">
        <v>1502</v>
      </c>
      <c r="D61" s="1064" t="s">
        <v>1503</v>
      </c>
      <c r="E61" s="1135">
        <v>0.5</v>
      </c>
      <c r="F61" s="1150">
        <v>80</v>
      </c>
      <c r="H61" s="1101">
        <f>SUMIF(C59:C119,基准地价!C8,E59:E119)</f>
        <v>0</v>
      </c>
    </row>
    <row r="62" spans="1:8" s="1101" customFormat="1" ht="24">
      <c r="A62" s="1150">
        <v>2</v>
      </c>
      <c r="B62" s="3520"/>
      <c r="C62" s="1064" t="s">
        <v>1504</v>
      </c>
      <c r="D62" s="1064" t="s">
        <v>1505</v>
      </c>
      <c r="E62" s="1135">
        <v>0.5</v>
      </c>
      <c r="F62" s="1150">
        <v>80</v>
      </c>
    </row>
    <row r="63" spans="1:8" s="1101" customFormat="1" ht="36">
      <c r="A63" s="1150">
        <v>3</v>
      </c>
      <c r="B63" s="3520"/>
      <c r="C63" s="1064" t="s">
        <v>1506</v>
      </c>
      <c r="D63" s="1064" t="s">
        <v>1507</v>
      </c>
      <c r="E63" s="1135">
        <v>0.5</v>
      </c>
      <c r="F63" s="1150">
        <v>80</v>
      </c>
    </row>
    <row r="64" spans="1:8" s="1101" customFormat="1" ht="36">
      <c r="A64" s="1150">
        <v>4</v>
      </c>
      <c r="B64" s="3520"/>
      <c r="C64" s="1064" t="s">
        <v>1508</v>
      </c>
      <c r="D64" s="1064" t="s">
        <v>1509</v>
      </c>
      <c r="E64" s="1135">
        <v>0.4</v>
      </c>
      <c r="F64" s="1150">
        <v>60</v>
      </c>
    </row>
    <row r="65" spans="1:6" s="1101" customFormat="1" ht="36">
      <c r="A65" s="1150">
        <v>5</v>
      </c>
      <c r="B65" s="3520"/>
      <c r="C65" s="1064" t="s">
        <v>1510</v>
      </c>
      <c r="D65" s="1064" t="s">
        <v>1511</v>
      </c>
      <c r="E65" s="1135">
        <v>0.2</v>
      </c>
      <c r="F65" s="1150">
        <v>30</v>
      </c>
    </row>
    <row r="66" spans="1:6" s="1101" customFormat="1" ht="36">
      <c r="A66" s="1150">
        <v>6</v>
      </c>
      <c r="B66" s="3520"/>
      <c r="C66" s="1064" t="s">
        <v>1512</v>
      </c>
      <c r="D66" s="1064" t="s">
        <v>1513</v>
      </c>
      <c r="E66" s="1135">
        <v>0.3</v>
      </c>
      <c r="F66" s="1150">
        <v>50</v>
      </c>
    </row>
    <row r="67" spans="1:6" s="1101" customFormat="1" ht="36">
      <c r="A67" s="1150">
        <v>7</v>
      </c>
      <c r="B67" s="3520"/>
      <c r="C67" s="1064" t="s">
        <v>1514</v>
      </c>
      <c r="D67" s="1064" t="s">
        <v>1515</v>
      </c>
      <c r="E67" s="1135">
        <v>0.2</v>
      </c>
      <c r="F67" s="1150">
        <v>30</v>
      </c>
    </row>
    <row r="68" spans="1:6" s="1101" customFormat="1" ht="36">
      <c r="A68" s="1150">
        <v>8</v>
      </c>
      <c r="B68" s="3520"/>
      <c r="C68" s="1064" t="s">
        <v>1516</v>
      </c>
      <c r="D68" s="1064" t="s">
        <v>1517</v>
      </c>
      <c r="E68" s="1135">
        <v>0.2</v>
      </c>
      <c r="F68" s="1150">
        <v>30</v>
      </c>
    </row>
    <row r="69" spans="1:6" s="1101" customFormat="1" ht="36">
      <c r="A69" s="1150">
        <v>9</v>
      </c>
      <c r="B69" s="3520"/>
      <c r="C69" s="1064" t="s">
        <v>1518</v>
      </c>
      <c r="D69" s="1064" t="s">
        <v>1519</v>
      </c>
      <c r="E69" s="1135">
        <v>0.2</v>
      </c>
      <c r="F69" s="1150">
        <v>30</v>
      </c>
    </row>
    <row r="70" spans="1:6" s="1101" customFormat="1" ht="48">
      <c r="A70" s="1150">
        <v>10</v>
      </c>
      <c r="B70" s="3520"/>
      <c r="C70" s="1064" t="s">
        <v>1520</v>
      </c>
      <c r="D70" s="1064" t="s">
        <v>1521</v>
      </c>
      <c r="E70" s="1135">
        <v>0.2</v>
      </c>
      <c r="F70" s="1150">
        <v>30</v>
      </c>
    </row>
    <row r="71" spans="1:6" s="1101" customFormat="1" ht="48">
      <c r="A71" s="1150">
        <v>11</v>
      </c>
      <c r="B71" s="3520"/>
      <c r="C71" s="1064" t="s">
        <v>1522</v>
      </c>
      <c r="D71" s="1064" t="s">
        <v>1523</v>
      </c>
      <c r="E71" s="1135">
        <v>0.2</v>
      </c>
      <c r="F71" s="1150">
        <v>30</v>
      </c>
    </row>
    <row r="72" spans="1:6" s="1101" customFormat="1" ht="36">
      <c r="A72" s="1150">
        <v>12</v>
      </c>
      <c r="B72" s="3520"/>
      <c r="C72" s="1064" t="s">
        <v>1524</v>
      </c>
      <c r="D72" s="1064" t="s">
        <v>1525</v>
      </c>
      <c r="E72" s="1135">
        <v>0.5</v>
      </c>
      <c r="F72" s="1150">
        <v>80</v>
      </c>
    </row>
    <row r="73" spans="1:6" s="1101" customFormat="1" ht="24">
      <c r="A73" s="1150">
        <v>13</v>
      </c>
      <c r="B73" s="3520"/>
      <c r="C73" s="1064" t="s">
        <v>1526</v>
      </c>
      <c r="D73" s="1064" t="s">
        <v>1527</v>
      </c>
      <c r="E73" s="1135">
        <v>0.4</v>
      </c>
      <c r="F73" s="1150">
        <v>60</v>
      </c>
    </row>
    <row r="74" spans="1:6" s="1101" customFormat="1" ht="24">
      <c r="A74" s="1150">
        <v>14</v>
      </c>
      <c r="B74" s="3520"/>
      <c r="C74" s="1064" t="s">
        <v>1528</v>
      </c>
      <c r="D74" s="1064" t="s">
        <v>1529</v>
      </c>
      <c r="E74" s="1135">
        <v>0.2</v>
      </c>
      <c r="F74" s="1150">
        <v>30</v>
      </c>
    </row>
    <row r="75" spans="1:6" s="1101" customFormat="1" ht="24">
      <c r="A75" s="1150">
        <v>15</v>
      </c>
      <c r="B75" s="3520"/>
      <c r="C75" s="1064" t="s">
        <v>1530</v>
      </c>
      <c r="D75" s="1064" t="s">
        <v>1531</v>
      </c>
      <c r="E75" s="1135">
        <v>0.2</v>
      </c>
      <c r="F75" s="1150">
        <v>30</v>
      </c>
    </row>
    <row r="76" spans="1:6" s="1101" customFormat="1" ht="24">
      <c r="A76" s="1150">
        <v>16</v>
      </c>
      <c r="B76" s="3520" t="s">
        <v>1532</v>
      </c>
      <c r="C76" s="1064" t="s">
        <v>1533</v>
      </c>
      <c r="D76" s="1064" t="s">
        <v>1534</v>
      </c>
      <c r="E76" s="1135">
        <v>0.5</v>
      </c>
      <c r="F76" s="1150">
        <v>80</v>
      </c>
    </row>
    <row r="77" spans="1:6" s="1101" customFormat="1" ht="24">
      <c r="A77" s="1150">
        <v>17</v>
      </c>
      <c r="B77" s="3520"/>
      <c r="C77" s="1064" t="s">
        <v>1535</v>
      </c>
      <c r="D77" s="1064" t="s">
        <v>1536</v>
      </c>
      <c r="E77" s="1135">
        <v>0.5</v>
      </c>
      <c r="F77" s="1150">
        <v>80</v>
      </c>
    </row>
    <row r="78" spans="1:6" s="1101" customFormat="1" ht="24">
      <c r="A78" s="1150">
        <v>18</v>
      </c>
      <c r="B78" s="3520"/>
      <c r="C78" s="1064" t="s">
        <v>1537</v>
      </c>
      <c r="D78" s="1064" t="s">
        <v>1538</v>
      </c>
      <c r="E78" s="1135">
        <v>0.2</v>
      </c>
      <c r="F78" s="1150">
        <v>30</v>
      </c>
    </row>
    <row r="79" spans="1:6" s="1101" customFormat="1" ht="24">
      <c r="A79" s="1150">
        <v>19</v>
      </c>
      <c r="B79" s="3520"/>
      <c r="C79" s="1064" t="s">
        <v>1539</v>
      </c>
      <c r="D79" s="1064" t="s">
        <v>1540</v>
      </c>
      <c r="E79" s="1135">
        <v>0.5</v>
      </c>
      <c r="F79" s="1150">
        <v>80</v>
      </c>
    </row>
    <row r="80" spans="1:6" s="1101" customFormat="1" ht="36">
      <c r="A80" s="1150">
        <v>20</v>
      </c>
      <c r="B80" s="3520"/>
      <c r="C80" s="1064" t="s">
        <v>1541</v>
      </c>
      <c r="D80" s="1064" t="s">
        <v>1542</v>
      </c>
      <c r="E80" s="1135">
        <v>0.2</v>
      </c>
      <c r="F80" s="1150">
        <v>30</v>
      </c>
    </row>
    <row r="81" spans="1:6" s="1101" customFormat="1" ht="36">
      <c r="A81" s="1150">
        <v>21</v>
      </c>
      <c r="B81" s="3520"/>
      <c r="C81" s="1064" t="s">
        <v>1543</v>
      </c>
      <c r="D81" s="1064" t="s">
        <v>1544</v>
      </c>
      <c r="E81" s="1135">
        <v>0.2</v>
      </c>
      <c r="F81" s="1150">
        <v>30</v>
      </c>
    </row>
    <row r="82" spans="1:6" s="1101" customFormat="1" ht="48">
      <c r="A82" s="1150">
        <v>22</v>
      </c>
      <c r="B82" s="3520"/>
      <c r="C82" s="1064" t="s">
        <v>1545</v>
      </c>
      <c r="D82" s="1064" t="s">
        <v>1546</v>
      </c>
      <c r="E82" s="1135">
        <v>0.2</v>
      </c>
      <c r="F82" s="1150">
        <v>30</v>
      </c>
    </row>
    <row r="83" spans="1:6" s="1101" customFormat="1" ht="48">
      <c r="A83" s="1150">
        <v>23</v>
      </c>
      <c r="B83" s="3520"/>
      <c r="C83" s="1064" t="s">
        <v>1547</v>
      </c>
      <c r="D83" s="1064" t="s">
        <v>1548</v>
      </c>
      <c r="E83" s="1135">
        <v>0.2</v>
      </c>
      <c r="F83" s="1150">
        <v>30</v>
      </c>
    </row>
    <row r="84" spans="1:6" s="1101" customFormat="1" ht="36">
      <c r="A84" s="1150">
        <v>24</v>
      </c>
      <c r="B84" s="3520"/>
      <c r="C84" s="1064" t="s">
        <v>1549</v>
      </c>
      <c r="D84" s="1064" t="s">
        <v>1550</v>
      </c>
      <c r="E84" s="1135">
        <v>0.2</v>
      </c>
      <c r="F84" s="1150">
        <v>30</v>
      </c>
    </row>
    <row r="85" spans="1:6" s="1101" customFormat="1" ht="36">
      <c r="A85" s="1150">
        <v>25</v>
      </c>
      <c r="B85" s="3520"/>
      <c r="C85" s="1064" t="s">
        <v>1551</v>
      </c>
      <c r="D85" s="1064" t="s">
        <v>1552</v>
      </c>
      <c r="E85" s="1135">
        <v>0.5</v>
      </c>
      <c r="F85" s="1150">
        <v>80</v>
      </c>
    </row>
    <row r="86" spans="1:6" s="1101" customFormat="1" ht="36">
      <c r="A86" s="1150">
        <v>26</v>
      </c>
      <c r="B86" s="3520"/>
      <c r="C86" s="1064" t="s">
        <v>1553</v>
      </c>
      <c r="D86" s="1064" t="s">
        <v>1554</v>
      </c>
      <c r="E86" s="1135">
        <v>0.2</v>
      </c>
      <c r="F86" s="1150">
        <v>30</v>
      </c>
    </row>
    <row r="87" spans="1:6" s="1101" customFormat="1" ht="36">
      <c r="A87" s="1150">
        <v>27</v>
      </c>
      <c r="B87" s="3520"/>
      <c r="C87" s="1064" t="s">
        <v>1555</v>
      </c>
      <c r="D87" s="1064" t="s">
        <v>1556</v>
      </c>
      <c r="E87" s="1135">
        <v>0.2</v>
      </c>
      <c r="F87" s="1150">
        <v>30</v>
      </c>
    </row>
    <row r="88" spans="1:6" s="1101" customFormat="1" ht="36">
      <c r="A88" s="1150">
        <v>28</v>
      </c>
      <c r="B88" s="3520"/>
      <c r="C88" s="1064" t="s">
        <v>1557</v>
      </c>
      <c r="D88" s="1064" t="s">
        <v>1558</v>
      </c>
      <c r="E88" s="1135">
        <v>0.2</v>
      </c>
      <c r="F88" s="1150">
        <v>30</v>
      </c>
    </row>
    <row r="89" spans="1:6" s="1101" customFormat="1" ht="24">
      <c r="A89" s="1150">
        <v>29</v>
      </c>
      <c r="B89" s="3520"/>
      <c r="C89" s="1064" t="s">
        <v>1559</v>
      </c>
      <c r="D89" s="1064" t="s">
        <v>1560</v>
      </c>
      <c r="E89" s="1135">
        <v>0.2</v>
      </c>
      <c r="F89" s="1150">
        <v>30</v>
      </c>
    </row>
    <row r="90" spans="1:6" s="1101" customFormat="1" ht="24">
      <c r="A90" s="1150">
        <v>30</v>
      </c>
      <c r="B90" s="3520"/>
      <c r="C90" s="1064" t="s">
        <v>1561</v>
      </c>
      <c r="D90" s="1064" t="s">
        <v>1562</v>
      </c>
      <c r="E90" s="1135">
        <v>0.2</v>
      </c>
      <c r="F90" s="1150">
        <v>30</v>
      </c>
    </row>
    <row r="91" spans="1:6" s="1101" customFormat="1" ht="36">
      <c r="A91" s="1150">
        <v>31</v>
      </c>
      <c r="B91" s="3520"/>
      <c r="C91" s="1064" t="s">
        <v>1563</v>
      </c>
      <c r="D91" s="1064" t="s">
        <v>1564</v>
      </c>
      <c r="E91" s="1135">
        <v>0.2</v>
      </c>
      <c r="F91" s="1150">
        <v>30</v>
      </c>
    </row>
    <row r="92" spans="1:6" s="1101" customFormat="1" ht="24">
      <c r="A92" s="1150">
        <v>32</v>
      </c>
      <c r="B92" s="3520" t="s">
        <v>1565</v>
      </c>
      <c r="C92" s="1150" t="s">
        <v>1566</v>
      </c>
      <c r="D92" s="1064" t="s">
        <v>1567</v>
      </c>
      <c r="E92" s="1135">
        <v>0.2</v>
      </c>
      <c r="F92" s="1150">
        <v>30</v>
      </c>
    </row>
    <row r="93" spans="1:6" s="1101" customFormat="1" ht="36">
      <c r="A93" s="1150">
        <v>33</v>
      </c>
      <c r="B93" s="3520"/>
      <c r="C93" s="1150" t="s">
        <v>1568</v>
      </c>
      <c r="D93" s="1064" t="s">
        <v>1569</v>
      </c>
      <c r="E93" s="1135">
        <v>0.2</v>
      </c>
      <c r="F93" s="1150">
        <v>30</v>
      </c>
    </row>
    <row r="94" spans="1:6" s="1101" customFormat="1" ht="48">
      <c r="A94" s="1150">
        <v>34</v>
      </c>
      <c r="B94" s="3520"/>
      <c r="C94" s="1150" t="s">
        <v>1570</v>
      </c>
      <c r="D94" s="1064" t="s">
        <v>1571</v>
      </c>
      <c r="E94" s="1135">
        <v>0.2</v>
      </c>
      <c r="F94" s="1150">
        <v>30</v>
      </c>
    </row>
    <row r="95" spans="1:6" s="1101" customFormat="1" ht="36">
      <c r="A95" s="1150">
        <v>35</v>
      </c>
      <c r="B95" s="3520"/>
      <c r="C95" s="1150" t="s">
        <v>1572</v>
      </c>
      <c r="D95" s="1064" t="s">
        <v>1573</v>
      </c>
      <c r="E95" s="1135">
        <v>0.2</v>
      </c>
      <c r="F95" s="1150">
        <v>30</v>
      </c>
    </row>
    <row r="96" spans="1:6" s="1101" customFormat="1" ht="48">
      <c r="A96" s="1150">
        <v>36</v>
      </c>
      <c r="B96" s="3520"/>
      <c r="C96" s="1064" t="s">
        <v>1574</v>
      </c>
      <c r="D96" s="1064" t="s">
        <v>1575</v>
      </c>
      <c r="E96" s="1135">
        <v>0.2</v>
      </c>
      <c r="F96" s="1150">
        <v>30</v>
      </c>
    </row>
    <row r="97" spans="1:6" s="1101" customFormat="1" ht="36">
      <c r="A97" s="1150">
        <v>37</v>
      </c>
      <c r="B97" s="3520"/>
      <c r="C97" s="1150" t="s">
        <v>1576</v>
      </c>
      <c r="D97" s="1064" t="s">
        <v>1577</v>
      </c>
      <c r="E97" s="1135">
        <v>0.2</v>
      </c>
      <c r="F97" s="1150">
        <v>30</v>
      </c>
    </row>
    <row r="98" spans="1:6" s="1101" customFormat="1" ht="36">
      <c r="A98" s="1150">
        <v>38</v>
      </c>
      <c r="B98" s="3520"/>
      <c r="C98" s="1150" t="s">
        <v>1578</v>
      </c>
      <c r="D98" s="1064" t="s">
        <v>1579</v>
      </c>
      <c r="E98" s="1135">
        <v>0.2</v>
      </c>
      <c r="F98" s="1150">
        <v>30</v>
      </c>
    </row>
    <row r="99" spans="1:6" s="1101" customFormat="1" ht="36">
      <c r="A99" s="1150">
        <v>39</v>
      </c>
      <c r="B99" s="3520" t="s">
        <v>1580</v>
      </c>
      <c r="C99" s="1150" t="s">
        <v>1581</v>
      </c>
      <c r="D99" s="1064" t="s">
        <v>1582</v>
      </c>
      <c r="E99" s="1135">
        <v>0.3</v>
      </c>
      <c r="F99" s="1150">
        <v>50</v>
      </c>
    </row>
    <row r="100" spans="1:6" s="1101" customFormat="1" ht="24">
      <c r="A100" s="1150">
        <v>40</v>
      </c>
      <c r="B100" s="3520"/>
      <c r="C100" s="1150" t="s">
        <v>1583</v>
      </c>
      <c r="D100" s="1064" t="s">
        <v>1584</v>
      </c>
      <c r="E100" s="1135">
        <v>0.2</v>
      </c>
      <c r="F100" s="1150">
        <v>30</v>
      </c>
    </row>
    <row r="101" spans="1:6" s="1101" customFormat="1" ht="36">
      <c r="A101" s="1150">
        <v>41</v>
      </c>
      <c r="B101" s="352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20" t="s">
        <v>1595</v>
      </c>
      <c r="C105" s="1150" t="s">
        <v>1596</v>
      </c>
      <c r="D105" s="1064" t="s">
        <v>1597</v>
      </c>
      <c r="E105" s="1135">
        <v>0.2</v>
      </c>
      <c r="F105" s="1150">
        <v>30</v>
      </c>
    </row>
    <row r="106" spans="1:6" s="1101" customFormat="1" ht="36">
      <c r="A106" s="1150">
        <v>46</v>
      </c>
      <c r="B106" s="3520"/>
      <c r="C106" s="1150" t="s">
        <v>1598</v>
      </c>
      <c r="D106" s="1064" t="s">
        <v>1599</v>
      </c>
      <c r="E106" s="1135">
        <v>0.2</v>
      </c>
      <c r="F106" s="1150">
        <v>30</v>
      </c>
    </row>
    <row r="107" spans="1:6" s="1101" customFormat="1" ht="36">
      <c r="A107" s="1150">
        <v>47</v>
      </c>
      <c r="B107" s="3520" t="s">
        <v>1600</v>
      </c>
      <c r="C107" s="1150" t="s">
        <v>1601</v>
      </c>
      <c r="D107" s="1064" t="s">
        <v>1602</v>
      </c>
      <c r="E107" s="1135">
        <v>0.3</v>
      </c>
      <c r="F107" s="1150">
        <v>50</v>
      </c>
    </row>
    <row r="108" spans="1:6" s="1101" customFormat="1" ht="36">
      <c r="A108" s="1150">
        <v>48</v>
      </c>
      <c r="B108" s="352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20" t="s">
        <v>1611</v>
      </c>
      <c r="C111" s="1150" t="s">
        <v>1612</v>
      </c>
      <c r="D111" s="1064" t="s">
        <v>1613</v>
      </c>
      <c r="E111" s="1135">
        <v>0.2</v>
      </c>
      <c r="F111" s="1150">
        <v>30</v>
      </c>
    </row>
    <row r="112" spans="1:6" s="1101" customFormat="1" ht="24">
      <c r="A112" s="1150">
        <v>52</v>
      </c>
      <c r="B112" s="3520"/>
      <c r="C112" s="1150" t="s">
        <v>1614</v>
      </c>
      <c r="D112" s="1064" t="s">
        <v>1615</v>
      </c>
      <c r="E112" s="1135">
        <v>0.2</v>
      </c>
      <c r="F112" s="1150">
        <v>30</v>
      </c>
    </row>
    <row r="113" spans="1:14" s="1101" customFormat="1" ht="24">
      <c r="A113" s="1150">
        <v>53</v>
      </c>
      <c r="B113" s="352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20" t="s">
        <v>1624</v>
      </c>
      <c r="C116" s="1150" t="s">
        <v>1625</v>
      </c>
      <c r="D116" s="1064" t="s">
        <v>1626</v>
      </c>
      <c r="E116" s="1135">
        <v>0.2</v>
      </c>
      <c r="F116" s="1150">
        <v>30</v>
      </c>
    </row>
    <row r="117" spans="1:14" ht="36">
      <c r="A117" s="1150">
        <v>57</v>
      </c>
      <c r="B117" s="352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19" t="s">
        <v>1633</v>
      </c>
      <c r="B121" s="3519"/>
      <c r="C121" s="3519"/>
      <c r="D121" s="3519"/>
      <c r="E121" s="3519"/>
      <c r="F121" s="3519"/>
      <c r="G121" s="3519"/>
      <c r="H121" s="3519"/>
      <c r="I121" s="3519"/>
      <c r="J121" s="351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24" t="s">
        <v>1039</v>
      </c>
      <c r="B1" s="3524"/>
      <c r="C1" s="3524"/>
      <c r="D1" s="3524"/>
      <c r="E1" s="3524"/>
      <c r="F1" s="352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25" t="s">
        <v>1052</v>
      </c>
      <c r="B2" s="3525"/>
      <c r="C2" s="3525"/>
      <c r="D2" s="3525"/>
      <c r="E2" s="3525"/>
      <c r="F2" s="352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2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2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940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528" t="s">
        <v>2079</v>
      </c>
      <c r="B1" s="3528"/>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536" t="s">
        <v>2576</v>
      </c>
      <c r="C1" s="3536"/>
      <c r="D1" s="3536"/>
      <c r="E1" s="3536"/>
      <c r="F1" s="3536"/>
      <c r="G1" s="3535" t="s">
        <v>2577</v>
      </c>
      <c r="H1" s="3535"/>
      <c r="I1" s="3535"/>
      <c r="J1" s="3535"/>
      <c r="K1" s="3535"/>
      <c r="L1" s="3535"/>
      <c r="N1" s="3535" t="s">
        <v>2578</v>
      </c>
      <c r="O1" s="3535"/>
      <c r="P1" s="3535"/>
      <c r="Q1" s="3535"/>
      <c r="R1" s="2619"/>
      <c r="S1" s="3535" t="s">
        <v>2579</v>
      </c>
      <c r="T1" s="3535"/>
      <c r="U1" s="3535"/>
      <c r="V1" s="3535"/>
      <c r="X1" s="3534" t="s">
        <v>2639</v>
      </c>
      <c r="Y1" s="3535"/>
      <c r="Z1" s="3535"/>
      <c r="AA1" s="3535"/>
      <c r="AB1" s="3535"/>
      <c r="AD1" s="3534" t="s">
        <v>2643</v>
      </c>
      <c r="AE1" s="3535"/>
      <c r="AF1" s="3535"/>
      <c r="AG1" s="3535"/>
      <c r="AH1" s="3535"/>
    </row>
    <row r="2" spans="1:34" s="2720" customFormat="1" ht="14.25" thickBot="1">
      <c r="B2" s="2728" t="s">
        <v>2580</v>
      </c>
      <c r="C2" s="2728" t="s">
        <v>2641</v>
      </c>
      <c r="D2" s="2721" t="s">
        <v>1644</v>
      </c>
      <c r="E2" s="2721" t="s">
        <v>1949</v>
      </c>
      <c r="F2" s="2728" t="s">
        <v>2642</v>
      </c>
      <c r="G2" s="2724"/>
      <c r="H2" s="2723"/>
      <c r="I2" s="2728" t="s">
        <v>2956</v>
      </c>
      <c r="J2" s="2721" t="s">
        <v>2958</v>
      </c>
      <c r="K2" s="2721" t="s">
        <v>2959</v>
      </c>
      <c r="L2" s="2728" t="s">
        <v>2960</v>
      </c>
      <c r="N2" s="2728" t="s">
        <v>2580</v>
      </c>
      <c r="O2" s="2721" t="s">
        <v>2957</v>
      </c>
      <c r="P2" s="2721" t="s">
        <v>1949</v>
      </c>
      <c r="Q2" s="2728" t="s">
        <v>2642</v>
      </c>
      <c r="R2" s="2722"/>
      <c r="S2" s="2728" t="s">
        <v>2580</v>
      </c>
      <c r="T2" s="2721" t="s">
        <v>2957</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ROUND(IF(项目基本情况!B7="出让",SUMPRODUCT(PRODUCT(1+N5:N$27)),SUMPRODUCT(PRODUCT(1+N5:N$26))),4)</f>
        <v>1.5422</v>
      </c>
      <c r="Y5" s="3071">
        <f>ROUND(IF(项目基本情况!B7="出让",SUMPRODUCT(PRODUCT(1+O5:O$27)),SUMPRODUCT(PRODUCT(1+O5:O$26))),4)</f>
        <v>1.3557999999999999</v>
      </c>
      <c r="Z5" s="3071">
        <f t="shared" ref="Z5" si="11">Y5</f>
        <v>1.3557999999999999</v>
      </c>
      <c r="AA5" s="3071">
        <f>ROUND(IF(项目基本情况!B7="出让",SUMPRODUCT(PRODUCT(1+P5:P$27)),SUMPRODUCT(PRODUCT(1+P5:P$26))),4)</f>
        <v>1.6036999999999999</v>
      </c>
      <c r="AB5" s="3071">
        <f>ROUND(IF(项目基本情况!B7="出让",SUMPRODUCT(PRODUCT(1+Q5:Q$27)),SUMPRODUCT(PRODUCT(1+Q5:Q$26))),4)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2621">
        <v>1.53</v>
      </c>
      <c r="J6" s="2621">
        <v>1.01</v>
      </c>
      <c r="K6" s="2621">
        <v>1.62</v>
      </c>
      <c r="L6" s="262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1">
        <f t="shared" si="13"/>
        <v>464.37293017158942</v>
      </c>
      <c r="C8" s="3181">
        <f t="shared" ref="C8" si="34">C9*(1+O8)</f>
        <v>344.73679941385956</v>
      </c>
      <c r="D8" s="3181">
        <f t="shared" ref="D8" si="35">C8</f>
        <v>344.73679941385956</v>
      </c>
      <c r="E8" s="3181">
        <f t="shared" ref="E8" si="36">E9*(1+P8)</f>
        <v>663.2377795103107</v>
      </c>
      <c r="F8" s="3182">
        <f t="shared" ref="F8" si="37">F9*(1+Q8)</f>
        <v>304.75936311478398</v>
      </c>
      <c r="G8" s="353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53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53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53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529">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53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53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53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529">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53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53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533"/>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532">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53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53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533"/>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532">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53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53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533"/>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53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53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53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53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532">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53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53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533"/>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532">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53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53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533">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532">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53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53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533">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532">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53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53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533">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532">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53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53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533">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532">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53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53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533">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532">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53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53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533">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532">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53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53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533">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532">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53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53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533">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532">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53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53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533">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532">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53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53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533">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f ca="1">SUMIF(B7:B14,"&lt;&gt;#ref!",B7:B14)</f>
        <v>29882</v>
      </c>
      <c r="C2" s="3059" t="s">
        <v>2945</v>
      </c>
      <c r="D2" s="3058"/>
      <c r="E2" s="3058"/>
      <c r="F2" s="3058"/>
    </row>
    <row r="3" spans="1:6" ht="14.25">
      <c r="A3" s="3059" t="s">
        <v>2977</v>
      </c>
      <c r="B3" s="3060">
        <f ca="1">ROUND(B2*10000/E3,0)</f>
        <v>1217</v>
      </c>
      <c r="C3" s="3059" t="s">
        <v>2078</v>
      </c>
      <c r="D3" s="3059" t="s">
        <v>2946</v>
      </c>
      <c r="E3" s="3060">
        <f ca="1">SUMIF(E7:E14,"&lt;&gt;#ref!",E7:E14)</f>
        <v>245539.3</v>
      </c>
      <c r="F3" s="3058"/>
    </row>
    <row r="4" spans="1:6" ht="14.25">
      <c r="A4" s="3059" t="s">
        <v>2953</v>
      </c>
      <c r="B4" s="3060">
        <f ca="1">ROUND(B2*10000/E4,0)</f>
        <v>1217</v>
      </c>
      <c r="C4" s="3059" t="s">
        <v>2078</v>
      </c>
      <c r="D4" s="3059" t="s">
        <v>2954</v>
      </c>
      <c r="E4" s="3060">
        <f ca="1">SUMIF(F7:F14,"&lt;&gt;#ref!",F7:F14)</f>
        <v>245539.3</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f ca="1">SUMIF(INDIRECT("'"&amp;A7&amp;"'"&amp;"!A:A"),"总价",INDIRECT("'"&amp;A7&amp;"'"&amp;"!B:B"))</f>
        <v>29882</v>
      </c>
      <c r="C7" s="3059" t="s">
        <v>2945</v>
      </c>
      <c r="D7" s="1867"/>
      <c r="E7" s="3064">
        <f ca="1">SUMIF(INDIRECT("'"&amp;A7&amp;"'"&amp;"!C:C"),"建筑面积",INDIRECT("'"&amp;A7&amp;"'"&amp;"!D:D"))</f>
        <v>245539.3</v>
      </c>
      <c r="F7" s="3064">
        <f ca="1">SUMIF(INDIRECT("'"&amp;A7&amp;"'"&amp;"!E:E"),"土地面积",INDIRECT("'"&amp;A7&amp;"'"&amp;"!F:F"))</f>
        <v>245539.3</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541" t="s">
        <v>2463</v>
      </c>
      <c r="C8" s="1811">
        <f ca="1">ROUND(F8*F10*F9*(1-F11)/10000,0)</f>
        <v>0</v>
      </c>
      <c r="D8" s="1808" t="s">
        <v>2534</v>
      </c>
      <c r="E8" s="61" t="s">
        <v>637</v>
      </c>
      <c r="F8" s="785">
        <f ca="1">INDIRECT("'数据-取费表'!u"&amp;$G$1)</f>
        <v>0</v>
      </c>
      <c r="G8" s="1579"/>
      <c r="H8" s="2469" t="s">
        <v>1824</v>
      </c>
      <c r="I8" s="3541" t="s">
        <v>2463</v>
      </c>
      <c r="J8" s="783">
        <f ca="1">ROUND(M8*M10*M9*(1-M11)/10000,0)</f>
        <v>0</v>
      </c>
      <c r="K8" s="341" t="s">
        <v>2534</v>
      </c>
      <c r="L8" s="784" t="s">
        <v>1738</v>
      </c>
      <c r="M8" s="785">
        <f ca="1">INDIRECT("'数据-取费表'!z"&amp;$G$1)</f>
        <v>0</v>
      </c>
    </row>
    <row r="9" spans="1:25" ht="18" customHeight="1">
      <c r="A9" s="2465"/>
      <c r="B9" s="3542"/>
      <c r="C9" s="1812"/>
      <c r="D9" s="1809"/>
      <c r="E9" s="61" t="s">
        <v>638</v>
      </c>
      <c r="F9" s="785">
        <f ca="1">IF(INDIRECT("'数据-取费表'!ah"&amp;$G$1)="",INDIRECT("'数据-取费表'!k"&amp;$G$1),INDIRECT("'数据-取费表'!ah"&amp;$G$1))</f>
        <v>0</v>
      </c>
      <c r="G9" s="1579"/>
      <c r="H9" s="2454"/>
      <c r="I9" s="3542"/>
      <c r="J9" s="788"/>
      <c r="K9" s="789"/>
      <c r="L9" s="784" t="s">
        <v>1739</v>
      </c>
      <c r="M9" s="785">
        <f ca="1">F9</f>
        <v>0</v>
      </c>
    </row>
    <row r="10" spans="1:25" ht="18" customHeight="1">
      <c r="A10" s="2458"/>
      <c r="B10" s="3543"/>
      <c r="C10" s="1812"/>
      <c r="D10" s="1809"/>
      <c r="E10" s="61" t="s">
        <v>639</v>
      </c>
      <c r="F10" s="785">
        <f ca="1">INDIRECT("'数据-取费表'!ai"&amp;$G$1)</f>
        <v>0</v>
      </c>
      <c r="G10" s="1579"/>
      <c r="H10" s="2454"/>
      <c r="I10" s="3543"/>
      <c r="J10" s="788"/>
      <c r="K10" s="789"/>
      <c r="L10" s="784" t="s">
        <v>1740</v>
      </c>
      <c r="M10" s="785">
        <f ca="1">INDIRECT("'数据-取费表'!ai"&amp;$G$1)</f>
        <v>0</v>
      </c>
    </row>
    <row r="11" spans="1:25" ht="18" customHeight="1">
      <c r="A11" s="786"/>
      <c r="B11" s="3544"/>
      <c r="C11" s="1812"/>
      <c r="D11" s="1809"/>
      <c r="E11" s="61" t="s">
        <v>640</v>
      </c>
      <c r="F11" s="794">
        <f ca="1">INDIRECT("'数据-取费表'!w"&amp;$G$1)</f>
        <v>0</v>
      </c>
      <c r="G11" s="1579"/>
      <c r="H11" s="2470"/>
      <c r="I11" s="3543"/>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2974</v>
      </c>
      <c r="E12" s="2463" t="s">
        <v>2464</v>
      </c>
      <c r="F12" s="2586"/>
      <c r="G12" s="1579"/>
      <c r="H12" s="2526" t="s">
        <v>1825</v>
      </c>
      <c r="I12" s="2531" t="s">
        <v>2459</v>
      </c>
      <c r="J12" s="783">
        <f ca="1">ROUND(IF(M12="押一",J8/12*M13,IF(M12="押二",J8/12*2*M13,IF(M12="押三",J8/12*3*M13,J13*M13))),0)</f>
        <v>0</v>
      </c>
      <c r="K12" s="2466" t="s">
        <v>2974</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540"/>
      <c r="J36" s="2065"/>
      <c r="K36" s="2066"/>
      <c r="L36" s="2065"/>
      <c r="M36" s="2065"/>
    </row>
    <row r="37" spans="1:18" ht="18" customHeight="1">
      <c r="A37" s="815"/>
      <c r="B37" s="793"/>
      <c r="C37" s="69"/>
      <c r="D37" s="816"/>
      <c r="E37" s="784" t="s">
        <v>674</v>
      </c>
      <c r="F37" s="785">
        <f ca="1">INDIRECT("'数据-取费表'!r"&amp;$G$1)</f>
        <v>0</v>
      </c>
      <c r="G37" s="2048"/>
      <c r="H37" s="2051"/>
      <c r="I37" s="3540"/>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06">
        <f ca="1">IF(M48="住宅",MAX(J52,L49-'数据-取费表'!B20),MIN(J52,L49-'数据-取费表'!B20))</f>
        <v>0</v>
      </c>
      <c r="K54" s="3545"/>
      <c r="L54" s="3546"/>
      <c r="O54" s="2366" t="s">
        <v>2388</v>
      </c>
      <c r="P54" s="2364" t="s">
        <v>2389</v>
      </c>
      <c r="Q54" s="2365">
        <f ca="1">J54</f>
        <v>0</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2943</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2019年7月8日（评估专业人员勘察现场之日）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541" t="s">
        <v>2463</v>
      </c>
      <c r="C6" s="783">
        <f ca="1">ROUND(F6*F8*F7*(1-F9)/10000,0)</f>
        <v>0</v>
      </c>
      <c r="D6" s="2462" t="s">
        <v>2462</v>
      </c>
      <c r="E6" s="784" t="s">
        <v>1738</v>
      </c>
      <c r="F6" s="785">
        <f ca="1">INDIRECT("'数据-取费表'!u"&amp;$G$1)</f>
        <v>0</v>
      </c>
      <c r="G6" s="1579"/>
      <c r="H6" s="2469" t="s">
        <v>2468</v>
      </c>
      <c r="I6" s="3541" t="s">
        <v>2463</v>
      </c>
      <c r="J6" s="783">
        <f ca="1">ROUND(M6*M8*M7*(1-M9)/10000,0)</f>
        <v>0</v>
      </c>
      <c r="K6" s="341" t="s">
        <v>1737</v>
      </c>
      <c r="L6" s="784" t="s">
        <v>1738</v>
      </c>
      <c r="M6" s="785">
        <f ca="1">INDIRECT("'数据-取费表'!z"&amp;$G$1)</f>
        <v>0</v>
      </c>
    </row>
    <row r="7" spans="1:33" ht="18" customHeight="1">
      <c r="A7" s="2465"/>
      <c r="B7" s="3542"/>
      <c r="C7" s="788"/>
      <c r="D7" s="789"/>
      <c r="E7" s="784" t="s">
        <v>1739</v>
      </c>
      <c r="F7" s="785">
        <f ca="1">IF(INDIRECT("'数据-取费表'!ah"&amp;$G$1)="",INDIRECT("'数据-取费表'!k"&amp;$G$1),INDIRECT("'数据-取费表'!ah"&amp;$G$1))</f>
        <v>0</v>
      </c>
      <c r="G7" s="1579"/>
      <c r="H7" s="2454"/>
      <c r="I7" s="3542"/>
      <c r="J7" s="788"/>
      <c r="K7" s="789"/>
      <c r="L7" s="784" t="s">
        <v>1739</v>
      </c>
      <c r="M7" s="785">
        <f ca="1">F7</f>
        <v>0</v>
      </c>
    </row>
    <row r="8" spans="1:33" ht="18" customHeight="1">
      <c r="A8" s="2458"/>
      <c r="B8" s="3543"/>
      <c r="C8" s="788"/>
      <c r="D8" s="789"/>
      <c r="E8" s="784" t="s">
        <v>1740</v>
      </c>
      <c r="F8" s="785">
        <f ca="1">INDIRECT("'数据-取费表'!ai"&amp;$G$1)</f>
        <v>0</v>
      </c>
      <c r="G8" s="1579"/>
      <c r="H8" s="2454"/>
      <c r="I8" s="3543"/>
      <c r="J8" s="788"/>
      <c r="K8" s="789"/>
      <c r="L8" s="784" t="s">
        <v>1740</v>
      </c>
      <c r="M8" s="785">
        <f ca="1">INDIRECT("'数据-取费表'!ai"&amp;$G$1)</f>
        <v>0</v>
      </c>
    </row>
    <row r="9" spans="1:33" ht="18" customHeight="1">
      <c r="A9" s="786"/>
      <c r="B9" s="3544"/>
      <c r="C9" s="788"/>
      <c r="D9" s="789"/>
      <c r="E9" s="784" t="s">
        <v>1741</v>
      </c>
      <c r="F9" s="794">
        <f ca="1">INDIRECT("'数据-取费表'!w"&amp;$G$1)</f>
        <v>0</v>
      </c>
      <c r="G9" s="1579"/>
      <c r="H9" s="2470"/>
      <c r="I9" s="3543"/>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2974</v>
      </c>
      <c r="E10" s="2463" t="s">
        <v>2464</v>
      </c>
      <c r="F10" s="2586"/>
      <c r="G10" s="1579"/>
      <c r="H10" s="2526" t="s">
        <v>2469</v>
      </c>
      <c r="I10" s="2531" t="s">
        <v>2459</v>
      </c>
      <c r="J10" s="783">
        <f ca="1">ROUND(IF(M10="押一",J6/12*M11,IF(M10="押二",J6/12*2*M11,IF(M10="押三",J6/12*3*M11,J11*M11))),0)</f>
        <v>0</v>
      </c>
      <c r="K10" s="2466" t="s">
        <v>2974</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2825</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2826</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2821</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2975</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2978</v>
      </c>
      <c r="J53" s="3106">
        <f ca="1">IF(M47="住宅",IF(D1="——",MAX(J51,L48),MAX(J51,L48-'数据-取费表'!B20)),IF(D1="——",MIN(J51,L48),MIN(J51,L48-'数据-取费表'!B20)))</f>
        <v>0</v>
      </c>
      <c r="K53" s="3547" t="s">
        <v>2966</v>
      </c>
      <c r="L53" s="3548"/>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2943</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9" t="s">
        <v>2471</v>
      </c>
      <c r="B1" s="3550"/>
      <c r="C1" s="3551"/>
      <c r="D1" s="3552">
        <f>SUM(I10,I15,I20,I21,I23)</f>
        <v>0</v>
      </c>
      <c r="E1" s="3552"/>
      <c r="F1" s="3552"/>
      <c r="G1" s="3552"/>
      <c r="H1" s="3552"/>
      <c r="I1" s="3553"/>
    </row>
    <row r="2" spans="1:9">
      <c r="A2" s="3554" t="s">
        <v>2472</v>
      </c>
      <c r="B2" s="3555" t="s">
        <v>2473</v>
      </c>
      <c r="C2" s="3555"/>
      <c r="D2" s="2472" t="s">
        <v>2474</v>
      </c>
      <c r="E2" s="2472" t="s">
        <v>2475</v>
      </c>
      <c r="F2" s="2472" t="s">
        <v>2476</v>
      </c>
      <c r="G2" s="2472" t="s">
        <v>2477</v>
      </c>
      <c r="H2" s="2472" t="s">
        <v>2478</v>
      </c>
      <c r="I2" s="2473" t="s">
        <v>2479</v>
      </c>
    </row>
    <row r="3" spans="1:9">
      <c r="A3" s="3554"/>
      <c r="B3" s="3555" t="s">
        <v>2480</v>
      </c>
      <c r="C3" s="3555"/>
      <c r="D3" s="2474"/>
      <c r="E3" s="2472"/>
      <c r="F3" s="2475"/>
      <c r="G3" s="2475"/>
      <c r="H3" s="2476"/>
      <c r="I3" s="2477">
        <f>ROUND(D3*E3*F3*G3*H3/10000,0)</f>
        <v>0</v>
      </c>
    </row>
    <row r="4" spans="1:9">
      <c r="A4" s="3554"/>
      <c r="B4" s="3555" t="s">
        <v>2481</v>
      </c>
      <c r="C4" s="3555"/>
      <c r="D4" s="2474"/>
      <c r="E4" s="2472"/>
      <c r="F4" s="2475"/>
      <c r="G4" s="2475"/>
      <c r="H4" s="2476"/>
      <c r="I4" s="2477">
        <f t="shared" ref="I4:I9" si="0">ROUND(D4*E4*F4*G4*H4/10000,0)</f>
        <v>0</v>
      </c>
    </row>
    <row r="5" spans="1:9">
      <c r="A5" s="3554"/>
      <c r="B5" s="3555" t="s">
        <v>2482</v>
      </c>
      <c r="C5" s="3555"/>
      <c r="D5" s="2474"/>
      <c r="E5" s="2472"/>
      <c r="F5" s="2475"/>
      <c r="G5" s="2475"/>
      <c r="H5" s="2476"/>
      <c r="I5" s="2477">
        <f t="shared" si="0"/>
        <v>0</v>
      </c>
    </row>
    <row r="6" spans="1:9">
      <c r="A6" s="3554"/>
      <c r="B6" s="3555" t="s">
        <v>2483</v>
      </c>
      <c r="C6" s="3555"/>
      <c r="D6" s="2474"/>
      <c r="E6" s="2472"/>
      <c r="F6" s="2475"/>
      <c r="G6" s="2475"/>
      <c r="H6" s="2476"/>
      <c r="I6" s="2477">
        <f t="shared" si="0"/>
        <v>0</v>
      </c>
    </row>
    <row r="7" spans="1:9">
      <c r="A7" s="3554"/>
      <c r="B7" s="3555" t="s">
        <v>2484</v>
      </c>
      <c r="C7" s="3555"/>
      <c r="D7" s="2474"/>
      <c r="E7" s="2472"/>
      <c r="F7" s="2475"/>
      <c r="G7" s="2475"/>
      <c r="H7" s="2476"/>
      <c r="I7" s="2477">
        <f t="shared" si="0"/>
        <v>0</v>
      </c>
    </row>
    <row r="8" spans="1:9">
      <c r="A8" s="3554"/>
      <c r="B8" s="3555" t="s">
        <v>2485</v>
      </c>
      <c r="C8" s="3555"/>
      <c r="D8" s="2474"/>
      <c r="E8" s="2472"/>
      <c r="F8" s="2475"/>
      <c r="G8" s="2475"/>
      <c r="H8" s="2476"/>
      <c r="I8" s="2477">
        <f t="shared" si="0"/>
        <v>0</v>
      </c>
    </row>
    <row r="9" spans="1:9">
      <c r="A9" s="3554"/>
      <c r="B9" s="3555" t="s">
        <v>2486</v>
      </c>
      <c r="C9" s="3555"/>
      <c r="D9" s="2474"/>
      <c r="E9" s="2472"/>
      <c r="F9" s="2475"/>
      <c r="G9" s="2475"/>
      <c r="H9" s="2476"/>
      <c r="I9" s="2477">
        <f t="shared" si="0"/>
        <v>0</v>
      </c>
    </row>
    <row r="10" spans="1:9">
      <c r="A10" s="3554"/>
      <c r="B10" s="3556" t="s">
        <v>2487</v>
      </c>
      <c r="C10" s="3556"/>
      <c r="D10" s="2478">
        <v>527</v>
      </c>
      <c r="E10" s="2478" t="e">
        <f>ROUND(D1*10000/D10/H9,0)</f>
        <v>#DIV/0!</v>
      </c>
      <c r="F10" s="2479"/>
      <c r="G10" s="2479"/>
      <c r="H10" s="2480"/>
      <c r="I10" s="2481">
        <f>SUM(I3:I9)</f>
        <v>0</v>
      </c>
    </row>
    <row r="11" spans="1:9" ht="14.25">
      <c r="A11" s="3554" t="s">
        <v>2488</v>
      </c>
      <c r="B11" s="3555" t="s">
        <v>2489</v>
      </c>
      <c r="C11" s="3555"/>
      <c r="D11" s="2474" t="s">
        <v>2490</v>
      </c>
      <c r="E11" s="2474" t="s">
        <v>2491</v>
      </c>
      <c r="F11" s="2475" t="s">
        <v>2492</v>
      </c>
      <c r="G11" s="2475" t="s">
        <v>2493</v>
      </c>
      <c r="H11" s="2482" t="s">
        <v>2494</v>
      </c>
      <c r="I11" s="2473" t="s">
        <v>2495</v>
      </c>
    </row>
    <row r="12" spans="1:9">
      <c r="A12" s="3554"/>
      <c r="B12" s="3555" t="s">
        <v>2496</v>
      </c>
      <c r="C12" s="3555"/>
      <c r="D12" s="2474"/>
      <c r="E12" s="2474"/>
      <c r="F12" s="2475"/>
      <c r="G12" s="2476"/>
      <c r="H12" s="2483"/>
      <c r="I12" s="2473">
        <f>ROUND(D12*E12*F12*G12/10000,0)</f>
        <v>0</v>
      </c>
    </row>
    <row r="13" spans="1:9">
      <c r="A13" s="3554"/>
      <c r="B13" s="3555" t="s">
        <v>2497</v>
      </c>
      <c r="C13" s="3555"/>
      <c r="D13" s="2474"/>
      <c r="E13" s="2474"/>
      <c r="F13" s="2475"/>
      <c r="G13" s="2476"/>
      <c r="H13" s="2483"/>
      <c r="I13" s="2473">
        <f>ROUND(D13*E13*F13*G13/10000,0)</f>
        <v>0</v>
      </c>
    </row>
    <row r="14" spans="1:9">
      <c r="A14" s="3554"/>
      <c r="B14" s="3555" t="s">
        <v>2498</v>
      </c>
      <c r="C14" s="3555"/>
      <c r="D14" s="2474"/>
      <c r="E14" s="2474"/>
      <c r="F14" s="2475"/>
      <c r="G14" s="2476"/>
      <c r="H14" s="2483"/>
      <c r="I14" s="2473">
        <f>ROUND(D14*E14*F14*G14/10000,0)</f>
        <v>0</v>
      </c>
    </row>
    <row r="15" spans="1:9">
      <c r="A15" s="3554"/>
      <c r="B15" s="3556" t="s">
        <v>2487</v>
      </c>
      <c r="C15" s="3556"/>
      <c r="D15" s="2478"/>
      <c r="E15" s="2478">
        <f>SUM(E12:E14)</f>
        <v>0</v>
      </c>
      <c r="F15" s="2479"/>
      <c r="G15" s="2476"/>
      <c r="H15" s="2483"/>
      <c r="I15" s="2484">
        <f>SUM(I12:I14)</f>
        <v>0</v>
      </c>
    </row>
    <row r="16" spans="1:9" ht="24">
      <c r="A16" s="3554" t="s">
        <v>2499</v>
      </c>
      <c r="B16" s="3555" t="s">
        <v>2500</v>
      </c>
      <c r="C16" s="3555"/>
      <c r="D16" s="2474" t="s">
        <v>2501</v>
      </c>
      <c r="E16" s="2485" t="s">
        <v>2502</v>
      </c>
      <c r="F16" s="2475" t="s">
        <v>2503</v>
      </c>
      <c r="G16" s="2476" t="s">
        <v>2493</v>
      </c>
      <c r="H16" s="2482" t="s">
        <v>2494</v>
      </c>
      <c r="I16" s="2473" t="s">
        <v>2495</v>
      </c>
    </row>
    <row r="17" spans="1:9" ht="14.25">
      <c r="A17" s="3554"/>
      <c r="B17" s="3555" t="s">
        <v>2504</v>
      </c>
      <c r="C17" s="3555"/>
      <c r="D17" s="2474"/>
      <c r="E17" s="2474"/>
      <c r="F17" s="2475"/>
      <c r="G17" s="2476"/>
      <c r="H17" s="2486"/>
      <c r="I17" s="2487">
        <f>ROUND(D17*E17*F17*G17/10000,0)</f>
        <v>0</v>
      </c>
    </row>
    <row r="18" spans="1:9" ht="14.25">
      <c r="A18" s="3554"/>
      <c r="B18" s="3555" t="s">
        <v>2505</v>
      </c>
      <c r="C18" s="3555"/>
      <c r="D18" s="2474"/>
      <c r="E18" s="2474"/>
      <c r="F18" s="2475"/>
      <c r="G18" s="2476"/>
      <c r="H18" s="2486"/>
      <c r="I18" s="2487">
        <f>ROUND(D18*E18*F18*G18/10000,0)</f>
        <v>0</v>
      </c>
    </row>
    <row r="19" spans="1:9" ht="14.25">
      <c r="A19" s="3554"/>
      <c r="B19" s="3555" t="s">
        <v>2506</v>
      </c>
      <c r="C19" s="3555"/>
      <c r="D19" s="2474"/>
      <c r="E19" s="2474"/>
      <c r="F19" s="2475"/>
      <c r="G19" s="2476"/>
      <c r="H19" s="2486"/>
      <c r="I19" s="2487">
        <f>ROUND(D19*E19*F19*G19/10000,0)</f>
        <v>0</v>
      </c>
    </row>
    <row r="20" spans="1:9">
      <c r="A20" s="3554"/>
      <c r="B20" s="3556" t="s">
        <v>2487</v>
      </c>
      <c r="C20" s="3556"/>
      <c r="D20" s="2478">
        <f>SUM(D17:D19)</f>
        <v>0</v>
      </c>
      <c r="E20" s="2478"/>
      <c r="F20" s="2479"/>
      <c r="G20" s="2476"/>
      <c r="H20" s="2483"/>
      <c r="I20" s="2484">
        <f>SUM(I17:I19)</f>
        <v>0</v>
      </c>
    </row>
    <row r="21" spans="1:9">
      <c r="A21" s="3554" t="s">
        <v>2507</v>
      </c>
      <c r="B21" s="3558"/>
      <c r="C21" s="3558"/>
      <c r="D21" s="3558"/>
      <c r="E21" s="3558"/>
      <c r="F21" s="3558"/>
      <c r="G21" s="3558"/>
      <c r="H21" s="2488">
        <v>0.1</v>
      </c>
      <c r="I21" s="2481">
        <f>ROUND(I10*H21,0)</f>
        <v>0</v>
      </c>
    </row>
    <row r="22" spans="1:9" ht="14.25">
      <c r="A22" s="3559" t="s">
        <v>2508</v>
      </c>
      <c r="B22" s="3560"/>
      <c r="C22" s="3561"/>
      <c r="D22" s="2489" t="s">
        <v>2509</v>
      </c>
      <c r="E22" s="2489" t="s">
        <v>2510</v>
      </c>
      <c r="F22" s="2490" t="s">
        <v>2511</v>
      </c>
      <c r="G22" s="2490" t="s">
        <v>2512</v>
      </c>
      <c r="H22" s="2482" t="s">
        <v>2513</v>
      </c>
      <c r="I22" s="2473" t="s">
        <v>2514</v>
      </c>
    </row>
    <row r="23" spans="1:9" ht="14.25" thickBot="1">
      <c r="A23" s="3562"/>
      <c r="B23" s="3563"/>
      <c r="C23" s="3564"/>
      <c r="D23" s="2491"/>
      <c r="E23" s="2491"/>
      <c r="F23" s="2491"/>
      <c r="G23" s="2492"/>
      <c r="H23" s="2493"/>
      <c r="I23" s="2494">
        <f>ROUND(E23*D23*F23*(1-G23)/10000,0)</f>
        <v>0</v>
      </c>
    </row>
    <row r="26" spans="1:9">
      <c r="A26" s="2495" t="s">
        <v>2515</v>
      </c>
      <c r="B26" s="2495"/>
      <c r="C26" s="2495"/>
      <c r="D26" s="2495"/>
      <c r="E26" s="3565">
        <f>C27-C30-C31-C32</f>
        <v>0</v>
      </c>
      <c r="F26" s="3565"/>
      <c r="G26" s="3565"/>
      <c r="H26" s="2996" t="s">
        <v>2842</v>
      </c>
    </row>
    <row r="27" spans="1:9">
      <c r="A27" s="2496">
        <v>1</v>
      </c>
      <c r="B27" s="2497" t="s">
        <v>2516</v>
      </c>
      <c r="C27" s="2497"/>
      <c r="D27" s="2497"/>
      <c r="E27" s="3566"/>
      <c r="F27" s="3566"/>
      <c r="G27" s="3566"/>
    </row>
    <row r="28" spans="1:9">
      <c r="A28" s="2498" t="s">
        <v>2517</v>
      </c>
      <c r="B28" s="2497" t="s">
        <v>2518</v>
      </c>
      <c r="C28" s="2497"/>
      <c r="D28" s="2497"/>
      <c r="E28" s="3566"/>
      <c r="F28" s="3566"/>
      <c r="G28" s="3566"/>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57"/>
      <c r="F32" s="3557"/>
      <c r="G32" s="3557"/>
    </row>
    <row r="33" spans="1:7" hidden="1">
      <c r="A33" s="3567" t="s">
        <v>2526</v>
      </c>
      <c r="B33" s="3568"/>
      <c r="C33" s="3568"/>
      <c r="D33" s="3569"/>
      <c r="E33" s="3565"/>
      <c r="F33" s="3565"/>
      <c r="G33" s="3565"/>
    </row>
    <row r="34" spans="1:7" hidden="1">
      <c r="A34" s="2500">
        <v>1</v>
      </c>
      <c r="B34" s="2497" t="s">
        <v>2527</v>
      </c>
      <c r="C34" s="2497"/>
      <c r="D34" s="2497"/>
      <c r="E34" s="3566"/>
      <c r="F34" s="3566"/>
      <c r="G34" s="3566"/>
    </row>
    <row r="35" spans="1:7" hidden="1">
      <c r="A35" s="2500">
        <v>2</v>
      </c>
      <c r="B35" s="2497" t="s">
        <v>2528</v>
      </c>
      <c r="C35" s="2497"/>
      <c r="D35" s="2497"/>
      <c r="E35" s="3566"/>
      <c r="F35" s="3566"/>
      <c r="G35" s="3566"/>
    </row>
    <row r="36" spans="1:7" hidden="1">
      <c r="A36" s="2500">
        <v>3</v>
      </c>
      <c r="B36" s="2497" t="s">
        <v>2529</v>
      </c>
      <c r="C36" s="2497"/>
      <c r="D36" s="2497"/>
      <c r="E36" s="3566"/>
      <c r="F36" s="3566"/>
      <c r="G36" s="3566"/>
    </row>
    <row r="37" spans="1:7" hidden="1">
      <c r="A37" s="2500">
        <v>4</v>
      </c>
      <c r="B37" s="2497" t="s">
        <v>2530</v>
      </c>
      <c r="C37" s="2497"/>
      <c r="D37" s="2497"/>
      <c r="E37" s="3566"/>
      <c r="F37" s="3566"/>
      <c r="G37" s="3566"/>
    </row>
    <row r="38" spans="1:7" hidden="1">
      <c r="A38" s="3567" t="s">
        <v>2531</v>
      </c>
      <c r="B38" s="3568"/>
      <c r="C38" s="3568"/>
      <c r="D38" s="3569"/>
      <c r="E38" s="3565"/>
      <c r="F38" s="3565"/>
      <c r="G38" s="35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114572</v>
      </c>
      <c r="C2" s="2094"/>
      <c r="D2" s="2094"/>
      <c r="E2" s="2094"/>
      <c r="F2" s="2094"/>
      <c r="G2" s="2094"/>
    </row>
    <row r="3" spans="1:25" s="2045" customFormat="1" ht="18" customHeight="1">
      <c r="A3" s="1376" t="s">
        <v>1685</v>
      </c>
      <c r="B3" s="425">
        <f ca="1">ROUND(B2*10000/'数据-汇总表'!E3,0)</f>
        <v>4666</v>
      </c>
      <c r="C3" s="2094"/>
      <c r="D3" s="2094"/>
      <c r="E3" s="2094"/>
      <c r="F3" s="2094"/>
      <c r="G3" s="2094"/>
    </row>
    <row r="4" spans="1:25" s="2045" customFormat="1" ht="18" customHeight="1">
      <c r="A4" s="426" t="s">
        <v>468</v>
      </c>
      <c r="B4" s="427">
        <f ca="1">ROUND(B2*10000/'数据-汇总表'!D3,0)</f>
        <v>4666</v>
      </c>
      <c r="C4" s="2047"/>
      <c r="D4" s="2094"/>
      <c r="E4" s="2094"/>
      <c r="F4" s="2094"/>
      <c r="G4" s="2094"/>
    </row>
    <row r="5" spans="1:25" s="2045" customFormat="1" ht="18" customHeight="1" thickBot="1">
      <c r="A5" s="429"/>
      <c r="B5" s="430">
        <f ca="1">ROUND(B2/('数据-汇总表'!D3/666.67),0)</f>
        <v>311</v>
      </c>
      <c r="C5" s="431" t="s">
        <v>469</v>
      </c>
      <c r="D5" s="2094"/>
      <c r="E5" s="2094"/>
      <c r="F5" s="2094"/>
      <c r="G5" s="2094"/>
      <c r="I5" s="3242" t="s">
        <v>3127</v>
      </c>
      <c r="J5" s="3243" t="s">
        <v>3127</v>
      </c>
      <c r="K5" s="3242" t="s">
        <v>3127</v>
      </c>
    </row>
    <row r="6" spans="1:25" s="2169" customFormat="1" ht="13.5" customHeight="1">
      <c r="A6" s="743"/>
      <c r="B6" s="744" t="s">
        <v>604</v>
      </c>
      <c r="C6" s="745" t="s">
        <v>605</v>
      </c>
      <c r="D6" s="745" t="s">
        <v>606</v>
      </c>
      <c r="E6" s="746" t="s">
        <v>607</v>
      </c>
      <c r="F6" s="746" t="s">
        <v>608</v>
      </c>
      <c r="G6" s="747"/>
      <c r="I6" s="3241">
        <v>2018.1</v>
      </c>
      <c r="J6" s="3241">
        <v>2018.1</v>
      </c>
      <c r="K6" s="2169">
        <v>2018.12</v>
      </c>
    </row>
    <row r="7" spans="1:25" s="2169" customFormat="1" ht="13.5" customHeight="1">
      <c r="A7" s="2434">
        <v>1</v>
      </c>
      <c r="B7" s="748" t="s">
        <v>609</v>
      </c>
      <c r="C7" s="749">
        <f>C8+C9</f>
        <v>110345.36142</v>
      </c>
      <c r="D7" s="749"/>
      <c r="E7" s="750"/>
      <c r="F7" s="750"/>
      <c r="G7" s="2444" t="s">
        <v>3128</v>
      </c>
      <c r="I7" s="2169">
        <f>土地案例!O20</f>
        <v>2861.4500694738113</v>
      </c>
      <c r="J7" s="2169">
        <f>土地案例!O21</f>
        <v>3143.7479637751321</v>
      </c>
      <c r="K7" s="2169">
        <f>土地案例!O22</f>
        <v>3852.7470937526136</v>
      </c>
    </row>
    <row r="8" spans="1:25" s="2169" customFormat="1" ht="13.5" customHeight="1">
      <c r="A8" s="2434" t="s">
        <v>2440</v>
      </c>
      <c r="B8" s="2437" t="s">
        <v>2442</v>
      </c>
      <c r="C8" s="2438">
        <f>土地比较法!I29*'数据-基础表'!A3/10000</f>
        <v>110345.36142</v>
      </c>
      <c r="D8" s="749"/>
      <c r="E8" s="750"/>
      <c r="F8" s="750"/>
      <c r="G8" s="751"/>
      <c r="J8" s="2169">
        <f>(I7+J7+K7)/3</f>
        <v>3285.9817090005195</v>
      </c>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245539.3</v>
      </c>
      <c r="E10" s="749">
        <f>'数据-取费表'!B31</f>
        <v>0</v>
      </c>
      <c r="F10" s="761"/>
      <c r="G10" s="759" t="s">
        <v>614</v>
      </c>
      <c r="I10" s="3243" t="s">
        <v>3216</v>
      </c>
      <c r="J10" s="3243" t="s">
        <v>3129</v>
      </c>
      <c r="K10" s="3243" t="s">
        <v>3129</v>
      </c>
    </row>
    <row r="11" spans="1:25" s="2169" customFormat="1" ht="13.5" customHeight="1">
      <c r="A11" s="2434" t="s">
        <v>2440</v>
      </c>
      <c r="B11" s="752" t="s">
        <v>610</v>
      </c>
      <c r="C11" s="753">
        <f>'数据-取费表'!B29</f>
        <v>0</v>
      </c>
      <c r="D11" s="754"/>
      <c r="E11" s="753"/>
      <c r="F11" s="755"/>
      <c r="G11" s="2443" t="s">
        <v>2451</v>
      </c>
      <c r="I11" s="3241">
        <v>2018.12</v>
      </c>
      <c r="J11" s="3241">
        <v>2018.8</v>
      </c>
      <c r="K11" s="2169">
        <v>2018.12</v>
      </c>
    </row>
    <row r="12" spans="1:25" s="2169" customFormat="1" ht="13.5" customHeight="1">
      <c r="A12" s="2441" t="s">
        <v>2448</v>
      </c>
      <c r="B12" s="756" t="s">
        <v>611</v>
      </c>
      <c r="C12" s="757">
        <f>ROUND(D12*E12/10000,0)</f>
        <v>0</v>
      </c>
      <c r="D12" s="758">
        <f>'数据-汇总表'!E5</f>
        <v>245539.3</v>
      </c>
      <c r="E12" s="757">
        <f>'数据-取费表'!B27</f>
        <v>0</v>
      </c>
      <c r="F12" s="755"/>
      <c r="G12" s="759"/>
      <c r="I12" s="2169">
        <f>土地案例!L26</f>
        <v>4086.35</v>
      </c>
      <c r="J12" s="2169">
        <f>土地案例!O16</f>
        <v>4286.0101265822786</v>
      </c>
      <c r="K12" s="2169">
        <f>土地案例!O18</f>
        <v>4110.0685521885516</v>
      </c>
      <c r="M12" s="2169">
        <f>(I12+J12+K12)/3</f>
        <v>4160.8095595902769</v>
      </c>
    </row>
    <row r="13" spans="1:25" s="2169" customFormat="1" ht="13.5" customHeight="1">
      <c r="A13" s="2441" t="s">
        <v>2447</v>
      </c>
      <c r="B13" s="756" t="s">
        <v>612</v>
      </c>
      <c r="C13" s="757">
        <f>ROUND(D13*E13/10000,0)</f>
        <v>0</v>
      </c>
      <c r="D13" s="758">
        <f>'数据-汇总表'!E6</f>
        <v>0</v>
      </c>
      <c r="E13" s="757">
        <f>'数据-取费表'!B28</f>
        <v>0</v>
      </c>
      <c r="F13" s="755"/>
      <c r="G13" s="759"/>
      <c r="H13" s="3243" t="s">
        <v>3202</v>
      </c>
      <c r="I13" s="3243" t="s">
        <v>3217</v>
      </c>
      <c r="J13" s="3243" t="s">
        <v>3202</v>
      </c>
      <c r="K13" s="3243" t="s">
        <v>3203</v>
      </c>
    </row>
    <row r="14" spans="1:25" s="2169" customFormat="1" ht="13.5" customHeight="1">
      <c r="A14" s="2434" t="s">
        <v>2441</v>
      </c>
      <c r="B14" s="2440" t="s">
        <v>2444</v>
      </c>
      <c r="C14" s="2438"/>
      <c r="D14" s="758"/>
      <c r="E14" s="757"/>
      <c r="F14" s="2439"/>
      <c r="G14" s="2442" t="s">
        <v>2449</v>
      </c>
      <c r="I14" s="2169">
        <f>I12/1.01</f>
        <v>4045.8910891089108</v>
      </c>
      <c r="J14" s="2169">
        <f>J12</f>
        <v>4286.0101265822786</v>
      </c>
      <c r="K14" s="2169">
        <f>K12/1.01</f>
        <v>4069.3748041470808</v>
      </c>
    </row>
    <row r="15" spans="1:25" s="2169" customFormat="1" ht="13.5" customHeight="1">
      <c r="A15" s="2434" t="s">
        <v>2446</v>
      </c>
      <c r="B15" s="2440" t="s">
        <v>2445</v>
      </c>
      <c r="C15" s="2438">
        <f>'数据-基础表'!A3*成本逼近法!E10/10000</f>
        <v>0</v>
      </c>
      <c r="D15" s="758"/>
      <c r="E15" s="757"/>
      <c r="F15" s="2439"/>
      <c r="G15" s="2442" t="s">
        <v>2450</v>
      </c>
    </row>
    <row r="16" spans="1:25" s="2170" customFormat="1" ht="48">
      <c r="A16" s="2434">
        <v>3</v>
      </c>
      <c r="B16" s="748" t="s">
        <v>615</v>
      </c>
      <c r="C16" s="2438"/>
      <c r="D16" s="760"/>
      <c r="E16" s="749"/>
      <c r="F16" s="761"/>
      <c r="G16" s="759" t="s">
        <v>2452</v>
      </c>
      <c r="H16" s="2169"/>
      <c r="I16" s="2169"/>
      <c r="J16" s="2169">
        <f>(I14+J14+K14)/3</f>
        <v>4133.7586732794234</v>
      </c>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4800</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13241</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128386.36142</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19258</v>
      </c>
      <c r="D20" s="760"/>
      <c r="E20" s="749"/>
      <c r="F20" s="1345">
        <v>0.15</v>
      </c>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147644.36142</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114572</v>
      </c>
      <c r="D22" s="760"/>
      <c r="E22" s="749"/>
      <c r="F22" s="766">
        <f>'数据-取费表'!AP16</f>
        <v>0.77600000000000002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114572</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60" t="s">
        <v>522</v>
      </c>
      <c r="D4" s="3461"/>
      <c r="E4" s="3494" t="s">
        <v>523</v>
      </c>
      <c r="F4" s="3495"/>
      <c r="G4" s="3460" t="s">
        <v>524</v>
      </c>
      <c r="H4" s="3461"/>
      <c r="I4" s="3460" t="s">
        <v>525</v>
      </c>
      <c r="J4" s="3461"/>
      <c r="K4" s="853" t="s">
        <v>526</v>
      </c>
      <c r="L4" s="2119"/>
      <c r="M4" s="2120"/>
      <c r="N4" s="2120"/>
      <c r="O4" s="2120"/>
      <c r="P4" s="3462" t="s">
        <v>527</v>
      </c>
      <c r="Q4" s="3463"/>
      <c r="R4" s="3468" t="s">
        <v>523</v>
      </c>
      <c r="S4" s="3469"/>
      <c r="T4" s="3468" t="s">
        <v>524</v>
      </c>
      <c r="U4" s="3469"/>
      <c r="V4" s="3455" t="s">
        <v>525</v>
      </c>
      <c r="W4" s="3455"/>
      <c r="X4" s="1554"/>
      <c r="Y4" s="3468" t="s">
        <v>527</v>
      </c>
      <c r="Z4" s="3469"/>
      <c r="AA4" s="3457" t="s">
        <v>523</v>
      </c>
      <c r="AB4" s="3457" t="s">
        <v>524</v>
      </c>
      <c r="AC4" s="3457" t="s">
        <v>525</v>
      </c>
    </row>
    <row r="5" spans="1:29" ht="15">
      <c r="A5" s="515"/>
      <c r="B5" s="516"/>
      <c r="C5" s="3476" t="s">
        <v>2930</v>
      </c>
      <c r="D5" s="3477"/>
      <c r="E5" s="3496" t="s">
        <v>2931</v>
      </c>
      <c r="F5" s="3497"/>
      <c r="G5" s="3476" t="s">
        <v>2932</v>
      </c>
      <c r="H5" s="3477"/>
      <c r="I5" s="3476" t="s">
        <v>2933</v>
      </c>
      <c r="J5" s="3477"/>
      <c r="K5" s="854"/>
      <c r="L5" s="2119"/>
      <c r="M5" s="2120"/>
      <c r="N5" s="2120"/>
      <c r="O5" s="2120"/>
      <c r="P5" s="3464"/>
      <c r="Q5" s="3465"/>
      <c r="R5" s="3470"/>
      <c r="S5" s="3471"/>
      <c r="T5" s="3470"/>
      <c r="U5" s="3471"/>
      <c r="V5" s="3455"/>
      <c r="W5" s="3455"/>
      <c r="X5" s="1554"/>
      <c r="Y5" s="3470"/>
      <c r="Z5" s="3471"/>
      <c r="AA5" s="3458"/>
      <c r="AB5" s="3458"/>
      <c r="AC5" s="3458"/>
    </row>
    <row r="6" spans="1:29" ht="15.75" thickBot="1">
      <c r="A6" s="517"/>
      <c r="B6" s="518"/>
      <c r="C6" s="3474" t="s">
        <v>2934</v>
      </c>
      <c r="D6" s="3475"/>
      <c r="E6" s="3492" t="s">
        <v>2934</v>
      </c>
      <c r="F6" s="3493"/>
      <c r="G6" s="3474" t="s">
        <v>2934</v>
      </c>
      <c r="H6" s="3475"/>
      <c r="I6" s="3474" t="s">
        <v>2934</v>
      </c>
      <c r="J6" s="3475"/>
      <c r="K6" s="854" t="s">
        <v>528</v>
      </c>
      <c r="L6" s="2119"/>
      <c r="M6" s="2120"/>
      <c r="N6" s="2120"/>
      <c r="O6" s="2120"/>
      <c r="P6" s="3466"/>
      <c r="Q6" s="3467"/>
      <c r="R6" s="3470"/>
      <c r="S6" s="3471"/>
      <c r="T6" s="3472"/>
      <c r="U6" s="3473"/>
      <c r="V6" s="3455"/>
      <c r="W6" s="3455"/>
      <c r="X6" s="1554"/>
      <c r="Y6" s="3472"/>
      <c r="Z6" s="3473"/>
      <c r="AA6" s="3459"/>
      <c r="AB6" s="3459"/>
      <c r="AC6" s="3459"/>
    </row>
    <row r="7" spans="1:29" s="1216" customFormat="1" ht="15.75" thickBot="1">
      <c r="A7" s="2868"/>
      <c r="B7" s="2875" t="s">
        <v>529</v>
      </c>
      <c r="C7" s="519">
        <f>'数据-取费表'!B2</f>
        <v>43654</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85" t="s">
        <v>530</v>
      </c>
      <c r="Q7" s="3487"/>
      <c r="R7" s="1555" t="s">
        <v>13</v>
      </c>
      <c r="S7" s="1556">
        <f t="shared" ref="S7:S15" si="0">F7</f>
        <v>0</v>
      </c>
      <c r="T7" s="1555" t="s">
        <v>13</v>
      </c>
      <c r="U7" s="1556">
        <f t="shared" ref="U7:U15" si="1">H7</f>
        <v>0</v>
      </c>
      <c r="V7" s="1555" t="s">
        <v>13</v>
      </c>
      <c r="W7" s="1556">
        <f t="shared" ref="W7:W15" si="2">J7</f>
        <v>0</v>
      </c>
      <c r="X7" s="1557"/>
      <c r="Y7" s="3485" t="s">
        <v>530</v>
      </c>
      <c r="Z7" s="348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85" t="s">
        <v>533</v>
      </c>
      <c r="Q8" s="3486"/>
      <c r="R8" s="1555" t="s">
        <v>13</v>
      </c>
      <c r="S8" s="1556">
        <f t="shared" si="0"/>
        <v>0</v>
      </c>
      <c r="T8" s="1555" t="s">
        <v>13</v>
      </c>
      <c r="U8" s="1556">
        <f t="shared" si="1"/>
        <v>0</v>
      </c>
      <c r="V8" s="1555" t="s">
        <v>13</v>
      </c>
      <c r="W8" s="1556">
        <f t="shared" si="2"/>
        <v>0</v>
      </c>
      <c r="X8" s="1557"/>
      <c r="Y8" s="3485" t="s">
        <v>533</v>
      </c>
      <c r="Z8" s="348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54" t="s">
        <v>535</v>
      </c>
      <c r="Q9" s="1147" t="str">
        <f t="shared" ref="Q9:Q15" si="6">B9</f>
        <v>用途</v>
      </c>
      <c r="R9" s="1555" t="s">
        <v>8</v>
      </c>
      <c r="S9" s="1556">
        <f t="shared" si="0"/>
        <v>100</v>
      </c>
      <c r="T9" s="1555" t="s">
        <v>8</v>
      </c>
      <c r="U9" s="1556">
        <f t="shared" si="1"/>
        <v>100</v>
      </c>
      <c r="V9" s="1555" t="s">
        <v>8</v>
      </c>
      <c r="W9" s="1556">
        <f t="shared" si="2"/>
        <v>100</v>
      </c>
      <c r="X9" s="1557"/>
      <c r="Y9" s="340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54"/>
      <c r="Q10" s="1147" t="str">
        <f t="shared" si="6"/>
        <v>土地使用年限（年）</v>
      </c>
      <c r="R10" s="1555" t="s">
        <v>8</v>
      </c>
      <c r="S10" s="1556">
        <f t="shared" si="0"/>
        <v>100</v>
      </c>
      <c r="T10" s="1555" t="s">
        <v>8</v>
      </c>
      <c r="U10" s="1556">
        <f t="shared" si="1"/>
        <v>100</v>
      </c>
      <c r="V10" s="1555" t="s">
        <v>8</v>
      </c>
      <c r="W10" s="1556">
        <f t="shared" si="2"/>
        <v>100</v>
      </c>
      <c r="X10" s="1557"/>
      <c r="Y10" s="3400"/>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54"/>
      <c r="Q11" s="1147" t="str">
        <f t="shared" si="6"/>
        <v>容积率</v>
      </c>
      <c r="R11" s="1555" t="s">
        <v>11</v>
      </c>
      <c r="S11" s="1556" t="e">
        <f t="shared" si="0"/>
        <v>#N/A</v>
      </c>
      <c r="T11" s="1555" t="s">
        <v>11</v>
      </c>
      <c r="U11" s="1556" t="e">
        <f t="shared" si="1"/>
        <v>#N/A</v>
      </c>
      <c r="V11" s="1555" t="s">
        <v>11</v>
      </c>
      <c r="W11" s="1556" t="e">
        <f t="shared" si="2"/>
        <v>#N/A</v>
      </c>
      <c r="X11" s="1557"/>
      <c r="Y11" s="340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54"/>
      <c r="Q12" s="1147">
        <f t="shared" si="6"/>
        <v>111</v>
      </c>
      <c r="R12" s="1555" t="s">
        <v>11</v>
      </c>
      <c r="S12" s="1556">
        <f t="shared" si="0"/>
        <v>100</v>
      </c>
      <c r="T12" s="1555" t="s">
        <v>11</v>
      </c>
      <c r="U12" s="1556">
        <f t="shared" si="1"/>
        <v>100</v>
      </c>
      <c r="V12" s="1555" t="s">
        <v>11</v>
      </c>
      <c r="W12" s="1556">
        <f t="shared" si="2"/>
        <v>100</v>
      </c>
      <c r="X12" s="1557"/>
      <c r="Y12" s="340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54"/>
      <c r="Q13" s="1147">
        <f t="shared" si="6"/>
        <v>111</v>
      </c>
      <c r="R13" s="1555" t="s">
        <v>11</v>
      </c>
      <c r="S13" s="1556">
        <f t="shared" si="0"/>
        <v>100</v>
      </c>
      <c r="T13" s="1555" t="s">
        <v>11</v>
      </c>
      <c r="U13" s="1556">
        <f t="shared" si="1"/>
        <v>100</v>
      </c>
      <c r="V13" s="1555" t="s">
        <v>11</v>
      </c>
      <c r="W13" s="1556">
        <f t="shared" si="2"/>
        <v>100</v>
      </c>
      <c r="X13" s="1557"/>
      <c r="Y13" s="340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54"/>
      <c r="Q14" s="1147">
        <f t="shared" si="6"/>
        <v>111</v>
      </c>
      <c r="R14" s="1555" t="s">
        <v>11</v>
      </c>
      <c r="S14" s="1556">
        <f t="shared" si="0"/>
        <v>100</v>
      </c>
      <c r="T14" s="1555" t="s">
        <v>11</v>
      </c>
      <c r="U14" s="1556">
        <f t="shared" si="1"/>
        <v>100</v>
      </c>
      <c r="V14" s="1555" t="s">
        <v>11</v>
      </c>
      <c r="W14" s="1556">
        <f t="shared" si="2"/>
        <v>100</v>
      </c>
      <c r="X14" s="1557"/>
      <c r="Y14" s="3400"/>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88" t="s">
        <v>540</v>
      </c>
      <c r="Q15" s="1559" t="str">
        <f t="shared" si="6"/>
        <v>居住社区成熟度</v>
      </c>
      <c r="R15" s="1560" t="s">
        <v>11</v>
      </c>
      <c r="S15" s="1561">
        <f t="shared" si="0"/>
        <v>100</v>
      </c>
      <c r="T15" s="1560" t="s">
        <v>11</v>
      </c>
      <c r="U15" s="1561">
        <f t="shared" si="1"/>
        <v>100</v>
      </c>
      <c r="V15" s="1560" t="s">
        <v>11</v>
      </c>
      <c r="W15" s="1561">
        <f t="shared" si="2"/>
        <v>100</v>
      </c>
      <c r="X15" s="1554"/>
      <c r="Y15" s="348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89"/>
      <c r="Q16" s="1559"/>
      <c r="R16" s="1560"/>
      <c r="S16" s="1561"/>
      <c r="T16" s="1560"/>
      <c r="U16" s="1561"/>
      <c r="V16" s="1560"/>
      <c r="W16" s="1561"/>
      <c r="X16" s="1554"/>
      <c r="Y16" s="348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89"/>
      <c r="Q17" s="1559" t="str">
        <f>B17</f>
        <v>交通便捷度</v>
      </c>
      <c r="R17" s="1560" t="s">
        <v>11</v>
      </c>
      <c r="S17" s="1561">
        <f>F17</f>
        <v>100</v>
      </c>
      <c r="T17" s="1560" t="s">
        <v>11</v>
      </c>
      <c r="U17" s="1561">
        <f>H17</f>
        <v>100</v>
      </c>
      <c r="V17" s="1560" t="s">
        <v>11</v>
      </c>
      <c r="W17" s="1561">
        <f>J17</f>
        <v>100</v>
      </c>
      <c r="X17" s="1554"/>
      <c r="Y17" s="34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89"/>
      <c r="Q18" s="1559"/>
      <c r="R18" s="1560"/>
      <c r="S18" s="1561"/>
      <c r="T18" s="1560"/>
      <c r="U18" s="1561"/>
      <c r="V18" s="1560"/>
      <c r="W18" s="1561"/>
      <c r="X18" s="1554"/>
      <c r="Y18" s="348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89"/>
      <c r="Q19" s="1559" t="str">
        <f>B19</f>
        <v>公共配套设施</v>
      </c>
      <c r="R19" s="1560" t="s">
        <v>11</v>
      </c>
      <c r="S19" s="1561">
        <f>F19</f>
        <v>100</v>
      </c>
      <c r="T19" s="1560" t="s">
        <v>11</v>
      </c>
      <c r="U19" s="1561">
        <f>H19</f>
        <v>100</v>
      </c>
      <c r="V19" s="1560" t="s">
        <v>11</v>
      </c>
      <c r="W19" s="1561">
        <f>J19</f>
        <v>100</v>
      </c>
      <c r="X19" s="1554"/>
      <c r="Y19" s="348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89"/>
      <c r="Q20" s="1559"/>
      <c r="R20" s="1560"/>
      <c r="S20" s="1561"/>
      <c r="T20" s="1560"/>
      <c r="U20" s="1561"/>
      <c r="V20" s="1560"/>
      <c r="W20" s="1561"/>
      <c r="X20" s="1554"/>
      <c r="Y20" s="348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89"/>
      <c r="Q21" s="2544" t="str">
        <f>B21</f>
        <v>基础设施水平</v>
      </c>
      <c r="R21" s="1560" t="s">
        <v>11</v>
      </c>
      <c r="S21" s="1561">
        <f>F21</f>
        <v>100</v>
      </c>
      <c r="T21" s="1560" t="s">
        <v>11</v>
      </c>
      <c r="U21" s="1561">
        <f>H21</f>
        <v>100</v>
      </c>
      <c r="V21" s="1560" t="s">
        <v>11</v>
      </c>
      <c r="W21" s="1561">
        <f>J21</f>
        <v>100</v>
      </c>
      <c r="X21" s="2546"/>
      <c r="Y21" s="348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89"/>
      <c r="Q22" s="2544"/>
      <c r="R22" s="1560"/>
      <c r="S22" s="1561"/>
      <c r="T22" s="1560"/>
      <c r="U22" s="1561"/>
      <c r="V22" s="1560"/>
      <c r="W22" s="1561"/>
      <c r="X22" s="2546"/>
      <c r="Y22" s="348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89"/>
      <c r="Q23" s="1559" t="str">
        <f>B23</f>
        <v>自然及人文环境</v>
      </c>
      <c r="R23" s="1560" t="s">
        <v>11</v>
      </c>
      <c r="S23" s="1561">
        <f>F23</f>
        <v>100</v>
      </c>
      <c r="T23" s="1560" t="s">
        <v>11</v>
      </c>
      <c r="U23" s="1561">
        <f>H23</f>
        <v>100</v>
      </c>
      <c r="V23" s="1560" t="s">
        <v>11</v>
      </c>
      <c r="W23" s="1561">
        <f>J23</f>
        <v>100</v>
      </c>
      <c r="X23" s="1554"/>
      <c r="Y23" s="348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89"/>
      <c r="Q24" s="1559"/>
      <c r="R24" s="1560"/>
      <c r="S24" s="1561"/>
      <c r="T24" s="1560"/>
      <c r="U24" s="1561"/>
      <c r="V24" s="1560"/>
      <c r="W24" s="1561"/>
      <c r="X24" s="1554"/>
      <c r="Y24" s="3489"/>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89"/>
      <c r="Q25" s="1559" t="str">
        <f t="shared" ref="Q25:Q46" si="11">B25</f>
        <v>楼层-1</v>
      </c>
      <c r="R25" s="1560" t="s">
        <v>11</v>
      </c>
      <c r="S25" s="1561">
        <f>F25</f>
        <v>100</v>
      </c>
      <c r="T25" s="1560" t="s">
        <v>11</v>
      </c>
      <c r="U25" s="1561">
        <f>H25</f>
        <v>100</v>
      </c>
      <c r="V25" s="1560" t="s">
        <v>11</v>
      </c>
      <c r="W25" s="1561">
        <f>J25</f>
        <v>100</v>
      </c>
      <c r="X25" s="1554"/>
      <c r="Y25" s="348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89"/>
      <c r="Q26" s="1559" t="str">
        <f t="shared" si="11"/>
        <v>朝向</v>
      </c>
      <c r="R26" s="1560" t="s">
        <v>11</v>
      </c>
      <c r="S26" s="1561">
        <f>F26</f>
        <v>100</v>
      </c>
      <c r="T26" s="1560" t="s">
        <v>11</v>
      </c>
      <c r="U26" s="1561">
        <f>H26</f>
        <v>100</v>
      </c>
      <c r="V26" s="1560" t="s">
        <v>11</v>
      </c>
      <c r="W26" s="1561">
        <f>J26</f>
        <v>100</v>
      </c>
      <c r="X26" s="1554"/>
      <c r="Y26" s="348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89"/>
      <c r="Q27" s="1147" t="str">
        <f t="shared" si="11"/>
        <v>道路级别</v>
      </c>
      <c r="R27" s="1555" t="s">
        <v>11</v>
      </c>
      <c r="S27" s="1556">
        <f>F27</f>
        <v>100</v>
      </c>
      <c r="T27" s="1555" t="s">
        <v>11</v>
      </c>
      <c r="U27" s="1556">
        <f>H27</f>
        <v>100</v>
      </c>
      <c r="V27" s="1555" t="s">
        <v>11</v>
      </c>
      <c r="W27" s="1556">
        <f>J27</f>
        <v>100</v>
      </c>
      <c r="X27" s="1557"/>
      <c r="Y27" s="348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8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8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89"/>
      <c r="Q29" s="1559">
        <f t="shared" si="11"/>
        <v>111</v>
      </c>
      <c r="R29" s="1560" t="s">
        <v>11</v>
      </c>
      <c r="S29" s="1561">
        <f t="shared" si="12"/>
        <v>100</v>
      </c>
      <c r="T29" s="1560" t="s">
        <v>11</v>
      </c>
      <c r="U29" s="1561">
        <f t="shared" si="13"/>
        <v>100</v>
      </c>
      <c r="V29" s="1560" t="s">
        <v>11</v>
      </c>
      <c r="W29" s="1561">
        <f t="shared" si="14"/>
        <v>100</v>
      </c>
      <c r="X29" s="1554"/>
      <c r="Y29" s="34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89"/>
      <c r="Q30" s="1559">
        <f t="shared" si="11"/>
        <v>111</v>
      </c>
      <c r="R30" s="1560" t="s">
        <v>11</v>
      </c>
      <c r="S30" s="1561">
        <f t="shared" si="12"/>
        <v>100</v>
      </c>
      <c r="T30" s="1560" t="s">
        <v>11</v>
      </c>
      <c r="U30" s="1561">
        <f t="shared" si="13"/>
        <v>100</v>
      </c>
      <c r="V30" s="1560" t="s">
        <v>11</v>
      </c>
      <c r="W30" s="1561">
        <f t="shared" si="14"/>
        <v>100</v>
      </c>
      <c r="X30" s="1554"/>
      <c r="Y30" s="348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89"/>
      <c r="Q31" s="1559">
        <f t="shared" si="11"/>
        <v>111</v>
      </c>
      <c r="R31" s="1560" t="s">
        <v>11</v>
      </c>
      <c r="S31" s="1561">
        <f t="shared" si="12"/>
        <v>100</v>
      </c>
      <c r="T31" s="1560" t="s">
        <v>11</v>
      </c>
      <c r="U31" s="1561">
        <f t="shared" si="13"/>
        <v>100</v>
      </c>
      <c r="V31" s="1560" t="s">
        <v>11</v>
      </c>
      <c r="W31" s="1561">
        <f t="shared" si="14"/>
        <v>100</v>
      </c>
      <c r="X31" s="1554"/>
      <c r="Y31" s="3489"/>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90" t="s">
        <v>550</v>
      </c>
      <c r="Q32" s="1559" t="str">
        <f t="shared" si="11"/>
        <v>建筑类型</v>
      </c>
      <c r="R32" s="1560" t="s">
        <v>11</v>
      </c>
      <c r="S32" s="1561">
        <f t="shared" si="12"/>
        <v>100</v>
      </c>
      <c r="T32" s="1560" t="s">
        <v>11</v>
      </c>
      <c r="U32" s="1561">
        <f t="shared" si="13"/>
        <v>100</v>
      </c>
      <c r="V32" s="1560" t="s">
        <v>11</v>
      </c>
      <c r="W32" s="1561">
        <f t="shared" si="14"/>
        <v>100</v>
      </c>
      <c r="X32" s="1554"/>
      <c r="Y32" s="3491"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91"/>
      <c r="Q33" s="1591" t="str">
        <f t="shared" si="11"/>
        <v>项目建筑规模</v>
      </c>
      <c r="R33" s="1564" t="s">
        <v>11</v>
      </c>
      <c r="S33" s="1565" t="e">
        <f t="shared" si="12"/>
        <v>#N/A</v>
      </c>
      <c r="T33" s="1564" t="s">
        <v>11</v>
      </c>
      <c r="U33" s="1565" t="e">
        <f t="shared" si="13"/>
        <v>#N/A</v>
      </c>
      <c r="V33" s="1564" t="s">
        <v>11</v>
      </c>
      <c r="W33" s="1565" t="e">
        <f t="shared" si="14"/>
        <v>#N/A</v>
      </c>
      <c r="X33" s="1566"/>
      <c r="Y33" s="349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91"/>
      <c r="Q34" s="1559" t="str">
        <f t="shared" si="11"/>
        <v>建筑结构</v>
      </c>
      <c r="R34" s="1560" t="s">
        <v>11</v>
      </c>
      <c r="S34" s="1561">
        <f t="shared" si="12"/>
        <v>100</v>
      </c>
      <c r="T34" s="1560" t="s">
        <v>11</v>
      </c>
      <c r="U34" s="1561">
        <f t="shared" si="13"/>
        <v>100</v>
      </c>
      <c r="V34" s="1560" t="s">
        <v>11</v>
      </c>
      <c r="W34" s="1561">
        <f t="shared" si="14"/>
        <v>100</v>
      </c>
      <c r="X34" s="1554"/>
      <c r="Y34" s="349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91"/>
      <c r="Q35" s="1559" t="str">
        <f t="shared" si="11"/>
        <v>建筑品质</v>
      </c>
      <c r="R35" s="1560" t="s">
        <v>11</v>
      </c>
      <c r="S35" s="1561">
        <f t="shared" si="12"/>
        <v>100</v>
      </c>
      <c r="T35" s="1560" t="s">
        <v>11</v>
      </c>
      <c r="U35" s="1561">
        <f t="shared" si="13"/>
        <v>100</v>
      </c>
      <c r="V35" s="1560" t="s">
        <v>11</v>
      </c>
      <c r="W35" s="1561">
        <f t="shared" si="14"/>
        <v>100</v>
      </c>
      <c r="X35" s="1554"/>
      <c r="Y35" s="349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91"/>
      <c r="Q36" s="1559" t="str">
        <f t="shared" si="11"/>
        <v>公共部分装修</v>
      </c>
      <c r="R36" s="1560" t="s">
        <v>11</v>
      </c>
      <c r="S36" s="1561">
        <f t="shared" si="12"/>
        <v>100</v>
      </c>
      <c r="T36" s="1560" t="s">
        <v>11</v>
      </c>
      <c r="U36" s="1561">
        <f t="shared" si="13"/>
        <v>100</v>
      </c>
      <c r="V36" s="1560" t="s">
        <v>11</v>
      </c>
      <c r="W36" s="1561">
        <f t="shared" si="14"/>
        <v>100</v>
      </c>
      <c r="X36" s="1554"/>
      <c r="Y36" s="3491"/>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91"/>
      <c r="Q37" s="1147" t="str">
        <f t="shared" si="11"/>
        <v>成新度</v>
      </c>
      <c r="R37" s="1555" t="s">
        <v>11</v>
      </c>
      <c r="S37" s="1556" t="e">
        <f t="shared" si="12"/>
        <v>#N/A</v>
      </c>
      <c r="T37" s="1555" t="s">
        <v>11</v>
      </c>
      <c r="U37" s="1556" t="e">
        <f t="shared" si="13"/>
        <v>#N/A</v>
      </c>
      <c r="V37" s="1555" t="s">
        <v>11</v>
      </c>
      <c r="W37" s="1556" t="e">
        <f t="shared" si="14"/>
        <v>#N/A</v>
      </c>
      <c r="X37" s="1557"/>
      <c r="Y37" s="3491"/>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91" t="s">
        <v>550</v>
      </c>
      <c r="Q38" s="1559" t="str">
        <f t="shared" si="11"/>
        <v>物业管理</v>
      </c>
      <c r="R38" s="1560" t="s">
        <v>11</v>
      </c>
      <c r="S38" s="1561">
        <f t="shared" si="12"/>
        <v>100</v>
      </c>
      <c r="T38" s="1560" t="s">
        <v>11</v>
      </c>
      <c r="U38" s="1561">
        <f t="shared" si="13"/>
        <v>100</v>
      </c>
      <c r="V38" s="1560" t="s">
        <v>11</v>
      </c>
      <c r="W38" s="1561">
        <f t="shared" si="14"/>
        <v>100</v>
      </c>
      <c r="X38" s="1554"/>
      <c r="Y38" s="3491"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91"/>
      <c r="Q39" s="1559" t="str">
        <f t="shared" si="11"/>
        <v>市政基础设施</v>
      </c>
      <c r="R39" s="1560" t="s">
        <v>11</v>
      </c>
      <c r="S39" s="1561">
        <f t="shared" si="12"/>
        <v>100</v>
      </c>
      <c r="T39" s="1560" t="s">
        <v>11</v>
      </c>
      <c r="U39" s="1561">
        <f t="shared" si="13"/>
        <v>100</v>
      </c>
      <c r="V39" s="1560" t="s">
        <v>11</v>
      </c>
      <c r="W39" s="1561">
        <f t="shared" si="14"/>
        <v>100</v>
      </c>
      <c r="X39" s="1554"/>
      <c r="Y39" s="349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91"/>
      <c r="Q40" s="1559" t="str">
        <f t="shared" si="11"/>
        <v>房型</v>
      </c>
      <c r="R40" s="1560" t="s">
        <v>11</v>
      </c>
      <c r="S40" s="1561">
        <f t="shared" si="12"/>
        <v>100</v>
      </c>
      <c r="T40" s="1560" t="s">
        <v>11</v>
      </c>
      <c r="U40" s="1561">
        <f t="shared" si="13"/>
        <v>100</v>
      </c>
      <c r="V40" s="1560" t="s">
        <v>11</v>
      </c>
      <c r="W40" s="1561">
        <f t="shared" si="14"/>
        <v>100</v>
      </c>
      <c r="X40" s="1554"/>
      <c r="Y40" s="349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91"/>
      <c r="Q41" s="1591" t="str">
        <f t="shared" si="11"/>
        <v>单套/主力户型建筑面积</v>
      </c>
      <c r="R41" s="1564" t="s">
        <v>11</v>
      </c>
      <c r="S41" s="1565">
        <f t="shared" si="12"/>
        <v>100</v>
      </c>
      <c r="T41" s="1564" t="s">
        <v>11</v>
      </c>
      <c r="U41" s="1565">
        <f t="shared" si="13"/>
        <v>100</v>
      </c>
      <c r="V41" s="1564" t="s">
        <v>11</v>
      </c>
      <c r="W41" s="1565">
        <f t="shared" si="14"/>
        <v>100</v>
      </c>
      <c r="X41" s="1566"/>
      <c r="Y41" s="349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91"/>
      <c r="Q42" s="1559" t="str">
        <f t="shared" si="11"/>
        <v>内部装修</v>
      </c>
      <c r="R42" s="1560" t="s">
        <v>11</v>
      </c>
      <c r="S42" s="1561">
        <f t="shared" si="12"/>
        <v>100</v>
      </c>
      <c r="T42" s="1560" t="s">
        <v>11</v>
      </c>
      <c r="U42" s="1561">
        <f t="shared" si="13"/>
        <v>100</v>
      </c>
      <c r="V42" s="1560" t="s">
        <v>11</v>
      </c>
      <c r="W42" s="1561">
        <f t="shared" si="14"/>
        <v>100</v>
      </c>
      <c r="X42" s="1554"/>
      <c r="Y42" s="349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91"/>
      <c r="Q43" s="1559" t="str">
        <f t="shared" si="11"/>
        <v>内部装修维护情况</v>
      </c>
      <c r="R43" s="1560" t="s">
        <v>11</v>
      </c>
      <c r="S43" s="1561">
        <f t="shared" si="12"/>
        <v>100</v>
      </c>
      <c r="T43" s="1560" t="s">
        <v>11</v>
      </c>
      <c r="U43" s="1561">
        <f t="shared" si="13"/>
        <v>100</v>
      </c>
      <c r="V43" s="1560" t="s">
        <v>11</v>
      </c>
      <c r="W43" s="1561">
        <f t="shared" si="14"/>
        <v>100</v>
      </c>
      <c r="X43" s="1554"/>
      <c r="Y43" s="34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91"/>
      <c r="Q44" s="1147">
        <f t="shared" si="11"/>
        <v>111</v>
      </c>
      <c r="R44" s="1555" t="s">
        <v>11</v>
      </c>
      <c r="S44" s="1556">
        <f t="shared" si="12"/>
        <v>100</v>
      </c>
      <c r="T44" s="1555" t="s">
        <v>11</v>
      </c>
      <c r="U44" s="1556">
        <f t="shared" si="13"/>
        <v>100</v>
      </c>
      <c r="V44" s="1555" t="s">
        <v>11</v>
      </c>
      <c r="W44" s="1556">
        <f t="shared" si="14"/>
        <v>100</v>
      </c>
      <c r="X44" s="1557"/>
      <c r="Y44" s="34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91"/>
      <c r="Q45" s="1559">
        <f t="shared" si="11"/>
        <v>111</v>
      </c>
      <c r="R45" s="1560" t="s">
        <v>11</v>
      </c>
      <c r="S45" s="1561">
        <f t="shared" si="12"/>
        <v>100</v>
      </c>
      <c r="T45" s="1560" t="s">
        <v>11</v>
      </c>
      <c r="U45" s="1561">
        <f t="shared" si="13"/>
        <v>100</v>
      </c>
      <c r="V45" s="1560" t="s">
        <v>11</v>
      </c>
      <c r="W45" s="1561">
        <f t="shared" si="14"/>
        <v>100</v>
      </c>
      <c r="X45" s="1554"/>
      <c r="Y45" s="349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72"/>
      <c r="Q46" s="1559">
        <f t="shared" si="11"/>
        <v>111</v>
      </c>
      <c r="R46" s="1560" t="s">
        <v>10</v>
      </c>
      <c r="S46" s="1561">
        <f t="shared" si="12"/>
        <v>100</v>
      </c>
      <c r="T46" s="1560" t="s">
        <v>10</v>
      </c>
      <c r="U46" s="1561">
        <f t="shared" si="13"/>
        <v>100</v>
      </c>
      <c r="V46" s="1560" t="s">
        <v>10</v>
      </c>
      <c r="W46" s="1561">
        <f t="shared" si="14"/>
        <v>100</v>
      </c>
      <c r="X46" s="1554"/>
      <c r="Y46" s="3572"/>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54" t="str">
        <f>A47</f>
        <v>成交单价（元/平方米）</v>
      </c>
      <c r="Q47" s="3454"/>
      <c r="R47" s="3571">
        <f>E47</f>
        <v>0</v>
      </c>
      <c r="S47" s="3571"/>
      <c r="T47" s="3571">
        <f>G47</f>
        <v>0</v>
      </c>
      <c r="U47" s="3571"/>
      <c r="V47" s="3571">
        <f>I47</f>
        <v>0</v>
      </c>
      <c r="W47" s="3571"/>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54" t="str">
        <f>A48</f>
        <v>比较价格（元/平方米）</v>
      </c>
      <c r="Q48" s="3454"/>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451" t="str">
        <f>A49</f>
        <v>估价对象XX用房的比较价格（楼面单价，元/平方米）</v>
      </c>
      <c r="Q49" s="3452"/>
      <c r="R49" s="3570" t="e">
        <f>IF(F1="售价",ROUND(AVERAGE(R48:V48),0),ROUND(AVERAGE(R48:V48),1))</f>
        <v>#DIV/0!</v>
      </c>
      <c r="S49" s="3570"/>
      <c r="T49" s="3570"/>
      <c r="U49" s="3570"/>
      <c r="V49" s="3570"/>
      <c r="W49" s="357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60" t="s">
        <v>522</v>
      </c>
      <c r="D4" s="3461"/>
      <c r="E4" s="3494" t="s">
        <v>523</v>
      </c>
      <c r="F4" s="3495"/>
      <c r="G4" s="3460" t="s">
        <v>524</v>
      </c>
      <c r="H4" s="3461"/>
      <c r="I4" s="3460" t="s">
        <v>525</v>
      </c>
      <c r="J4" s="3461"/>
      <c r="K4" s="514" t="s">
        <v>526</v>
      </c>
      <c r="L4" s="2119"/>
      <c r="M4" s="2120"/>
      <c r="N4" s="2120"/>
      <c r="O4" s="2120"/>
      <c r="P4" s="3462" t="s">
        <v>527</v>
      </c>
      <c r="Q4" s="3463"/>
      <c r="R4" s="3468" t="s">
        <v>523</v>
      </c>
      <c r="S4" s="3469"/>
      <c r="T4" s="3468" t="s">
        <v>524</v>
      </c>
      <c r="U4" s="3469"/>
      <c r="V4" s="3455" t="s">
        <v>525</v>
      </c>
      <c r="W4" s="3455"/>
      <c r="X4" s="1554"/>
      <c r="Y4" s="3468" t="s">
        <v>527</v>
      </c>
      <c r="Z4" s="3469"/>
      <c r="AA4" s="3457" t="s">
        <v>523</v>
      </c>
      <c r="AB4" s="3455" t="s">
        <v>524</v>
      </c>
      <c r="AC4" s="3457" t="s">
        <v>525</v>
      </c>
    </row>
    <row r="5" spans="1:29" ht="15">
      <c r="A5" s="515"/>
      <c r="B5" s="516"/>
      <c r="C5" s="3476" t="s">
        <v>2930</v>
      </c>
      <c r="D5" s="3477"/>
      <c r="E5" s="3496" t="s">
        <v>2931</v>
      </c>
      <c r="F5" s="3497"/>
      <c r="G5" s="3476" t="s">
        <v>2932</v>
      </c>
      <c r="H5" s="3477"/>
      <c r="I5" s="3476" t="s">
        <v>2933</v>
      </c>
      <c r="J5" s="3477"/>
      <c r="K5" s="514"/>
      <c r="L5" s="2119"/>
      <c r="M5" s="2120"/>
      <c r="N5" s="2120"/>
      <c r="O5" s="2120"/>
      <c r="P5" s="3464"/>
      <c r="Q5" s="3465"/>
      <c r="R5" s="3470"/>
      <c r="S5" s="3471"/>
      <c r="T5" s="3470"/>
      <c r="U5" s="3471"/>
      <c r="V5" s="3455"/>
      <c r="W5" s="3455"/>
      <c r="X5" s="1554"/>
      <c r="Y5" s="3470"/>
      <c r="Z5" s="3471"/>
      <c r="AA5" s="3458"/>
      <c r="AB5" s="3455"/>
      <c r="AC5" s="3458"/>
    </row>
    <row r="6" spans="1:29" ht="15.75" thickBot="1">
      <c r="A6" s="517"/>
      <c r="B6" s="518"/>
      <c r="C6" s="3474" t="s">
        <v>2934</v>
      </c>
      <c r="D6" s="3475"/>
      <c r="E6" s="3492" t="s">
        <v>2934</v>
      </c>
      <c r="F6" s="3493"/>
      <c r="G6" s="3474" t="s">
        <v>2934</v>
      </c>
      <c r="H6" s="3475"/>
      <c r="I6" s="3474" t="s">
        <v>2934</v>
      </c>
      <c r="J6" s="3475"/>
      <c r="K6" s="514" t="s">
        <v>528</v>
      </c>
      <c r="L6" s="2119"/>
      <c r="M6" s="2120"/>
      <c r="N6" s="2120"/>
      <c r="O6" s="2120"/>
      <c r="P6" s="3466"/>
      <c r="Q6" s="3467"/>
      <c r="R6" s="3470"/>
      <c r="S6" s="3471"/>
      <c r="T6" s="3472"/>
      <c r="U6" s="3473"/>
      <c r="V6" s="3455"/>
      <c r="W6" s="3455"/>
      <c r="X6" s="1554"/>
      <c r="Y6" s="3472"/>
      <c r="Z6" s="3473"/>
      <c r="AA6" s="3459"/>
      <c r="AB6" s="3455"/>
      <c r="AC6" s="3459"/>
    </row>
    <row r="7" spans="1:29" s="1216" customFormat="1" ht="15.75" thickBot="1">
      <c r="A7" s="2868"/>
      <c r="B7" s="2875" t="s">
        <v>529</v>
      </c>
      <c r="C7" s="519">
        <f>'数据-取费表'!B2</f>
        <v>43654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85" t="s">
        <v>530</v>
      </c>
      <c r="Q7" s="3487"/>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85" t="s">
        <v>533</v>
      </c>
      <c r="Q8" s="3486"/>
      <c r="R8" s="1555" t="s">
        <v>8</v>
      </c>
      <c r="S8" s="1556">
        <f t="shared" si="0"/>
        <v>0</v>
      </c>
      <c r="T8" s="1555" t="s">
        <v>8</v>
      </c>
      <c r="U8" s="1556">
        <f t="shared" si="1"/>
        <v>0</v>
      </c>
      <c r="V8" s="1555" t="s">
        <v>8</v>
      </c>
      <c r="W8" s="1556">
        <f t="shared" si="2"/>
        <v>0</v>
      </c>
      <c r="X8" s="1557"/>
      <c r="Y8" s="3485" t="s">
        <v>533</v>
      </c>
      <c r="Z8" s="348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54" t="s">
        <v>535</v>
      </c>
      <c r="Q9" s="1147" t="str">
        <f t="shared" ref="Q9:Q15" si="6">B9</f>
        <v>用途</v>
      </c>
      <c r="R9" s="1555" t="s">
        <v>8</v>
      </c>
      <c r="S9" s="1556">
        <f t="shared" si="0"/>
        <v>100</v>
      </c>
      <c r="T9" s="1555" t="s">
        <v>8</v>
      </c>
      <c r="U9" s="1556">
        <f t="shared" si="1"/>
        <v>100</v>
      </c>
      <c r="V9" s="1555" t="s">
        <v>8</v>
      </c>
      <c r="W9" s="1556">
        <f t="shared" si="2"/>
        <v>100</v>
      </c>
      <c r="X9" s="1557"/>
      <c r="Y9" s="340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54"/>
      <c r="Q10" s="1147" t="str">
        <f t="shared" si="6"/>
        <v>土地使用年限（年）</v>
      </c>
      <c r="R10" s="1555" t="s">
        <v>8</v>
      </c>
      <c r="S10" s="1556">
        <f t="shared" si="0"/>
        <v>100</v>
      </c>
      <c r="T10" s="1555" t="s">
        <v>8</v>
      </c>
      <c r="U10" s="1556">
        <f t="shared" si="1"/>
        <v>100</v>
      </c>
      <c r="V10" s="1555" t="s">
        <v>8</v>
      </c>
      <c r="W10" s="1556">
        <f t="shared" si="2"/>
        <v>100</v>
      </c>
      <c r="X10" s="1557"/>
      <c r="Y10" s="340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54"/>
      <c r="Q11" s="1147" t="str">
        <f t="shared" si="6"/>
        <v>容积率</v>
      </c>
      <c r="R11" s="1555" t="s">
        <v>8</v>
      </c>
      <c r="S11" s="1556" t="e">
        <f t="shared" si="0"/>
        <v>#N/A</v>
      </c>
      <c r="T11" s="1555" t="s">
        <v>8</v>
      </c>
      <c r="U11" s="1556" t="e">
        <f t="shared" si="1"/>
        <v>#N/A</v>
      </c>
      <c r="V11" s="1555" t="s">
        <v>8</v>
      </c>
      <c r="W11" s="1556" t="e">
        <f t="shared" si="2"/>
        <v>#N/A</v>
      </c>
      <c r="X11" s="1557"/>
      <c r="Y11" s="340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54"/>
      <c r="Q12" s="1147">
        <f t="shared" si="6"/>
        <v>111</v>
      </c>
      <c r="R12" s="1555" t="s">
        <v>8</v>
      </c>
      <c r="S12" s="1556">
        <f t="shared" si="0"/>
        <v>100</v>
      </c>
      <c r="T12" s="1555" t="s">
        <v>8</v>
      </c>
      <c r="U12" s="1556">
        <f t="shared" si="1"/>
        <v>100</v>
      </c>
      <c r="V12" s="1555" t="s">
        <v>8</v>
      </c>
      <c r="W12" s="1556">
        <f t="shared" si="2"/>
        <v>100</v>
      </c>
      <c r="X12" s="1557"/>
      <c r="Y12" s="340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54"/>
      <c r="Q13" s="1147">
        <f t="shared" si="6"/>
        <v>111</v>
      </c>
      <c r="R13" s="1555" t="s">
        <v>8</v>
      </c>
      <c r="S13" s="1556">
        <f t="shared" si="0"/>
        <v>100</v>
      </c>
      <c r="T13" s="1555" t="s">
        <v>8</v>
      </c>
      <c r="U13" s="1556">
        <f t="shared" si="1"/>
        <v>100</v>
      </c>
      <c r="V13" s="1555" t="s">
        <v>8</v>
      </c>
      <c r="W13" s="1556">
        <f t="shared" si="2"/>
        <v>100</v>
      </c>
      <c r="X13" s="1557"/>
      <c r="Y13" s="340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54"/>
      <c r="Q14" s="1147">
        <f t="shared" si="6"/>
        <v>111</v>
      </c>
      <c r="R14" s="1555" t="s">
        <v>8</v>
      </c>
      <c r="S14" s="1556">
        <f t="shared" si="0"/>
        <v>100</v>
      </c>
      <c r="T14" s="1555" t="s">
        <v>8</v>
      </c>
      <c r="U14" s="1556">
        <f t="shared" si="1"/>
        <v>100</v>
      </c>
      <c r="V14" s="1555" t="s">
        <v>8</v>
      </c>
      <c r="W14" s="1556">
        <f t="shared" si="2"/>
        <v>100</v>
      </c>
      <c r="X14" s="1557"/>
      <c r="Y14" s="3400"/>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88" t="s">
        <v>540</v>
      </c>
      <c r="Q15" s="1559" t="str">
        <f t="shared" si="6"/>
        <v>商业繁华度</v>
      </c>
      <c r="R15" s="1560" t="s">
        <v>8</v>
      </c>
      <c r="S15" s="1561">
        <f t="shared" si="0"/>
        <v>100</v>
      </c>
      <c r="T15" s="1560" t="s">
        <v>8</v>
      </c>
      <c r="U15" s="1561">
        <f t="shared" si="1"/>
        <v>100</v>
      </c>
      <c r="V15" s="1560" t="s">
        <v>8</v>
      </c>
      <c r="W15" s="1561">
        <f t="shared" si="2"/>
        <v>100</v>
      </c>
      <c r="X15" s="1554"/>
      <c r="Y15" s="348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89"/>
      <c r="Q16" s="1559"/>
      <c r="R16" s="1560"/>
      <c r="S16" s="1561"/>
      <c r="T16" s="1560"/>
      <c r="U16" s="1561"/>
      <c r="V16" s="1560"/>
      <c r="W16" s="1561"/>
      <c r="X16" s="1554"/>
      <c r="Y16" s="348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89"/>
      <c r="Q17" s="1559" t="str">
        <f>B17</f>
        <v>交通便捷度</v>
      </c>
      <c r="R17" s="1560" t="s">
        <v>8</v>
      </c>
      <c r="S17" s="1561">
        <f>F17</f>
        <v>100</v>
      </c>
      <c r="T17" s="1560" t="s">
        <v>8</v>
      </c>
      <c r="U17" s="1561">
        <f>H17</f>
        <v>100</v>
      </c>
      <c r="V17" s="1560" t="s">
        <v>8</v>
      </c>
      <c r="W17" s="1561">
        <f>J17</f>
        <v>100</v>
      </c>
      <c r="X17" s="1554"/>
      <c r="Y17" s="34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89"/>
      <c r="Q18" s="1559"/>
      <c r="R18" s="1560"/>
      <c r="S18" s="1561"/>
      <c r="T18" s="1560"/>
      <c r="U18" s="1561"/>
      <c r="V18" s="1560"/>
      <c r="W18" s="1561"/>
      <c r="X18" s="1554"/>
      <c r="Y18" s="348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89"/>
      <c r="Q19" s="1559" t="str">
        <f>B19</f>
        <v>公共配套设施</v>
      </c>
      <c r="R19" s="1560" t="s">
        <v>8</v>
      </c>
      <c r="S19" s="1561">
        <f>F19</f>
        <v>100</v>
      </c>
      <c r="T19" s="1560" t="s">
        <v>8</v>
      </c>
      <c r="U19" s="1561">
        <f>H19</f>
        <v>100</v>
      </c>
      <c r="V19" s="1560" t="s">
        <v>8</v>
      </c>
      <c r="W19" s="1561">
        <f>J19</f>
        <v>100</v>
      </c>
      <c r="X19" s="1554"/>
      <c r="Y19" s="348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89"/>
      <c r="Q20" s="1559"/>
      <c r="R20" s="1560"/>
      <c r="S20" s="1561"/>
      <c r="T20" s="1560"/>
      <c r="U20" s="1561"/>
      <c r="V20" s="1560"/>
      <c r="W20" s="1561"/>
      <c r="X20" s="1554"/>
      <c r="Y20" s="348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89"/>
      <c r="Q21" s="2544" t="str">
        <f>B21</f>
        <v>基础设施水平</v>
      </c>
      <c r="R21" s="1560" t="s">
        <v>8</v>
      </c>
      <c r="S21" s="1561">
        <f>F21</f>
        <v>100</v>
      </c>
      <c r="T21" s="1560" t="s">
        <v>8</v>
      </c>
      <c r="U21" s="1561">
        <f>H21</f>
        <v>100</v>
      </c>
      <c r="V21" s="1560" t="s">
        <v>8</v>
      </c>
      <c r="W21" s="1561">
        <f>J21</f>
        <v>100</v>
      </c>
      <c r="X21" s="2546"/>
      <c r="Y21" s="348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89"/>
      <c r="Q22" s="2544"/>
      <c r="R22" s="1560"/>
      <c r="S22" s="1561"/>
      <c r="T22" s="1560"/>
      <c r="U22" s="1561"/>
      <c r="V22" s="1560"/>
      <c r="W22" s="1561"/>
      <c r="X22" s="2546"/>
      <c r="Y22" s="348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89"/>
      <c r="Q23" s="1559" t="str">
        <f>B23</f>
        <v>自然及人文环境</v>
      </c>
      <c r="R23" s="1560" t="s">
        <v>8</v>
      </c>
      <c r="S23" s="1561">
        <f>F23</f>
        <v>100</v>
      </c>
      <c r="T23" s="1560" t="s">
        <v>8</v>
      </c>
      <c r="U23" s="1561">
        <f>H23</f>
        <v>100</v>
      </c>
      <c r="V23" s="1560" t="s">
        <v>8</v>
      </c>
      <c r="W23" s="1561">
        <f>J23</f>
        <v>100</v>
      </c>
      <c r="X23" s="1554"/>
      <c r="Y23" s="348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89"/>
      <c r="Q24" s="1559"/>
      <c r="R24" s="1560"/>
      <c r="S24" s="1561"/>
      <c r="T24" s="1560"/>
      <c r="U24" s="1561"/>
      <c r="V24" s="1560"/>
      <c r="W24" s="1561"/>
      <c r="X24" s="1554"/>
      <c r="Y24" s="348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89"/>
      <c r="Q25" s="1559" t="str">
        <f t="shared" ref="Q25:Q46" si="11">B25</f>
        <v>临街状况</v>
      </c>
      <c r="R25" s="1560" t="s">
        <v>8</v>
      </c>
      <c r="S25" s="1561">
        <f>F25</f>
        <v>100</v>
      </c>
      <c r="T25" s="1560" t="s">
        <v>8</v>
      </c>
      <c r="U25" s="1561">
        <f>H25</f>
        <v>100</v>
      </c>
      <c r="V25" s="1560" t="s">
        <v>8</v>
      </c>
      <c r="W25" s="1561">
        <f>J25</f>
        <v>100</v>
      </c>
      <c r="X25" s="1554"/>
      <c r="Y25" s="348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89"/>
      <c r="Q26" s="1559" t="str">
        <f t="shared" si="11"/>
        <v>平面位置/可视性</v>
      </c>
      <c r="R26" s="1560" t="s">
        <v>8</v>
      </c>
      <c r="S26" s="1561">
        <f>F26</f>
        <v>100</v>
      </c>
      <c r="T26" s="1560" t="s">
        <v>8</v>
      </c>
      <c r="U26" s="1561">
        <f>H26</f>
        <v>100</v>
      </c>
      <c r="V26" s="1560" t="s">
        <v>8</v>
      </c>
      <c r="W26" s="1561">
        <f>J26</f>
        <v>100</v>
      </c>
      <c r="X26" s="1554"/>
      <c r="Y26" s="348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89"/>
      <c r="Q27" s="1147" t="str">
        <f t="shared" si="11"/>
        <v>人流量</v>
      </c>
      <c r="R27" s="1555" t="s">
        <v>8</v>
      </c>
      <c r="S27" s="1556">
        <f>F27</f>
        <v>100</v>
      </c>
      <c r="T27" s="1555" t="s">
        <v>8</v>
      </c>
      <c r="U27" s="1556">
        <f>H27</f>
        <v>100</v>
      </c>
      <c r="V27" s="1555" t="s">
        <v>8</v>
      </c>
      <c r="W27" s="1556">
        <f>J27</f>
        <v>100</v>
      </c>
      <c r="X27" s="1557"/>
      <c r="Y27" s="348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8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8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89"/>
      <c r="Q29" s="1559">
        <f t="shared" si="11"/>
        <v>111</v>
      </c>
      <c r="R29" s="1560" t="s">
        <v>8</v>
      </c>
      <c r="S29" s="1561">
        <f t="shared" si="12"/>
        <v>100</v>
      </c>
      <c r="T29" s="1560" t="s">
        <v>8</v>
      </c>
      <c r="U29" s="1561">
        <f t="shared" si="13"/>
        <v>100</v>
      </c>
      <c r="V29" s="1560" t="s">
        <v>8</v>
      </c>
      <c r="W29" s="1561">
        <f t="shared" si="14"/>
        <v>100</v>
      </c>
      <c r="X29" s="1554"/>
      <c r="Y29" s="34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89"/>
      <c r="Q30" s="1559">
        <f t="shared" si="11"/>
        <v>111</v>
      </c>
      <c r="R30" s="1560" t="s">
        <v>8</v>
      </c>
      <c r="S30" s="1561">
        <f t="shared" si="12"/>
        <v>100</v>
      </c>
      <c r="T30" s="1560" t="s">
        <v>8</v>
      </c>
      <c r="U30" s="1561">
        <f t="shared" si="13"/>
        <v>100</v>
      </c>
      <c r="V30" s="1560" t="s">
        <v>8</v>
      </c>
      <c r="W30" s="1561">
        <f t="shared" si="14"/>
        <v>100</v>
      </c>
      <c r="X30" s="1554"/>
      <c r="Y30" s="348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89"/>
      <c r="Q31" s="1559">
        <f t="shared" si="11"/>
        <v>111</v>
      </c>
      <c r="R31" s="1560" t="s">
        <v>8</v>
      </c>
      <c r="S31" s="1561">
        <f t="shared" si="12"/>
        <v>100</v>
      </c>
      <c r="T31" s="1560" t="s">
        <v>8</v>
      </c>
      <c r="U31" s="1561">
        <f t="shared" si="13"/>
        <v>100</v>
      </c>
      <c r="V31" s="1560" t="s">
        <v>8</v>
      </c>
      <c r="W31" s="1561">
        <f t="shared" si="14"/>
        <v>100</v>
      </c>
      <c r="X31" s="1554"/>
      <c r="Y31" s="3489"/>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90" t="s">
        <v>550</v>
      </c>
      <c r="Q32" s="1559" t="str">
        <f t="shared" si="11"/>
        <v>商业类型</v>
      </c>
      <c r="R32" s="1560" t="s">
        <v>8</v>
      </c>
      <c r="S32" s="1561">
        <f t="shared" si="12"/>
        <v>100</v>
      </c>
      <c r="T32" s="1560" t="s">
        <v>8</v>
      </c>
      <c r="U32" s="1561">
        <f t="shared" si="13"/>
        <v>100</v>
      </c>
      <c r="V32" s="1560" t="s">
        <v>8</v>
      </c>
      <c r="W32" s="1561">
        <f t="shared" si="14"/>
        <v>100</v>
      </c>
      <c r="X32" s="1554"/>
      <c r="Y32" s="349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91"/>
      <c r="Q33" s="1591" t="str">
        <f t="shared" si="11"/>
        <v>项目建筑规模</v>
      </c>
      <c r="R33" s="1564" t="s">
        <v>8</v>
      </c>
      <c r="S33" s="1565" t="e">
        <f t="shared" si="12"/>
        <v>#N/A</v>
      </c>
      <c r="T33" s="1564" t="s">
        <v>8</v>
      </c>
      <c r="U33" s="1565" t="e">
        <f t="shared" si="13"/>
        <v>#N/A</v>
      </c>
      <c r="V33" s="1564" t="s">
        <v>8</v>
      </c>
      <c r="W33" s="1565" t="e">
        <f t="shared" si="14"/>
        <v>#N/A</v>
      </c>
      <c r="X33" s="1566"/>
      <c r="Y33" s="349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91"/>
      <c r="Q34" s="1559" t="str">
        <f t="shared" si="11"/>
        <v>建筑结构</v>
      </c>
      <c r="R34" s="1560" t="s">
        <v>8</v>
      </c>
      <c r="S34" s="1561">
        <f t="shared" si="12"/>
        <v>100</v>
      </c>
      <c r="T34" s="1560" t="s">
        <v>8</v>
      </c>
      <c r="U34" s="1561">
        <f t="shared" si="13"/>
        <v>100</v>
      </c>
      <c r="V34" s="1560" t="s">
        <v>8</v>
      </c>
      <c r="W34" s="1561">
        <f t="shared" si="14"/>
        <v>100</v>
      </c>
      <c r="X34" s="1554"/>
      <c r="Y34" s="349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91"/>
      <c r="Q35" s="1559" t="str">
        <f t="shared" si="11"/>
        <v>公共部分装修</v>
      </c>
      <c r="R35" s="1560" t="s">
        <v>8</v>
      </c>
      <c r="S35" s="1561">
        <f t="shared" si="12"/>
        <v>100</v>
      </c>
      <c r="T35" s="1560" t="s">
        <v>8</v>
      </c>
      <c r="U35" s="1561">
        <f t="shared" si="13"/>
        <v>100</v>
      </c>
      <c r="V35" s="1560" t="s">
        <v>8</v>
      </c>
      <c r="W35" s="1561">
        <f t="shared" si="14"/>
        <v>100</v>
      </c>
      <c r="X35" s="1554"/>
      <c r="Y35" s="349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91"/>
      <c r="Q36" s="1559" t="str">
        <f t="shared" si="11"/>
        <v>成新度</v>
      </c>
      <c r="R36" s="1560" t="s">
        <v>8</v>
      </c>
      <c r="S36" s="1561" t="e">
        <f t="shared" si="12"/>
        <v>#N/A</v>
      </c>
      <c r="T36" s="1560" t="s">
        <v>8</v>
      </c>
      <c r="U36" s="1561" t="e">
        <f t="shared" si="13"/>
        <v>#N/A</v>
      </c>
      <c r="V36" s="1560" t="s">
        <v>8</v>
      </c>
      <c r="W36" s="1561" t="e">
        <f t="shared" si="14"/>
        <v>#N/A</v>
      </c>
      <c r="X36" s="1554"/>
      <c r="Y36" s="3491"/>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91"/>
      <c r="Q37" s="1147" t="str">
        <f t="shared" si="11"/>
        <v>市政基础设施</v>
      </c>
      <c r="R37" s="1555" t="s">
        <v>8</v>
      </c>
      <c r="S37" s="1556">
        <f t="shared" si="12"/>
        <v>100</v>
      </c>
      <c r="T37" s="1555" t="s">
        <v>8</v>
      </c>
      <c r="U37" s="1556">
        <f t="shared" si="13"/>
        <v>100</v>
      </c>
      <c r="V37" s="1555" t="s">
        <v>8</v>
      </c>
      <c r="W37" s="1556">
        <f t="shared" si="14"/>
        <v>100</v>
      </c>
      <c r="X37" s="1557"/>
      <c r="Y37" s="349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91" t="s">
        <v>766</v>
      </c>
      <c r="Q38" s="1559" t="str">
        <f t="shared" si="11"/>
        <v>业态</v>
      </c>
      <c r="R38" s="1560" t="s">
        <v>8</v>
      </c>
      <c r="S38" s="1561">
        <f t="shared" si="12"/>
        <v>100</v>
      </c>
      <c r="T38" s="1560" t="s">
        <v>8</v>
      </c>
      <c r="U38" s="1561">
        <f t="shared" si="13"/>
        <v>100</v>
      </c>
      <c r="V38" s="1560" t="s">
        <v>8</v>
      </c>
      <c r="W38" s="1561">
        <f t="shared" si="14"/>
        <v>100</v>
      </c>
      <c r="X38" s="1554"/>
      <c r="Y38" s="349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91"/>
      <c r="Q39" s="1559" t="str">
        <f t="shared" si="11"/>
        <v>层高</v>
      </c>
      <c r="R39" s="1560" t="s">
        <v>8</v>
      </c>
      <c r="S39" s="1561">
        <f t="shared" si="12"/>
        <v>100</v>
      </c>
      <c r="T39" s="1560" t="s">
        <v>8</v>
      </c>
      <c r="U39" s="1561">
        <f t="shared" si="13"/>
        <v>100</v>
      </c>
      <c r="V39" s="1560" t="s">
        <v>8</v>
      </c>
      <c r="W39" s="1561">
        <f t="shared" si="14"/>
        <v>100</v>
      </c>
      <c r="X39" s="1554"/>
      <c r="Y39" s="349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91"/>
      <c r="Q40" s="1559" t="str">
        <f t="shared" si="11"/>
        <v>单套建筑面积</v>
      </c>
      <c r="R40" s="1560" t="s">
        <v>8</v>
      </c>
      <c r="S40" s="1561">
        <f t="shared" si="12"/>
        <v>100</v>
      </c>
      <c r="T40" s="1560" t="s">
        <v>8</v>
      </c>
      <c r="U40" s="1561">
        <f t="shared" si="13"/>
        <v>100</v>
      </c>
      <c r="V40" s="1560" t="s">
        <v>8</v>
      </c>
      <c r="W40" s="1561">
        <f t="shared" si="14"/>
        <v>100</v>
      </c>
      <c r="X40" s="1554"/>
      <c r="Y40" s="349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91"/>
      <c r="Q41" s="1591" t="str">
        <f t="shared" si="11"/>
        <v>进深比</v>
      </c>
      <c r="R41" s="1564" t="s">
        <v>8</v>
      </c>
      <c r="S41" s="1565">
        <f t="shared" si="12"/>
        <v>100</v>
      </c>
      <c r="T41" s="1564" t="s">
        <v>8</v>
      </c>
      <c r="U41" s="1565">
        <f t="shared" si="13"/>
        <v>100</v>
      </c>
      <c r="V41" s="1564" t="s">
        <v>8</v>
      </c>
      <c r="W41" s="1565">
        <f t="shared" si="14"/>
        <v>100</v>
      </c>
      <c r="X41" s="1566"/>
      <c r="Y41" s="349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91"/>
      <c r="Q42" s="1559" t="str">
        <f t="shared" si="11"/>
        <v>内部装修</v>
      </c>
      <c r="R42" s="1560" t="s">
        <v>8</v>
      </c>
      <c r="S42" s="1561">
        <f t="shared" si="12"/>
        <v>100</v>
      </c>
      <c r="T42" s="1560" t="s">
        <v>8</v>
      </c>
      <c r="U42" s="1561">
        <f t="shared" si="13"/>
        <v>100</v>
      </c>
      <c r="V42" s="1560" t="s">
        <v>8</v>
      </c>
      <c r="W42" s="1561">
        <f t="shared" si="14"/>
        <v>100</v>
      </c>
      <c r="X42" s="1554"/>
      <c r="Y42" s="349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91"/>
      <c r="Q43" s="1559" t="str">
        <f t="shared" si="11"/>
        <v>内部装修维护情况</v>
      </c>
      <c r="R43" s="1560" t="s">
        <v>8</v>
      </c>
      <c r="S43" s="1561">
        <f t="shared" si="12"/>
        <v>100</v>
      </c>
      <c r="T43" s="1560" t="s">
        <v>8</v>
      </c>
      <c r="U43" s="1561">
        <f t="shared" si="13"/>
        <v>100</v>
      </c>
      <c r="V43" s="1560" t="s">
        <v>8</v>
      </c>
      <c r="W43" s="1561">
        <f t="shared" si="14"/>
        <v>100</v>
      </c>
      <c r="X43" s="1554"/>
      <c r="Y43" s="34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91"/>
      <c r="Q44" s="1147">
        <f t="shared" si="11"/>
        <v>111</v>
      </c>
      <c r="R44" s="1555" t="s">
        <v>8</v>
      </c>
      <c r="S44" s="1556">
        <f t="shared" si="12"/>
        <v>100</v>
      </c>
      <c r="T44" s="1555" t="s">
        <v>8</v>
      </c>
      <c r="U44" s="1556">
        <f t="shared" si="13"/>
        <v>100</v>
      </c>
      <c r="V44" s="1555" t="s">
        <v>8</v>
      </c>
      <c r="W44" s="1556">
        <f t="shared" si="14"/>
        <v>100</v>
      </c>
      <c r="X44" s="1557"/>
      <c r="Y44" s="34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91"/>
      <c r="Q45" s="1559">
        <f t="shared" si="11"/>
        <v>111</v>
      </c>
      <c r="R45" s="1560" t="s">
        <v>8</v>
      </c>
      <c r="S45" s="1561">
        <f t="shared" si="12"/>
        <v>100</v>
      </c>
      <c r="T45" s="1560" t="s">
        <v>8</v>
      </c>
      <c r="U45" s="1561">
        <f t="shared" si="13"/>
        <v>100</v>
      </c>
      <c r="V45" s="1560" t="s">
        <v>8</v>
      </c>
      <c r="W45" s="1561">
        <f t="shared" si="14"/>
        <v>100</v>
      </c>
      <c r="X45" s="1554"/>
      <c r="Y45" s="349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72"/>
      <c r="Q46" s="1559">
        <f t="shared" si="11"/>
        <v>111</v>
      </c>
      <c r="R46" s="1560" t="s">
        <v>8</v>
      </c>
      <c r="S46" s="1561">
        <f t="shared" si="12"/>
        <v>100</v>
      </c>
      <c r="T46" s="1560" t="s">
        <v>8</v>
      </c>
      <c r="U46" s="1561">
        <f t="shared" si="13"/>
        <v>100</v>
      </c>
      <c r="V46" s="1560" t="s">
        <v>8</v>
      </c>
      <c r="W46" s="1561">
        <f t="shared" si="14"/>
        <v>100</v>
      </c>
      <c r="X46" s="1554"/>
      <c r="Y46" s="3572"/>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54" t="str">
        <f>A47</f>
        <v>成交单价（元/平方米）</v>
      </c>
      <c r="Q47" s="3454"/>
      <c r="R47" s="3571">
        <f>E47</f>
        <v>0</v>
      </c>
      <c r="S47" s="3571"/>
      <c r="T47" s="3571">
        <f>G47</f>
        <v>0</v>
      </c>
      <c r="U47" s="3571"/>
      <c r="V47" s="3571">
        <f>I47</f>
        <v>0</v>
      </c>
      <c r="W47" s="3571"/>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54" t="str">
        <f>A48</f>
        <v>比较价格（元/平方米）</v>
      </c>
      <c r="Q48" s="3454"/>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51" t="str">
        <f>A49</f>
        <v>估价对象XX用房的比较价格（楼面单价，元/平方米）</v>
      </c>
      <c r="Q49" s="3452"/>
      <c r="R49" s="3570" t="e">
        <f>IF(F1="售价",ROUND(AVERAGE(R48:V48),0),ROUND(AVERAGE(R48:V48),1))</f>
        <v>#DIV/0!</v>
      </c>
      <c r="S49" s="3570"/>
      <c r="T49" s="3570"/>
      <c r="U49" s="3570"/>
      <c r="V49" s="3570"/>
      <c r="W49" s="357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60" t="s">
        <v>522</v>
      </c>
      <c r="D4" s="3461"/>
      <c r="E4" s="3494" t="s">
        <v>523</v>
      </c>
      <c r="F4" s="3495"/>
      <c r="G4" s="3460" t="s">
        <v>524</v>
      </c>
      <c r="H4" s="3461"/>
      <c r="I4" s="3460" t="s">
        <v>525</v>
      </c>
      <c r="J4" s="3461"/>
      <c r="K4" s="514" t="s">
        <v>526</v>
      </c>
      <c r="L4" s="2119"/>
      <c r="M4" s="2120"/>
      <c r="N4" s="2120"/>
      <c r="O4" s="2120"/>
      <c r="P4" s="3574" t="s">
        <v>527</v>
      </c>
      <c r="Q4" s="3463"/>
      <c r="R4" s="3468" t="s">
        <v>523</v>
      </c>
      <c r="S4" s="3469"/>
      <c r="T4" s="3468" t="s">
        <v>524</v>
      </c>
      <c r="U4" s="3469"/>
      <c r="V4" s="3455" t="s">
        <v>525</v>
      </c>
      <c r="W4" s="3455"/>
      <c r="X4" s="1554"/>
      <c r="Y4" s="3468" t="s">
        <v>527</v>
      </c>
      <c r="Z4" s="3469"/>
      <c r="AA4" s="3457" t="s">
        <v>523</v>
      </c>
      <c r="AB4" s="3457" t="s">
        <v>524</v>
      </c>
      <c r="AC4" s="3457" t="s">
        <v>525</v>
      </c>
    </row>
    <row r="5" spans="1:29" ht="15">
      <c r="A5" s="515"/>
      <c r="B5" s="516"/>
      <c r="C5" s="3476" t="s">
        <v>2930</v>
      </c>
      <c r="D5" s="3477"/>
      <c r="E5" s="3496" t="s">
        <v>2931</v>
      </c>
      <c r="F5" s="3497"/>
      <c r="G5" s="3476" t="s">
        <v>2932</v>
      </c>
      <c r="H5" s="3477"/>
      <c r="I5" s="3476" t="s">
        <v>2933</v>
      </c>
      <c r="J5" s="3477"/>
      <c r="K5" s="514"/>
      <c r="L5" s="2119"/>
      <c r="M5" s="2120"/>
      <c r="N5" s="2120"/>
      <c r="O5" s="2120"/>
      <c r="P5" s="3575"/>
      <c r="Q5" s="3465"/>
      <c r="R5" s="3470"/>
      <c r="S5" s="3471"/>
      <c r="T5" s="3470"/>
      <c r="U5" s="3471"/>
      <c r="V5" s="3455"/>
      <c r="W5" s="3455"/>
      <c r="X5" s="1554"/>
      <c r="Y5" s="3470"/>
      <c r="Z5" s="3471"/>
      <c r="AA5" s="3458"/>
      <c r="AB5" s="3458"/>
      <c r="AC5" s="3458"/>
    </row>
    <row r="6" spans="1:29" ht="15.75" thickBot="1">
      <c r="A6" s="517"/>
      <c r="B6" s="518"/>
      <c r="C6" s="3474" t="s">
        <v>2934</v>
      </c>
      <c r="D6" s="3475"/>
      <c r="E6" s="3492" t="s">
        <v>2934</v>
      </c>
      <c r="F6" s="3493"/>
      <c r="G6" s="3474" t="s">
        <v>2934</v>
      </c>
      <c r="H6" s="3475"/>
      <c r="I6" s="3474" t="s">
        <v>2934</v>
      </c>
      <c r="J6" s="3475"/>
      <c r="K6" s="514" t="s">
        <v>528</v>
      </c>
      <c r="L6" s="2119"/>
      <c r="M6" s="2120"/>
      <c r="N6" s="2120"/>
      <c r="O6" s="2120"/>
      <c r="P6" s="3576"/>
      <c r="Q6" s="3467"/>
      <c r="R6" s="3470"/>
      <c r="S6" s="3471"/>
      <c r="T6" s="3472"/>
      <c r="U6" s="3473"/>
      <c r="V6" s="3455"/>
      <c r="W6" s="3455"/>
      <c r="X6" s="1554"/>
      <c r="Y6" s="3472"/>
      <c r="Z6" s="3473"/>
      <c r="AA6" s="3459"/>
      <c r="AB6" s="3459"/>
      <c r="AC6" s="3459"/>
    </row>
    <row r="7" spans="1:29" s="1216" customFormat="1" ht="15.75" thickBot="1">
      <c r="A7" s="2868"/>
      <c r="B7" s="2875" t="s">
        <v>529</v>
      </c>
      <c r="C7" s="519">
        <f>'数据-取费表'!B2</f>
        <v>43654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87" t="s">
        <v>530</v>
      </c>
      <c r="Q7" s="3487"/>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87" t="s">
        <v>533</v>
      </c>
      <c r="Q8" s="3486"/>
      <c r="R8" s="1555" t="s">
        <v>8</v>
      </c>
      <c r="S8" s="1556">
        <f t="shared" si="0"/>
        <v>0</v>
      </c>
      <c r="T8" s="1555" t="s">
        <v>8</v>
      </c>
      <c r="U8" s="1556">
        <f t="shared" si="1"/>
        <v>0</v>
      </c>
      <c r="V8" s="1555" t="s">
        <v>8</v>
      </c>
      <c r="W8" s="1556">
        <f t="shared" si="2"/>
        <v>0</v>
      </c>
      <c r="X8" s="1557"/>
      <c r="Y8" s="3485" t="s">
        <v>533</v>
      </c>
      <c r="Z8" s="3486"/>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54" t="s">
        <v>535</v>
      </c>
      <c r="Q9" s="1147" t="str">
        <f t="shared" ref="Q9:Q15" si="6">B9</f>
        <v>用途</v>
      </c>
      <c r="R9" s="1555" t="s">
        <v>8</v>
      </c>
      <c r="S9" s="1556">
        <f t="shared" si="0"/>
        <v>100</v>
      </c>
      <c r="T9" s="1555" t="s">
        <v>8</v>
      </c>
      <c r="U9" s="1556">
        <f t="shared" si="1"/>
        <v>100</v>
      </c>
      <c r="V9" s="1555" t="s">
        <v>8</v>
      </c>
      <c r="W9" s="1556">
        <f t="shared" si="2"/>
        <v>100</v>
      </c>
      <c r="X9" s="1557"/>
      <c r="Y9" s="340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54"/>
      <c r="Q10" s="1147" t="str">
        <f t="shared" si="6"/>
        <v>土地使用年限（年）</v>
      </c>
      <c r="R10" s="1555" t="s">
        <v>8</v>
      </c>
      <c r="S10" s="1556">
        <f t="shared" si="0"/>
        <v>100</v>
      </c>
      <c r="T10" s="1555" t="s">
        <v>8</v>
      </c>
      <c r="U10" s="1556">
        <f t="shared" si="1"/>
        <v>100</v>
      </c>
      <c r="V10" s="1555" t="s">
        <v>8</v>
      </c>
      <c r="W10" s="1556">
        <f t="shared" si="2"/>
        <v>100</v>
      </c>
      <c r="X10" s="1557"/>
      <c r="Y10" s="340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54"/>
      <c r="Q11" s="1147" t="str">
        <f t="shared" si="6"/>
        <v>容积率</v>
      </c>
      <c r="R11" s="1555" t="s">
        <v>8</v>
      </c>
      <c r="S11" s="1556" t="e">
        <f t="shared" si="0"/>
        <v>#N/A</v>
      </c>
      <c r="T11" s="1555" t="s">
        <v>8</v>
      </c>
      <c r="U11" s="1556" t="e">
        <f t="shared" si="1"/>
        <v>#N/A</v>
      </c>
      <c r="V11" s="1555" t="s">
        <v>8</v>
      </c>
      <c r="W11" s="1556" t="e">
        <f t="shared" si="2"/>
        <v>#N/A</v>
      </c>
      <c r="X11" s="1557"/>
      <c r="Y11" s="340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54"/>
      <c r="Q12" s="1147">
        <f t="shared" si="6"/>
        <v>111</v>
      </c>
      <c r="R12" s="1555" t="s">
        <v>8</v>
      </c>
      <c r="S12" s="1556">
        <f t="shared" si="0"/>
        <v>100</v>
      </c>
      <c r="T12" s="1555" t="s">
        <v>8</v>
      </c>
      <c r="U12" s="1556">
        <f t="shared" si="1"/>
        <v>100</v>
      </c>
      <c r="V12" s="1555" t="s">
        <v>8</v>
      </c>
      <c r="W12" s="1556">
        <f t="shared" si="2"/>
        <v>100</v>
      </c>
      <c r="X12" s="1557"/>
      <c r="Y12" s="340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54"/>
      <c r="Q13" s="1147">
        <f t="shared" si="6"/>
        <v>111</v>
      </c>
      <c r="R13" s="1555" t="s">
        <v>8</v>
      </c>
      <c r="S13" s="1556">
        <f t="shared" si="0"/>
        <v>100</v>
      </c>
      <c r="T13" s="1555" t="s">
        <v>8</v>
      </c>
      <c r="U13" s="1556">
        <f t="shared" si="1"/>
        <v>100</v>
      </c>
      <c r="V13" s="1555" t="s">
        <v>8</v>
      </c>
      <c r="W13" s="1556">
        <f t="shared" si="2"/>
        <v>100</v>
      </c>
      <c r="X13" s="1557"/>
      <c r="Y13" s="340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54"/>
      <c r="Q14" s="1147">
        <f t="shared" si="6"/>
        <v>111</v>
      </c>
      <c r="R14" s="1555" t="s">
        <v>8</v>
      </c>
      <c r="S14" s="1556">
        <f t="shared" si="0"/>
        <v>100</v>
      </c>
      <c r="T14" s="1555" t="s">
        <v>8</v>
      </c>
      <c r="U14" s="1556">
        <f t="shared" si="1"/>
        <v>100</v>
      </c>
      <c r="V14" s="1555" t="s">
        <v>8</v>
      </c>
      <c r="W14" s="1556">
        <f t="shared" si="2"/>
        <v>100</v>
      </c>
      <c r="X14" s="1557"/>
      <c r="Y14" s="3400"/>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88" t="s">
        <v>540</v>
      </c>
      <c r="Q15" s="1559" t="str">
        <f t="shared" si="6"/>
        <v>办公集聚程度</v>
      </c>
      <c r="R15" s="1560" t="s">
        <v>8</v>
      </c>
      <c r="S15" s="1561">
        <f t="shared" si="0"/>
        <v>100</v>
      </c>
      <c r="T15" s="1560" t="s">
        <v>8</v>
      </c>
      <c r="U15" s="1561">
        <f t="shared" si="1"/>
        <v>100</v>
      </c>
      <c r="V15" s="1560" t="s">
        <v>8</v>
      </c>
      <c r="W15" s="1561">
        <f t="shared" si="2"/>
        <v>100</v>
      </c>
      <c r="X15" s="1554"/>
      <c r="Y15" s="348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89"/>
      <c r="Q16" s="1559"/>
      <c r="R16" s="1560"/>
      <c r="S16" s="1561"/>
      <c r="T16" s="1560"/>
      <c r="U16" s="1561"/>
      <c r="V16" s="1560"/>
      <c r="W16" s="1561"/>
      <c r="X16" s="1554"/>
      <c r="Y16" s="348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89"/>
      <c r="Q17" s="1559" t="str">
        <f>B17</f>
        <v>交通便捷度</v>
      </c>
      <c r="R17" s="1560" t="s">
        <v>8</v>
      </c>
      <c r="S17" s="1561">
        <f>F17</f>
        <v>100</v>
      </c>
      <c r="T17" s="1560" t="s">
        <v>8</v>
      </c>
      <c r="U17" s="1561">
        <f>H17</f>
        <v>100</v>
      </c>
      <c r="V17" s="1560" t="s">
        <v>8</v>
      </c>
      <c r="W17" s="1561">
        <f>J17</f>
        <v>100</v>
      </c>
      <c r="X17" s="1554"/>
      <c r="Y17" s="348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89"/>
      <c r="Q18" s="1559"/>
      <c r="R18" s="1560"/>
      <c r="S18" s="1561"/>
      <c r="T18" s="1560"/>
      <c r="U18" s="1561"/>
      <c r="V18" s="1560"/>
      <c r="W18" s="1561"/>
      <c r="X18" s="1554"/>
      <c r="Y18" s="3489"/>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89"/>
      <c r="Q19" s="1559" t="str">
        <f>B19</f>
        <v>公共配套设施</v>
      </c>
      <c r="R19" s="1560" t="s">
        <v>8</v>
      </c>
      <c r="S19" s="1561">
        <f>F19</f>
        <v>100</v>
      </c>
      <c r="T19" s="1560" t="s">
        <v>8</v>
      </c>
      <c r="U19" s="1561">
        <f>H19</f>
        <v>100</v>
      </c>
      <c r="V19" s="1560" t="s">
        <v>8</v>
      </c>
      <c r="W19" s="1561">
        <f>J19</f>
        <v>100</v>
      </c>
      <c r="X19" s="1554"/>
      <c r="Y19" s="348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89"/>
      <c r="Q20" s="1559"/>
      <c r="R20" s="1560"/>
      <c r="S20" s="1561"/>
      <c r="T20" s="1560"/>
      <c r="U20" s="1561"/>
      <c r="V20" s="1560"/>
      <c r="W20" s="1561"/>
      <c r="X20" s="1554"/>
      <c r="Y20" s="3489"/>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89"/>
      <c r="Q21" s="2544" t="str">
        <f>B21</f>
        <v>基础设施水平</v>
      </c>
      <c r="R21" s="1560" t="s">
        <v>8</v>
      </c>
      <c r="S21" s="1561">
        <f>F21</f>
        <v>100</v>
      </c>
      <c r="T21" s="1560" t="s">
        <v>8</v>
      </c>
      <c r="U21" s="1561">
        <f>H21</f>
        <v>100</v>
      </c>
      <c r="V21" s="1560" t="s">
        <v>8</v>
      </c>
      <c r="W21" s="1561">
        <f>J21</f>
        <v>100</v>
      </c>
      <c r="X21" s="2546"/>
      <c r="Y21" s="348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89"/>
      <c r="Q22" s="2544"/>
      <c r="R22" s="1560"/>
      <c r="S22" s="1561"/>
      <c r="T22" s="1560"/>
      <c r="U22" s="1561"/>
      <c r="V22" s="1560"/>
      <c r="W22" s="1561"/>
      <c r="X22" s="2546"/>
      <c r="Y22" s="348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89"/>
      <c r="Q23" s="1559" t="str">
        <f>B23</f>
        <v>环境质量</v>
      </c>
      <c r="R23" s="1560" t="s">
        <v>8</v>
      </c>
      <c r="S23" s="1561">
        <f>F23</f>
        <v>100</v>
      </c>
      <c r="T23" s="1560" t="s">
        <v>8</v>
      </c>
      <c r="U23" s="1561">
        <f>H23</f>
        <v>100</v>
      </c>
      <c r="V23" s="1560" t="s">
        <v>8</v>
      </c>
      <c r="W23" s="1561">
        <f>J23</f>
        <v>100</v>
      </c>
      <c r="X23" s="1554"/>
      <c r="Y23" s="348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89"/>
      <c r="Q24" s="1559"/>
      <c r="R24" s="1560"/>
      <c r="S24" s="1561"/>
      <c r="T24" s="1560"/>
      <c r="U24" s="1561"/>
      <c r="V24" s="1560"/>
      <c r="W24" s="1561"/>
      <c r="X24" s="1554"/>
      <c r="Y24" s="348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89"/>
      <c r="Q25" s="1559" t="str">
        <f>B25</f>
        <v>毗邻道路的类型与等级</v>
      </c>
      <c r="R25" s="1560" t="s">
        <v>8</v>
      </c>
      <c r="S25" s="1561">
        <f>F25</f>
        <v>100</v>
      </c>
      <c r="T25" s="1560" t="s">
        <v>8</v>
      </c>
      <c r="U25" s="1561">
        <f>H25</f>
        <v>100</v>
      </c>
      <c r="V25" s="1560" t="s">
        <v>8</v>
      </c>
      <c r="W25" s="1561">
        <f>J25</f>
        <v>100</v>
      </c>
      <c r="X25" s="1554"/>
      <c r="Y25" s="348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89"/>
      <c r="Q26" s="1559"/>
      <c r="R26" s="1560"/>
      <c r="S26" s="1561"/>
      <c r="T26" s="1560"/>
      <c r="U26" s="1561"/>
      <c r="V26" s="1560"/>
      <c r="W26" s="1561"/>
      <c r="X26" s="1554"/>
      <c r="Y26" s="348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89"/>
      <c r="Q27" s="1559" t="str">
        <f t="shared" ref="Q27:Q47" si="11">B27</f>
        <v>楼层</v>
      </c>
      <c r="R27" s="1560" t="s">
        <v>8</v>
      </c>
      <c r="S27" s="1561">
        <f>F27</f>
        <v>100</v>
      </c>
      <c r="T27" s="1560" t="s">
        <v>8</v>
      </c>
      <c r="U27" s="1561">
        <f>H27</f>
        <v>100</v>
      </c>
      <c r="V27" s="1560" t="s">
        <v>8</v>
      </c>
      <c r="W27" s="1561">
        <f>J27</f>
        <v>100</v>
      </c>
      <c r="X27" s="1554"/>
      <c r="Y27" s="348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89"/>
      <c r="Q28" s="1147" t="str">
        <f t="shared" si="11"/>
        <v>朝向</v>
      </c>
      <c r="R28" s="1555" t="s">
        <v>8</v>
      </c>
      <c r="S28" s="1556">
        <f>F28</f>
        <v>100</v>
      </c>
      <c r="T28" s="1555" t="s">
        <v>8</v>
      </c>
      <c r="U28" s="1556">
        <f>H28</f>
        <v>100</v>
      </c>
      <c r="V28" s="1555" t="s">
        <v>8</v>
      </c>
      <c r="W28" s="1556">
        <f>J28</f>
        <v>100</v>
      </c>
      <c r="X28" s="1557"/>
      <c r="Y28" s="348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89"/>
      <c r="Q29" s="1559">
        <f t="shared" si="11"/>
        <v>111</v>
      </c>
      <c r="R29" s="1560" t="s">
        <v>8</v>
      </c>
      <c r="S29" s="1561">
        <f t="shared" ref="S29:S47" si="12">F29</f>
        <v>100</v>
      </c>
      <c r="T29" s="1560" t="s">
        <v>8</v>
      </c>
      <c r="U29" s="1561">
        <f t="shared" ref="U29:U47" si="13">H29</f>
        <v>100</v>
      </c>
      <c r="V29" s="1560" t="s">
        <v>8</v>
      </c>
      <c r="W29" s="1561">
        <f t="shared" ref="W29:W47" si="14">J29</f>
        <v>100</v>
      </c>
      <c r="X29" s="1554"/>
      <c r="Y29" s="348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89"/>
      <c r="Q30" s="1559">
        <f t="shared" si="11"/>
        <v>111</v>
      </c>
      <c r="R30" s="1560" t="s">
        <v>8</v>
      </c>
      <c r="S30" s="1561">
        <f t="shared" si="12"/>
        <v>100</v>
      </c>
      <c r="T30" s="1560" t="s">
        <v>8</v>
      </c>
      <c r="U30" s="1561">
        <f t="shared" si="13"/>
        <v>100</v>
      </c>
      <c r="V30" s="1560" t="s">
        <v>8</v>
      </c>
      <c r="W30" s="1561">
        <f t="shared" si="14"/>
        <v>100</v>
      </c>
      <c r="X30" s="1554"/>
      <c r="Y30" s="348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89"/>
      <c r="Q31" s="1559">
        <f t="shared" si="11"/>
        <v>111</v>
      </c>
      <c r="R31" s="1560" t="s">
        <v>8</v>
      </c>
      <c r="S31" s="1561">
        <f t="shared" si="12"/>
        <v>100</v>
      </c>
      <c r="T31" s="1560" t="s">
        <v>8</v>
      </c>
      <c r="U31" s="1561">
        <f t="shared" si="13"/>
        <v>100</v>
      </c>
      <c r="V31" s="1560" t="s">
        <v>8</v>
      </c>
      <c r="W31" s="1561">
        <f t="shared" si="14"/>
        <v>100</v>
      </c>
      <c r="X31" s="1554"/>
      <c r="Y31" s="348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89"/>
      <c r="Q32" s="1559">
        <f t="shared" si="11"/>
        <v>111</v>
      </c>
      <c r="R32" s="1560" t="s">
        <v>8</v>
      </c>
      <c r="S32" s="1561">
        <f t="shared" si="12"/>
        <v>100</v>
      </c>
      <c r="T32" s="1560" t="s">
        <v>8</v>
      </c>
      <c r="U32" s="1561">
        <f t="shared" si="13"/>
        <v>100</v>
      </c>
      <c r="V32" s="1560" t="s">
        <v>8</v>
      </c>
      <c r="W32" s="1561">
        <f t="shared" si="14"/>
        <v>100</v>
      </c>
      <c r="X32" s="1554"/>
      <c r="Y32" s="3489"/>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90" t="s">
        <v>550</v>
      </c>
      <c r="Q33" s="1559" t="str">
        <f t="shared" si="11"/>
        <v>建筑类型</v>
      </c>
      <c r="R33" s="1560" t="s">
        <v>8</v>
      </c>
      <c r="S33" s="1561">
        <f t="shared" si="12"/>
        <v>100</v>
      </c>
      <c r="T33" s="1560" t="s">
        <v>8</v>
      </c>
      <c r="U33" s="1561">
        <f t="shared" si="13"/>
        <v>100</v>
      </c>
      <c r="V33" s="1560" t="s">
        <v>8</v>
      </c>
      <c r="W33" s="1561">
        <f t="shared" si="14"/>
        <v>100</v>
      </c>
      <c r="X33" s="1554"/>
      <c r="Y33" s="349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91"/>
      <c r="Q34" s="1591" t="str">
        <f t="shared" si="11"/>
        <v>项目建筑规模</v>
      </c>
      <c r="R34" s="1564" t="s">
        <v>8</v>
      </c>
      <c r="S34" s="1565" t="e">
        <f t="shared" si="12"/>
        <v>#N/A</v>
      </c>
      <c r="T34" s="1564" t="s">
        <v>8</v>
      </c>
      <c r="U34" s="1565" t="e">
        <f t="shared" si="13"/>
        <v>#N/A</v>
      </c>
      <c r="V34" s="1564" t="s">
        <v>8</v>
      </c>
      <c r="W34" s="1565" t="e">
        <f t="shared" si="14"/>
        <v>#N/A</v>
      </c>
      <c r="X34" s="1566"/>
      <c r="Y34" s="349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91"/>
      <c r="Q35" s="1559" t="str">
        <f t="shared" si="11"/>
        <v>建筑结构</v>
      </c>
      <c r="R35" s="1560" t="s">
        <v>8</v>
      </c>
      <c r="S35" s="1561">
        <f t="shared" si="12"/>
        <v>100</v>
      </c>
      <c r="T35" s="1560" t="s">
        <v>8</v>
      </c>
      <c r="U35" s="1561">
        <f t="shared" si="13"/>
        <v>100</v>
      </c>
      <c r="V35" s="1560" t="s">
        <v>8</v>
      </c>
      <c r="W35" s="1561">
        <f t="shared" si="14"/>
        <v>100</v>
      </c>
      <c r="X35" s="1554"/>
      <c r="Y35" s="349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91"/>
      <c r="Q36" s="1559" t="str">
        <f t="shared" si="11"/>
        <v>公共部分装修</v>
      </c>
      <c r="R36" s="1560" t="s">
        <v>8</v>
      </c>
      <c r="S36" s="1561">
        <f t="shared" si="12"/>
        <v>100</v>
      </c>
      <c r="T36" s="1560" t="s">
        <v>8</v>
      </c>
      <c r="U36" s="1561">
        <f t="shared" si="13"/>
        <v>100</v>
      </c>
      <c r="V36" s="1560" t="s">
        <v>8</v>
      </c>
      <c r="W36" s="1561">
        <f t="shared" si="14"/>
        <v>100</v>
      </c>
      <c r="X36" s="1554"/>
      <c r="Y36" s="349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91"/>
      <c r="Q37" s="1559" t="str">
        <f t="shared" si="11"/>
        <v>成新度</v>
      </c>
      <c r="R37" s="1560" t="s">
        <v>8</v>
      </c>
      <c r="S37" s="1561" t="e">
        <f t="shared" si="12"/>
        <v>#N/A</v>
      </c>
      <c r="T37" s="1560" t="s">
        <v>8</v>
      </c>
      <c r="U37" s="1561" t="e">
        <f t="shared" si="13"/>
        <v>#N/A</v>
      </c>
      <c r="V37" s="1560" t="s">
        <v>8</v>
      </c>
      <c r="W37" s="1561" t="e">
        <f t="shared" si="14"/>
        <v>#N/A</v>
      </c>
      <c r="X37" s="1554"/>
      <c r="Y37" s="349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91"/>
      <c r="Q38" s="1147" t="str">
        <f t="shared" si="11"/>
        <v>写字楼等级</v>
      </c>
      <c r="R38" s="1555" t="s">
        <v>8</v>
      </c>
      <c r="S38" s="1556">
        <f t="shared" si="12"/>
        <v>100</v>
      </c>
      <c r="T38" s="1555" t="s">
        <v>8</v>
      </c>
      <c r="U38" s="1556">
        <f t="shared" si="13"/>
        <v>100</v>
      </c>
      <c r="V38" s="1555" t="s">
        <v>8</v>
      </c>
      <c r="W38" s="1556">
        <f t="shared" si="14"/>
        <v>100</v>
      </c>
      <c r="X38" s="1557"/>
      <c r="Y38" s="349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91" t="s">
        <v>550</v>
      </c>
      <c r="Q39" s="1559" t="str">
        <f t="shared" si="11"/>
        <v>物业管理</v>
      </c>
      <c r="R39" s="1560" t="s">
        <v>8</v>
      </c>
      <c r="S39" s="1561">
        <f t="shared" si="12"/>
        <v>100</v>
      </c>
      <c r="T39" s="1560" t="s">
        <v>8</v>
      </c>
      <c r="U39" s="1561">
        <f t="shared" si="13"/>
        <v>100</v>
      </c>
      <c r="V39" s="1560" t="s">
        <v>8</v>
      </c>
      <c r="W39" s="1561">
        <f t="shared" si="14"/>
        <v>100</v>
      </c>
      <c r="X39" s="1554"/>
      <c r="Y39" s="3491"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91"/>
      <c r="Q40" s="1559" t="str">
        <f t="shared" si="11"/>
        <v>市政基础设施</v>
      </c>
      <c r="R40" s="1560" t="s">
        <v>8</v>
      </c>
      <c r="S40" s="1561">
        <f t="shared" si="12"/>
        <v>100</v>
      </c>
      <c r="T40" s="1560" t="s">
        <v>8</v>
      </c>
      <c r="U40" s="1561">
        <f t="shared" si="13"/>
        <v>100</v>
      </c>
      <c r="V40" s="1560" t="s">
        <v>8</v>
      </c>
      <c r="W40" s="1561">
        <f t="shared" si="14"/>
        <v>100</v>
      </c>
      <c r="X40" s="1554"/>
      <c r="Y40" s="349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91"/>
      <c r="Q41" s="1559" t="str">
        <f t="shared" si="11"/>
        <v>层高</v>
      </c>
      <c r="R41" s="1560" t="s">
        <v>8</v>
      </c>
      <c r="S41" s="1561">
        <f t="shared" si="12"/>
        <v>100</v>
      </c>
      <c r="T41" s="1560" t="s">
        <v>8</v>
      </c>
      <c r="U41" s="1561">
        <f t="shared" si="13"/>
        <v>100</v>
      </c>
      <c r="V41" s="1560" t="s">
        <v>8</v>
      </c>
      <c r="W41" s="1561">
        <f t="shared" si="14"/>
        <v>100</v>
      </c>
      <c r="X41" s="1554"/>
      <c r="Y41" s="349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91"/>
      <c r="Q42" s="1591" t="str">
        <f t="shared" si="11"/>
        <v>单套建筑面积</v>
      </c>
      <c r="R42" s="1564" t="s">
        <v>8</v>
      </c>
      <c r="S42" s="1565">
        <f t="shared" si="12"/>
        <v>100</v>
      </c>
      <c r="T42" s="1564" t="s">
        <v>8</v>
      </c>
      <c r="U42" s="1565">
        <f t="shared" si="13"/>
        <v>100</v>
      </c>
      <c r="V42" s="1564" t="s">
        <v>8</v>
      </c>
      <c r="W42" s="1565">
        <f t="shared" si="14"/>
        <v>100</v>
      </c>
      <c r="X42" s="1566"/>
      <c r="Y42" s="349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91"/>
      <c r="Q43" s="1559" t="str">
        <f t="shared" si="11"/>
        <v>内部装修</v>
      </c>
      <c r="R43" s="1560" t="s">
        <v>8</v>
      </c>
      <c r="S43" s="1561">
        <f t="shared" si="12"/>
        <v>100</v>
      </c>
      <c r="T43" s="1560" t="s">
        <v>8</v>
      </c>
      <c r="U43" s="1561">
        <f t="shared" si="13"/>
        <v>100</v>
      </c>
      <c r="V43" s="1560" t="s">
        <v>8</v>
      </c>
      <c r="W43" s="1561">
        <f t="shared" si="14"/>
        <v>100</v>
      </c>
      <c r="X43" s="1554"/>
      <c r="Y43" s="349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91"/>
      <c r="Q44" s="1559" t="str">
        <f t="shared" si="11"/>
        <v>内部装修维护情况</v>
      </c>
      <c r="R44" s="1560" t="s">
        <v>8</v>
      </c>
      <c r="S44" s="1561">
        <f t="shared" si="12"/>
        <v>100</v>
      </c>
      <c r="T44" s="1560" t="s">
        <v>8</v>
      </c>
      <c r="U44" s="1561">
        <f t="shared" si="13"/>
        <v>100</v>
      </c>
      <c r="V44" s="1560" t="s">
        <v>8</v>
      </c>
      <c r="W44" s="1561">
        <f t="shared" si="14"/>
        <v>100</v>
      </c>
      <c r="X44" s="1554"/>
      <c r="Y44" s="349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91"/>
      <c r="Q45" s="1147">
        <f t="shared" si="11"/>
        <v>111</v>
      </c>
      <c r="R45" s="1555" t="s">
        <v>8</v>
      </c>
      <c r="S45" s="1556">
        <f t="shared" si="12"/>
        <v>100</v>
      </c>
      <c r="T45" s="1555" t="s">
        <v>8</v>
      </c>
      <c r="U45" s="1556">
        <f t="shared" si="13"/>
        <v>100</v>
      </c>
      <c r="V45" s="1555" t="s">
        <v>8</v>
      </c>
      <c r="W45" s="1556">
        <f t="shared" si="14"/>
        <v>100</v>
      </c>
      <c r="X45" s="1557"/>
      <c r="Y45" s="349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91"/>
      <c r="Q46" s="1559">
        <f t="shared" si="11"/>
        <v>111</v>
      </c>
      <c r="R46" s="1560" t="s">
        <v>8</v>
      </c>
      <c r="S46" s="1561">
        <f t="shared" si="12"/>
        <v>100</v>
      </c>
      <c r="T46" s="1560" t="s">
        <v>8</v>
      </c>
      <c r="U46" s="1561">
        <f t="shared" si="13"/>
        <v>100</v>
      </c>
      <c r="V46" s="1560" t="s">
        <v>8</v>
      </c>
      <c r="W46" s="1561">
        <f t="shared" si="14"/>
        <v>100</v>
      </c>
      <c r="X46" s="1554"/>
      <c r="Y46" s="349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72"/>
      <c r="Q47" s="1559">
        <f t="shared" si="11"/>
        <v>111</v>
      </c>
      <c r="R47" s="1560" t="s">
        <v>8</v>
      </c>
      <c r="S47" s="1561">
        <f t="shared" si="12"/>
        <v>100</v>
      </c>
      <c r="T47" s="1560" t="s">
        <v>8</v>
      </c>
      <c r="U47" s="1561">
        <f t="shared" si="13"/>
        <v>100</v>
      </c>
      <c r="V47" s="1560" t="s">
        <v>8</v>
      </c>
      <c r="W47" s="1561">
        <f t="shared" si="14"/>
        <v>100</v>
      </c>
      <c r="X47" s="1554"/>
      <c r="Y47" s="3572"/>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52" t="str">
        <f>A48</f>
        <v>成交单价（元/平方米）</v>
      </c>
      <c r="Q48" s="3454"/>
      <c r="R48" s="3571">
        <f>E48</f>
        <v>0</v>
      </c>
      <c r="S48" s="3571"/>
      <c r="T48" s="3571">
        <f>G48</f>
        <v>0</v>
      </c>
      <c r="U48" s="3571"/>
      <c r="V48" s="3571">
        <f>I48</f>
        <v>0</v>
      </c>
      <c r="W48" s="3571"/>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52" t="str">
        <f>A49</f>
        <v>比较价格（元/平方米）</v>
      </c>
      <c r="Q49" s="3454"/>
      <c r="R49" s="3571" t="e">
        <f>IF(F1="售价",ROUND(PRODUCT(R48,AA7:AA47),0),ROUND(PRODUCT(R48,AA7:AA47),1))</f>
        <v>#DIV/0!</v>
      </c>
      <c r="S49" s="3571"/>
      <c r="T49" s="3571" t="e">
        <f>IF(F1="售价",ROUND(PRODUCT(T48,AB7:AB47),0),ROUND(PRODUCT(T48,AB7:AB47),1))</f>
        <v>#DIV/0!</v>
      </c>
      <c r="U49" s="3571"/>
      <c r="V49" s="3571" t="e">
        <f>IF(F1="售价",ROUND(PRODUCT(V48,AC7:AC47),0),ROUND(PRODUCT(V48,AC7:AC47),1))</f>
        <v>#DIV/0!</v>
      </c>
      <c r="W49" s="3571"/>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573" t="str">
        <f>A50</f>
        <v>估价对象XX用房的比较价格（楼面单价，元/平方米）</v>
      </c>
      <c r="Q50" s="3452"/>
      <c r="R50" s="3570" t="e">
        <f>IF(F1="售价",ROUND(AVERAGE(R49:V49),0),ROUND(AVERAGE(R49:V49),1))</f>
        <v>#DIV/0!</v>
      </c>
      <c r="S50" s="3570"/>
      <c r="T50" s="3570"/>
      <c r="U50" s="3570"/>
      <c r="V50" s="3570"/>
      <c r="W50" s="357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60" t="s">
        <v>522</v>
      </c>
      <c r="D4" s="3461"/>
      <c r="E4" s="3494" t="s">
        <v>523</v>
      </c>
      <c r="F4" s="3495"/>
      <c r="G4" s="3460" t="s">
        <v>524</v>
      </c>
      <c r="H4" s="3461"/>
      <c r="I4" s="3460" t="s">
        <v>525</v>
      </c>
      <c r="J4" s="3461"/>
      <c r="K4" s="514" t="s">
        <v>526</v>
      </c>
      <c r="L4" s="2119"/>
      <c r="M4" s="2120"/>
      <c r="N4" s="2120"/>
      <c r="O4" s="2120"/>
      <c r="P4" s="3462" t="s">
        <v>527</v>
      </c>
      <c r="Q4" s="3463"/>
      <c r="R4" s="3468" t="s">
        <v>523</v>
      </c>
      <c r="S4" s="3469"/>
      <c r="T4" s="3468" t="s">
        <v>524</v>
      </c>
      <c r="U4" s="3469"/>
      <c r="V4" s="3455" t="s">
        <v>525</v>
      </c>
      <c r="W4" s="3455"/>
      <c r="X4" s="1554"/>
      <c r="Y4" s="3468" t="s">
        <v>527</v>
      </c>
      <c r="Z4" s="3469"/>
      <c r="AA4" s="3457" t="s">
        <v>523</v>
      </c>
      <c r="AB4" s="3458" t="s">
        <v>524</v>
      </c>
      <c r="AC4" s="3457" t="s">
        <v>525</v>
      </c>
    </row>
    <row r="5" spans="1:29" ht="15">
      <c r="A5" s="515"/>
      <c r="B5" s="516"/>
      <c r="C5" s="3476" t="s">
        <v>2930</v>
      </c>
      <c r="D5" s="3477"/>
      <c r="E5" s="3496" t="s">
        <v>2931</v>
      </c>
      <c r="F5" s="3497"/>
      <c r="G5" s="3476" t="s">
        <v>2932</v>
      </c>
      <c r="H5" s="3477"/>
      <c r="I5" s="3476" t="s">
        <v>2933</v>
      </c>
      <c r="J5" s="3477"/>
      <c r="K5" s="514"/>
      <c r="L5" s="2119"/>
      <c r="M5" s="2120"/>
      <c r="N5" s="2120"/>
      <c r="O5" s="2120"/>
      <c r="P5" s="3464"/>
      <c r="Q5" s="3465"/>
      <c r="R5" s="3470"/>
      <c r="S5" s="3471"/>
      <c r="T5" s="3470"/>
      <c r="U5" s="3471"/>
      <c r="V5" s="3455"/>
      <c r="W5" s="3455"/>
      <c r="X5" s="1554"/>
      <c r="Y5" s="3470"/>
      <c r="Z5" s="3471"/>
      <c r="AA5" s="3458"/>
      <c r="AB5" s="3458"/>
      <c r="AC5" s="3458"/>
    </row>
    <row r="6" spans="1:29" ht="15.75" thickBot="1">
      <c r="A6" s="517"/>
      <c r="B6" s="518"/>
      <c r="C6" s="3474" t="s">
        <v>2934</v>
      </c>
      <c r="D6" s="3475"/>
      <c r="E6" s="3492" t="s">
        <v>2934</v>
      </c>
      <c r="F6" s="3493"/>
      <c r="G6" s="3474" t="s">
        <v>2934</v>
      </c>
      <c r="H6" s="3475"/>
      <c r="I6" s="3474" t="s">
        <v>2934</v>
      </c>
      <c r="J6" s="3475"/>
      <c r="K6" s="514" t="s">
        <v>528</v>
      </c>
      <c r="L6" s="2119"/>
      <c r="M6" s="2120"/>
      <c r="N6" s="2120"/>
      <c r="O6" s="2120"/>
      <c r="P6" s="3466"/>
      <c r="Q6" s="3467"/>
      <c r="R6" s="3470"/>
      <c r="S6" s="3471"/>
      <c r="T6" s="3472"/>
      <c r="U6" s="3473"/>
      <c r="V6" s="3455"/>
      <c r="W6" s="3455"/>
      <c r="X6" s="1554"/>
      <c r="Y6" s="3472"/>
      <c r="Z6" s="3473"/>
      <c r="AA6" s="3459"/>
      <c r="AB6" s="3459"/>
      <c r="AC6" s="3459"/>
    </row>
    <row r="7" spans="1:29" s="1216" customFormat="1" ht="15.75" thickBot="1">
      <c r="A7" s="2868"/>
      <c r="B7" s="2875" t="s">
        <v>529</v>
      </c>
      <c r="C7" s="519">
        <f>'数据-取费表'!B2</f>
        <v>43654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85" t="s">
        <v>530</v>
      </c>
      <c r="Q7" s="3487"/>
      <c r="R7" s="1555" t="s">
        <v>8</v>
      </c>
      <c r="S7" s="1556">
        <f t="shared" ref="S7:S15" si="0">F7</f>
        <v>0</v>
      </c>
      <c r="T7" s="1555" t="s">
        <v>8</v>
      </c>
      <c r="U7" s="1556">
        <f t="shared" ref="U7:U15" si="1">H7</f>
        <v>0</v>
      </c>
      <c r="V7" s="1555" t="s">
        <v>8</v>
      </c>
      <c r="W7" s="1556">
        <f t="shared" ref="W7:W15" si="2">J7</f>
        <v>0</v>
      </c>
      <c r="X7" s="1557"/>
      <c r="Y7" s="3485" t="s">
        <v>530</v>
      </c>
      <c r="Z7" s="348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85" t="s">
        <v>533</v>
      </c>
      <c r="Q8" s="3486"/>
      <c r="R8" s="1555" t="s">
        <v>8</v>
      </c>
      <c r="S8" s="1556">
        <f t="shared" si="0"/>
        <v>0</v>
      </c>
      <c r="T8" s="1555" t="s">
        <v>8</v>
      </c>
      <c r="U8" s="1556">
        <f t="shared" si="1"/>
        <v>0</v>
      </c>
      <c r="V8" s="1555" t="s">
        <v>8</v>
      </c>
      <c r="W8" s="1556">
        <f t="shared" si="2"/>
        <v>0</v>
      </c>
      <c r="X8" s="1557"/>
      <c r="Y8" s="3485" t="s">
        <v>533</v>
      </c>
      <c r="Z8" s="3486"/>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54" t="s">
        <v>535</v>
      </c>
      <c r="Q9" s="1147" t="str">
        <f t="shared" ref="Q9:Q15" si="6">B9</f>
        <v>用途</v>
      </c>
      <c r="R9" s="1555" t="s">
        <v>8</v>
      </c>
      <c r="S9" s="1556">
        <f t="shared" si="0"/>
        <v>100</v>
      </c>
      <c r="T9" s="1555" t="s">
        <v>8</v>
      </c>
      <c r="U9" s="1556">
        <f t="shared" si="1"/>
        <v>100</v>
      </c>
      <c r="V9" s="1555" t="s">
        <v>8</v>
      </c>
      <c r="W9" s="1556">
        <f t="shared" si="2"/>
        <v>100</v>
      </c>
      <c r="X9" s="1557"/>
      <c r="Y9" s="340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54"/>
      <c r="Q10" s="1147" t="str">
        <f t="shared" si="6"/>
        <v>土地使用年限（年）</v>
      </c>
      <c r="R10" s="1555" t="s">
        <v>8</v>
      </c>
      <c r="S10" s="1556">
        <f t="shared" si="0"/>
        <v>100</v>
      </c>
      <c r="T10" s="1555" t="s">
        <v>8</v>
      </c>
      <c r="U10" s="1556">
        <f t="shared" si="1"/>
        <v>100</v>
      </c>
      <c r="V10" s="1555" t="s">
        <v>8</v>
      </c>
      <c r="W10" s="1556">
        <f t="shared" si="2"/>
        <v>100</v>
      </c>
      <c r="X10" s="1557"/>
      <c r="Y10" s="340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54"/>
      <c r="Q11" s="1147" t="str">
        <f t="shared" si="6"/>
        <v>容积率</v>
      </c>
      <c r="R11" s="1555" t="s">
        <v>8</v>
      </c>
      <c r="S11" s="1556" t="e">
        <f t="shared" si="0"/>
        <v>#N/A</v>
      </c>
      <c r="T11" s="1555" t="s">
        <v>8</v>
      </c>
      <c r="U11" s="1556" t="e">
        <f t="shared" si="1"/>
        <v>#N/A</v>
      </c>
      <c r="V11" s="1555" t="s">
        <v>8</v>
      </c>
      <c r="W11" s="1556" t="e">
        <f t="shared" si="2"/>
        <v>#N/A</v>
      </c>
      <c r="X11" s="1557"/>
      <c r="Y11" s="340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54"/>
      <c r="Q12" s="1147">
        <f t="shared" si="6"/>
        <v>111</v>
      </c>
      <c r="R12" s="1555" t="s">
        <v>8</v>
      </c>
      <c r="S12" s="1556">
        <f t="shared" si="0"/>
        <v>100</v>
      </c>
      <c r="T12" s="1555" t="s">
        <v>8</v>
      </c>
      <c r="U12" s="1556">
        <f t="shared" si="1"/>
        <v>100</v>
      </c>
      <c r="V12" s="1555" t="s">
        <v>8</v>
      </c>
      <c r="W12" s="1556">
        <f t="shared" si="2"/>
        <v>100</v>
      </c>
      <c r="X12" s="1557"/>
      <c r="Y12" s="340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54"/>
      <c r="Q13" s="1147">
        <f t="shared" si="6"/>
        <v>111</v>
      </c>
      <c r="R13" s="1555" t="s">
        <v>8</v>
      </c>
      <c r="S13" s="1556">
        <f t="shared" si="0"/>
        <v>100</v>
      </c>
      <c r="T13" s="1555" t="s">
        <v>8</v>
      </c>
      <c r="U13" s="1556">
        <f t="shared" si="1"/>
        <v>100</v>
      </c>
      <c r="V13" s="1555" t="s">
        <v>8</v>
      </c>
      <c r="W13" s="1556">
        <f t="shared" si="2"/>
        <v>100</v>
      </c>
      <c r="X13" s="1557"/>
      <c r="Y13" s="340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54"/>
      <c r="Q14" s="1147">
        <f t="shared" si="6"/>
        <v>111</v>
      </c>
      <c r="R14" s="1555" t="s">
        <v>8</v>
      </c>
      <c r="S14" s="1556">
        <f t="shared" si="0"/>
        <v>100</v>
      </c>
      <c r="T14" s="1555" t="s">
        <v>8</v>
      </c>
      <c r="U14" s="1556">
        <f t="shared" si="1"/>
        <v>100</v>
      </c>
      <c r="V14" s="1555" t="s">
        <v>8</v>
      </c>
      <c r="W14" s="1556">
        <f t="shared" si="2"/>
        <v>100</v>
      </c>
      <c r="X14" s="1557"/>
      <c r="Y14" s="3400"/>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88" t="s">
        <v>540</v>
      </c>
      <c r="Q15" s="1559" t="str">
        <f t="shared" si="6"/>
        <v>产业集聚程度</v>
      </c>
      <c r="R15" s="1560" t="s">
        <v>8</v>
      </c>
      <c r="S15" s="1561">
        <f t="shared" si="0"/>
        <v>100</v>
      </c>
      <c r="T15" s="1560" t="s">
        <v>8</v>
      </c>
      <c r="U15" s="1561">
        <f t="shared" si="1"/>
        <v>100</v>
      </c>
      <c r="V15" s="1560" t="s">
        <v>8</v>
      </c>
      <c r="W15" s="1561">
        <f t="shared" si="2"/>
        <v>100</v>
      </c>
      <c r="X15" s="1554"/>
      <c r="Y15" s="348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89"/>
      <c r="Q16" s="1559"/>
      <c r="R16" s="1560"/>
      <c r="S16" s="1561"/>
      <c r="T16" s="1560"/>
      <c r="U16" s="1561"/>
      <c r="V16" s="1560"/>
      <c r="W16" s="1561"/>
      <c r="X16" s="1554"/>
      <c r="Y16" s="348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89"/>
      <c r="Q17" s="1559" t="str">
        <f>B17</f>
        <v>交通便捷度</v>
      </c>
      <c r="R17" s="1560" t="s">
        <v>8</v>
      </c>
      <c r="S17" s="1561">
        <f>F17</f>
        <v>100</v>
      </c>
      <c r="T17" s="1560" t="s">
        <v>8</v>
      </c>
      <c r="U17" s="1561">
        <f>H17</f>
        <v>100</v>
      </c>
      <c r="V17" s="1560" t="s">
        <v>8</v>
      </c>
      <c r="W17" s="1561">
        <f>J17</f>
        <v>100</v>
      </c>
      <c r="X17" s="1554"/>
      <c r="Y17" s="34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89"/>
      <c r="Q18" s="1559"/>
      <c r="R18" s="1560"/>
      <c r="S18" s="1561"/>
      <c r="T18" s="1560"/>
      <c r="U18" s="1561"/>
      <c r="V18" s="1560"/>
      <c r="W18" s="1561"/>
      <c r="X18" s="1554"/>
      <c r="Y18" s="3489"/>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89"/>
      <c r="Q19" s="1559" t="str">
        <f>B19</f>
        <v>公共配套设施</v>
      </c>
      <c r="R19" s="1560" t="s">
        <v>8</v>
      </c>
      <c r="S19" s="1561">
        <f>F19</f>
        <v>100</v>
      </c>
      <c r="T19" s="1560" t="s">
        <v>8</v>
      </c>
      <c r="U19" s="1561">
        <f>H19</f>
        <v>100</v>
      </c>
      <c r="V19" s="1560" t="s">
        <v>8</v>
      </c>
      <c r="W19" s="1561">
        <f>J19</f>
        <v>100</v>
      </c>
      <c r="X19" s="1554"/>
      <c r="Y19" s="348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89"/>
      <c r="Q20" s="1559"/>
      <c r="R20" s="1560"/>
      <c r="S20" s="1561"/>
      <c r="T20" s="1560"/>
      <c r="U20" s="1561"/>
      <c r="V20" s="1560"/>
      <c r="W20" s="1561"/>
      <c r="X20" s="1554"/>
      <c r="Y20" s="3489"/>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89"/>
      <c r="Q21" s="2544" t="str">
        <f>B21</f>
        <v>基础设施水平</v>
      </c>
      <c r="R21" s="1560" t="s">
        <v>8</v>
      </c>
      <c r="S21" s="1561">
        <f>F21</f>
        <v>100</v>
      </c>
      <c r="T21" s="1560" t="s">
        <v>8</v>
      </c>
      <c r="U21" s="1561">
        <f>H21</f>
        <v>100</v>
      </c>
      <c r="V21" s="1560" t="s">
        <v>8</v>
      </c>
      <c r="W21" s="1561">
        <f>J21</f>
        <v>100</v>
      </c>
      <c r="X21" s="2546"/>
      <c r="Y21" s="348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89"/>
      <c r="Q22" s="2544"/>
      <c r="R22" s="1560"/>
      <c r="S22" s="1561"/>
      <c r="T22" s="1560"/>
      <c r="U22" s="1561"/>
      <c r="V22" s="1560"/>
      <c r="W22" s="1561"/>
      <c r="X22" s="2546"/>
      <c r="Y22" s="348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89"/>
      <c r="Q23" s="1559" t="str">
        <f>B23</f>
        <v>环境质量</v>
      </c>
      <c r="R23" s="1560" t="s">
        <v>8</v>
      </c>
      <c r="S23" s="1561">
        <f>F23</f>
        <v>100</v>
      </c>
      <c r="T23" s="1560" t="s">
        <v>8</v>
      </c>
      <c r="U23" s="1561">
        <f>H23</f>
        <v>100</v>
      </c>
      <c r="V23" s="1560" t="s">
        <v>8</v>
      </c>
      <c r="W23" s="1561">
        <f>J23</f>
        <v>100</v>
      </c>
      <c r="X23" s="1554"/>
      <c r="Y23" s="348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89"/>
      <c r="Q24" s="1559"/>
      <c r="R24" s="1560"/>
      <c r="S24" s="1561"/>
      <c r="T24" s="1560"/>
      <c r="U24" s="1561"/>
      <c r="V24" s="1560"/>
      <c r="W24" s="1561"/>
      <c r="X24" s="1554"/>
      <c r="Y24" s="348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89"/>
      <c r="Q25" s="1559">
        <f>B25</f>
        <v>111</v>
      </c>
      <c r="R25" s="1560" t="s">
        <v>8</v>
      </c>
      <c r="S25" s="1561">
        <f>F25</f>
        <v>100</v>
      </c>
      <c r="T25" s="1560" t="s">
        <v>8</v>
      </c>
      <c r="U25" s="1561">
        <f>H25</f>
        <v>100</v>
      </c>
      <c r="V25" s="1560" t="s">
        <v>8</v>
      </c>
      <c r="W25" s="1561">
        <f>J25</f>
        <v>100</v>
      </c>
      <c r="X25" s="1554"/>
      <c r="Y25" s="348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89"/>
      <c r="Q26" s="1559">
        <f t="shared" ref="Q26:Q40" si="11">B26</f>
        <v>111</v>
      </c>
      <c r="R26" s="1560" t="s">
        <v>8</v>
      </c>
      <c r="S26" s="1561">
        <f>F26</f>
        <v>100</v>
      </c>
      <c r="T26" s="1560" t="s">
        <v>8</v>
      </c>
      <c r="U26" s="1561">
        <f>H26</f>
        <v>100</v>
      </c>
      <c r="V26" s="1560" t="s">
        <v>8</v>
      </c>
      <c r="W26" s="1561">
        <f>J26</f>
        <v>100</v>
      </c>
      <c r="X26" s="1554"/>
      <c r="Y26" s="348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89"/>
      <c r="Q27" s="1147">
        <f t="shared" si="11"/>
        <v>111</v>
      </c>
      <c r="R27" s="1555" t="s">
        <v>8</v>
      </c>
      <c r="S27" s="1556">
        <f>F27</f>
        <v>100</v>
      </c>
      <c r="T27" s="1555" t="s">
        <v>8</v>
      </c>
      <c r="U27" s="1556">
        <f>H27</f>
        <v>100</v>
      </c>
      <c r="V27" s="1555" t="s">
        <v>8</v>
      </c>
      <c r="W27" s="1556">
        <f>J27</f>
        <v>100</v>
      </c>
      <c r="X27" s="1557"/>
      <c r="Y27" s="348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89"/>
      <c r="Q28" s="1559">
        <f t="shared" si="11"/>
        <v>111</v>
      </c>
      <c r="R28" s="1560" t="s">
        <v>8</v>
      </c>
      <c r="S28" s="1561">
        <f t="shared" ref="S28:S40" si="12">F28</f>
        <v>100</v>
      </c>
      <c r="T28" s="1560" t="s">
        <v>8</v>
      </c>
      <c r="U28" s="1561">
        <f t="shared" ref="U28:U40" si="13">H28</f>
        <v>100</v>
      </c>
      <c r="V28" s="1560" t="s">
        <v>8</v>
      </c>
      <c r="W28" s="1561">
        <f t="shared" ref="W28:W40" si="14">J28</f>
        <v>100</v>
      </c>
      <c r="X28" s="1554"/>
      <c r="Y28" s="3489"/>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90" t="s">
        <v>550</v>
      </c>
      <c r="Q29" s="1559" t="str">
        <f t="shared" si="11"/>
        <v>建筑类型</v>
      </c>
      <c r="R29" s="1560" t="s">
        <v>8</v>
      </c>
      <c r="S29" s="1561">
        <f t="shared" si="12"/>
        <v>100</v>
      </c>
      <c r="T29" s="1560" t="s">
        <v>8</v>
      </c>
      <c r="U29" s="1561">
        <f t="shared" si="13"/>
        <v>100</v>
      </c>
      <c r="V29" s="1560" t="s">
        <v>8</v>
      </c>
      <c r="W29" s="1561">
        <f t="shared" si="14"/>
        <v>100</v>
      </c>
      <c r="X29" s="1554"/>
      <c r="Y29" s="349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91"/>
      <c r="Q30" s="1591" t="str">
        <f t="shared" si="11"/>
        <v>项目建筑规模</v>
      </c>
      <c r="R30" s="1564" t="s">
        <v>8</v>
      </c>
      <c r="S30" s="1565" t="e">
        <f t="shared" si="12"/>
        <v>#N/A</v>
      </c>
      <c r="T30" s="1564" t="s">
        <v>8</v>
      </c>
      <c r="U30" s="1565" t="e">
        <f t="shared" si="13"/>
        <v>#N/A</v>
      </c>
      <c r="V30" s="1564" t="s">
        <v>8</v>
      </c>
      <c r="W30" s="1565" t="e">
        <f t="shared" si="14"/>
        <v>#N/A</v>
      </c>
      <c r="X30" s="1566"/>
      <c r="Y30" s="349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91"/>
      <c r="Q31" s="1559" t="str">
        <f t="shared" si="11"/>
        <v>建筑结构</v>
      </c>
      <c r="R31" s="1560" t="s">
        <v>8</v>
      </c>
      <c r="S31" s="1561">
        <f t="shared" si="12"/>
        <v>100</v>
      </c>
      <c r="T31" s="1560" t="s">
        <v>8</v>
      </c>
      <c r="U31" s="1561">
        <f t="shared" si="13"/>
        <v>100</v>
      </c>
      <c r="V31" s="1560" t="s">
        <v>8</v>
      </c>
      <c r="W31" s="1561">
        <f t="shared" si="14"/>
        <v>100</v>
      </c>
      <c r="X31" s="1554"/>
      <c r="Y31" s="349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91"/>
      <c r="Q32" s="1559" t="str">
        <f t="shared" si="11"/>
        <v>公共部分装修</v>
      </c>
      <c r="R32" s="1560" t="s">
        <v>8</v>
      </c>
      <c r="S32" s="1561">
        <f t="shared" si="12"/>
        <v>100</v>
      </c>
      <c r="T32" s="1560" t="s">
        <v>8</v>
      </c>
      <c r="U32" s="1561">
        <f t="shared" si="13"/>
        <v>100</v>
      </c>
      <c r="V32" s="1560" t="s">
        <v>8</v>
      </c>
      <c r="W32" s="1561">
        <f t="shared" si="14"/>
        <v>100</v>
      </c>
      <c r="X32" s="1554"/>
      <c r="Y32" s="349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91"/>
      <c r="Q33" s="1559" t="str">
        <f t="shared" si="11"/>
        <v>成新度</v>
      </c>
      <c r="R33" s="1560" t="s">
        <v>8</v>
      </c>
      <c r="S33" s="1561" t="e">
        <f t="shared" si="12"/>
        <v>#N/A</v>
      </c>
      <c r="T33" s="1560" t="s">
        <v>8</v>
      </c>
      <c r="U33" s="1561" t="e">
        <f t="shared" si="13"/>
        <v>#N/A</v>
      </c>
      <c r="V33" s="1560" t="s">
        <v>8</v>
      </c>
      <c r="W33" s="1561" t="e">
        <f t="shared" si="14"/>
        <v>#N/A</v>
      </c>
      <c r="X33" s="1554"/>
      <c r="Y33" s="349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91"/>
      <c r="Q34" s="1147" t="str">
        <f t="shared" si="11"/>
        <v>物业管理</v>
      </c>
      <c r="R34" s="1555" t="s">
        <v>8</v>
      </c>
      <c r="S34" s="1556">
        <f t="shared" si="12"/>
        <v>100</v>
      </c>
      <c r="T34" s="1555" t="s">
        <v>8</v>
      </c>
      <c r="U34" s="1556">
        <f t="shared" si="13"/>
        <v>100</v>
      </c>
      <c r="V34" s="1555" t="s">
        <v>8</v>
      </c>
      <c r="W34" s="1556">
        <f t="shared" si="14"/>
        <v>100</v>
      </c>
      <c r="X34" s="1557"/>
      <c r="Y34" s="3491"/>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91" t="s">
        <v>550</v>
      </c>
      <c r="Q35" s="1559" t="str">
        <f t="shared" si="11"/>
        <v>市政基础设施</v>
      </c>
      <c r="R35" s="1560" t="s">
        <v>8</v>
      </c>
      <c r="S35" s="1561">
        <f t="shared" si="12"/>
        <v>100</v>
      </c>
      <c r="T35" s="1560" t="s">
        <v>8</v>
      </c>
      <c r="U35" s="1561">
        <f t="shared" si="13"/>
        <v>100</v>
      </c>
      <c r="V35" s="1560" t="s">
        <v>8</v>
      </c>
      <c r="W35" s="1561">
        <f t="shared" si="14"/>
        <v>100</v>
      </c>
      <c r="X35" s="1554"/>
      <c r="Y35" s="349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91"/>
      <c r="Q36" s="1559" t="str">
        <f t="shared" si="11"/>
        <v>内部装修</v>
      </c>
      <c r="R36" s="1560" t="s">
        <v>8</v>
      </c>
      <c r="S36" s="1561">
        <f t="shared" si="12"/>
        <v>100</v>
      </c>
      <c r="T36" s="1560" t="s">
        <v>8</v>
      </c>
      <c r="U36" s="1561">
        <f t="shared" si="13"/>
        <v>100</v>
      </c>
      <c r="V36" s="1560" t="s">
        <v>8</v>
      </c>
      <c r="W36" s="1561">
        <f t="shared" si="14"/>
        <v>100</v>
      </c>
      <c r="X36" s="1554"/>
      <c r="Y36" s="349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91"/>
      <c r="Q37" s="1559" t="str">
        <f t="shared" si="11"/>
        <v>内部装修状况</v>
      </c>
      <c r="R37" s="1560" t="s">
        <v>8</v>
      </c>
      <c r="S37" s="1561">
        <f t="shared" si="12"/>
        <v>100</v>
      </c>
      <c r="T37" s="1560" t="s">
        <v>8</v>
      </c>
      <c r="U37" s="1561">
        <f t="shared" si="13"/>
        <v>100</v>
      </c>
      <c r="V37" s="1560" t="s">
        <v>8</v>
      </c>
      <c r="W37" s="1561">
        <f t="shared" si="14"/>
        <v>100</v>
      </c>
      <c r="X37" s="1554"/>
      <c r="Y37" s="349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91"/>
      <c r="Q38" s="1591">
        <f t="shared" si="11"/>
        <v>111</v>
      </c>
      <c r="R38" s="1564" t="s">
        <v>8</v>
      </c>
      <c r="S38" s="1565">
        <f t="shared" si="12"/>
        <v>100</v>
      </c>
      <c r="T38" s="1564" t="s">
        <v>8</v>
      </c>
      <c r="U38" s="1565">
        <f t="shared" si="13"/>
        <v>100</v>
      </c>
      <c r="V38" s="1564" t="s">
        <v>8</v>
      </c>
      <c r="W38" s="1565">
        <f t="shared" si="14"/>
        <v>100</v>
      </c>
      <c r="X38" s="1566"/>
      <c r="Y38" s="349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91"/>
      <c r="Q39" s="1559">
        <f t="shared" si="11"/>
        <v>111</v>
      </c>
      <c r="R39" s="1560" t="s">
        <v>8</v>
      </c>
      <c r="S39" s="1561">
        <f t="shared" si="12"/>
        <v>100</v>
      </c>
      <c r="T39" s="1560" t="s">
        <v>8</v>
      </c>
      <c r="U39" s="1561">
        <f t="shared" si="13"/>
        <v>100</v>
      </c>
      <c r="V39" s="1560" t="s">
        <v>8</v>
      </c>
      <c r="W39" s="1561">
        <f t="shared" si="14"/>
        <v>100</v>
      </c>
      <c r="X39" s="1554"/>
      <c r="Y39" s="349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72"/>
      <c r="Q40" s="1559">
        <f t="shared" si="11"/>
        <v>111</v>
      </c>
      <c r="R40" s="1560" t="s">
        <v>8</v>
      </c>
      <c r="S40" s="1561">
        <f t="shared" si="12"/>
        <v>100</v>
      </c>
      <c r="T40" s="1560" t="s">
        <v>8</v>
      </c>
      <c r="U40" s="1561">
        <f t="shared" si="13"/>
        <v>100</v>
      </c>
      <c r="V40" s="1560" t="s">
        <v>8</v>
      </c>
      <c r="W40" s="1561">
        <f t="shared" si="14"/>
        <v>100</v>
      </c>
      <c r="X40" s="1554"/>
      <c r="Y40" s="3572"/>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54" t="str">
        <f>A41</f>
        <v>成交单价（元/平方米）</v>
      </c>
      <c r="Q41" s="3454"/>
      <c r="R41" s="3571">
        <f>E41</f>
        <v>0</v>
      </c>
      <c r="S41" s="3571"/>
      <c r="T41" s="3571">
        <f>G41</f>
        <v>0</v>
      </c>
      <c r="U41" s="3571"/>
      <c r="V41" s="3571">
        <f>I41</f>
        <v>0</v>
      </c>
      <c r="W41" s="3571"/>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54" t="str">
        <f>A42</f>
        <v>比较价格（元/平方米）</v>
      </c>
      <c r="Q42" s="3454"/>
      <c r="R42" s="3571" t="e">
        <f>IF(F1="售价",ROUND(PRODUCT(R41,AA7:AA40),0),ROUND(PRODUCT(R41,AA7:AA40),1))</f>
        <v>#DIV/0!</v>
      </c>
      <c r="S42" s="3571"/>
      <c r="T42" s="3571" t="e">
        <f>IF(F1="售价",ROUND(PRODUCT(T41,AB7:AB40),0),ROUND(PRODUCT(T41,AB7:AB40),1))</f>
        <v>#DIV/0!</v>
      </c>
      <c r="U42" s="3571"/>
      <c r="V42" s="3571" t="e">
        <f>IF(F1="售价",ROUND(PRODUCT(V41,AC7:AC40),0),ROUND(PRODUCT(V41,AC7:AC40),1))</f>
        <v>#DIV/0!</v>
      </c>
      <c r="W42" s="3571"/>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51" t="str">
        <f>A43</f>
        <v>估价对象XX用房的比较价格（楼面单价，元/平方米）</v>
      </c>
      <c r="Q43" s="3452"/>
      <c r="R43" s="3570" t="e">
        <f>IF(F1="售价",ROUND(AVERAGE(R42:V42),0),ROUND(AVERAGE(R42:V42),1))</f>
        <v>#DIV/0!</v>
      </c>
      <c r="S43" s="3570"/>
      <c r="T43" s="3570"/>
      <c r="U43" s="3570"/>
      <c r="V43" s="3570"/>
      <c r="W43" s="357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60" t="s">
        <v>798</v>
      </c>
      <c r="D4" s="3461"/>
      <c r="E4" s="3460" t="s">
        <v>799</v>
      </c>
      <c r="F4" s="3461"/>
      <c r="G4" s="3460" t="s">
        <v>800</v>
      </c>
      <c r="H4" s="3461"/>
      <c r="I4" s="3460" t="s">
        <v>801</v>
      </c>
      <c r="J4" s="3461"/>
      <c r="K4" s="514" t="s">
        <v>802</v>
      </c>
      <c r="L4" s="2119"/>
      <c r="M4" s="2120"/>
      <c r="N4" s="2120"/>
      <c r="O4" s="2120"/>
      <c r="P4" s="3462" t="s">
        <v>803</v>
      </c>
      <c r="Q4" s="3463"/>
      <c r="R4" s="3468" t="s">
        <v>799</v>
      </c>
      <c r="S4" s="3469"/>
      <c r="T4" s="3468" t="s">
        <v>800</v>
      </c>
      <c r="U4" s="3469"/>
      <c r="V4" s="3455" t="s">
        <v>801</v>
      </c>
      <c r="W4" s="3455"/>
      <c r="X4" s="1554"/>
      <c r="Y4" s="3468" t="s">
        <v>803</v>
      </c>
      <c r="Z4" s="3469"/>
      <c r="AA4" s="3457" t="s">
        <v>799</v>
      </c>
      <c r="AB4" s="3458" t="s">
        <v>800</v>
      </c>
      <c r="AC4" s="3457" t="s">
        <v>801</v>
      </c>
    </row>
    <row r="5" spans="1:29" ht="15">
      <c r="A5" s="515"/>
      <c r="B5" s="516"/>
      <c r="C5" s="3476" t="s">
        <v>2930</v>
      </c>
      <c r="D5" s="3477"/>
      <c r="E5" s="3476" t="s">
        <v>2931</v>
      </c>
      <c r="F5" s="3477"/>
      <c r="G5" s="3476" t="s">
        <v>2932</v>
      </c>
      <c r="H5" s="3477"/>
      <c r="I5" s="3476" t="s">
        <v>2933</v>
      </c>
      <c r="J5" s="3477"/>
      <c r="K5" s="514"/>
      <c r="L5" s="2119"/>
      <c r="M5" s="2120"/>
      <c r="N5" s="2120"/>
      <c r="O5" s="2120"/>
      <c r="P5" s="3464"/>
      <c r="Q5" s="3465"/>
      <c r="R5" s="3470"/>
      <c r="S5" s="3471"/>
      <c r="T5" s="3470"/>
      <c r="U5" s="3471"/>
      <c r="V5" s="3455"/>
      <c r="W5" s="3455"/>
      <c r="X5" s="1554"/>
      <c r="Y5" s="3470"/>
      <c r="Z5" s="3471"/>
      <c r="AA5" s="3458"/>
      <c r="AB5" s="3458"/>
      <c r="AC5" s="3458"/>
    </row>
    <row r="6" spans="1:29" ht="15.75" thickBot="1">
      <c r="A6" s="517"/>
      <c r="B6" s="518"/>
      <c r="C6" s="3474" t="s">
        <v>2934</v>
      </c>
      <c r="D6" s="3475"/>
      <c r="E6" s="3478" t="s">
        <v>2934</v>
      </c>
      <c r="F6" s="3479"/>
      <c r="G6" s="3474" t="s">
        <v>2934</v>
      </c>
      <c r="H6" s="3475"/>
      <c r="I6" s="3474" t="s">
        <v>2934</v>
      </c>
      <c r="J6" s="3475"/>
      <c r="K6" s="514" t="s">
        <v>528</v>
      </c>
      <c r="L6" s="2119"/>
      <c r="M6" s="2120"/>
      <c r="N6" s="2120"/>
      <c r="O6" s="2120"/>
      <c r="P6" s="3466"/>
      <c r="Q6" s="3467"/>
      <c r="R6" s="3470"/>
      <c r="S6" s="3471"/>
      <c r="T6" s="3472"/>
      <c r="U6" s="3473"/>
      <c r="V6" s="3455"/>
      <c r="W6" s="3455"/>
      <c r="X6" s="1554"/>
      <c r="Y6" s="3472"/>
      <c r="Z6" s="3473"/>
      <c r="AA6" s="3459"/>
      <c r="AB6" s="3459"/>
      <c r="AC6" s="3459"/>
    </row>
    <row r="7" spans="1:29" s="1216" customFormat="1" ht="15.75" thickBot="1">
      <c r="A7" s="2868"/>
      <c r="B7" s="2875" t="s">
        <v>529</v>
      </c>
      <c r="C7" s="519">
        <f>'数据-取费表'!B2</f>
        <v>43654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85" t="s">
        <v>530</v>
      </c>
      <c r="Q7" s="3487"/>
      <c r="R7" s="1555" t="s">
        <v>8</v>
      </c>
      <c r="S7" s="1556">
        <f t="shared" ref="S7:S14" si="0">F7</f>
        <v>0</v>
      </c>
      <c r="T7" s="1555" t="s">
        <v>8</v>
      </c>
      <c r="U7" s="1556">
        <f t="shared" ref="U7:U14" si="1">H7</f>
        <v>0</v>
      </c>
      <c r="V7" s="1555" t="s">
        <v>8</v>
      </c>
      <c r="W7" s="1556">
        <f t="shared" ref="W7:W14" si="2">J7</f>
        <v>0</v>
      </c>
      <c r="X7" s="1557"/>
      <c r="Y7" s="3485" t="s">
        <v>530</v>
      </c>
      <c r="Z7" s="348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85" t="s">
        <v>533</v>
      </c>
      <c r="Q8" s="3486"/>
      <c r="R8" s="1555" t="s">
        <v>8</v>
      </c>
      <c r="S8" s="1556">
        <f t="shared" si="0"/>
        <v>0</v>
      </c>
      <c r="T8" s="1555" t="s">
        <v>8</v>
      </c>
      <c r="U8" s="1556">
        <f t="shared" si="1"/>
        <v>0</v>
      </c>
      <c r="V8" s="1555" t="s">
        <v>8</v>
      </c>
      <c r="W8" s="1556">
        <f t="shared" si="2"/>
        <v>0</v>
      </c>
      <c r="X8" s="1557"/>
      <c r="Y8" s="3485" t="s">
        <v>533</v>
      </c>
      <c r="Z8" s="3486"/>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54" t="s">
        <v>535</v>
      </c>
      <c r="Q9" s="1147" t="str">
        <f t="shared" ref="Q9:Q14" si="6">B9</f>
        <v>用途</v>
      </c>
      <c r="R9" s="1555" t="s">
        <v>8</v>
      </c>
      <c r="S9" s="1556">
        <f t="shared" si="0"/>
        <v>100</v>
      </c>
      <c r="T9" s="1555" t="s">
        <v>8</v>
      </c>
      <c r="U9" s="1556">
        <f t="shared" si="1"/>
        <v>100</v>
      </c>
      <c r="V9" s="1555" t="s">
        <v>8</v>
      </c>
      <c r="W9" s="1556">
        <f t="shared" si="2"/>
        <v>100</v>
      </c>
      <c r="X9" s="1557"/>
      <c r="Y9" s="340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54"/>
      <c r="Q10" s="1147" t="str">
        <f t="shared" si="6"/>
        <v>土地使用年限（年）</v>
      </c>
      <c r="R10" s="1555" t="s">
        <v>8</v>
      </c>
      <c r="S10" s="1556">
        <f t="shared" si="0"/>
        <v>100</v>
      </c>
      <c r="T10" s="1555" t="s">
        <v>8</v>
      </c>
      <c r="U10" s="1556">
        <f t="shared" si="1"/>
        <v>100</v>
      </c>
      <c r="V10" s="1555" t="s">
        <v>8</v>
      </c>
      <c r="W10" s="1556">
        <f t="shared" si="2"/>
        <v>100</v>
      </c>
      <c r="X10" s="1557"/>
      <c r="Y10" s="340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54"/>
      <c r="Q11" s="1147">
        <f t="shared" si="6"/>
        <v>111</v>
      </c>
      <c r="R11" s="1555" t="s">
        <v>8</v>
      </c>
      <c r="S11" s="1556">
        <f t="shared" si="0"/>
        <v>100</v>
      </c>
      <c r="T11" s="1555" t="s">
        <v>8</v>
      </c>
      <c r="U11" s="1556">
        <f t="shared" si="1"/>
        <v>100</v>
      </c>
      <c r="V11" s="1555" t="s">
        <v>8</v>
      </c>
      <c r="W11" s="1556">
        <f t="shared" si="2"/>
        <v>100</v>
      </c>
      <c r="X11" s="1557"/>
      <c r="Y11" s="340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54"/>
      <c r="Q12" s="1147">
        <f t="shared" si="6"/>
        <v>111</v>
      </c>
      <c r="R12" s="1555" t="s">
        <v>8</v>
      </c>
      <c r="S12" s="1556">
        <f t="shared" si="0"/>
        <v>100</v>
      </c>
      <c r="T12" s="1555" t="s">
        <v>8</v>
      </c>
      <c r="U12" s="1556">
        <f t="shared" si="1"/>
        <v>100</v>
      </c>
      <c r="V12" s="1555" t="s">
        <v>8</v>
      </c>
      <c r="W12" s="1556">
        <f t="shared" si="2"/>
        <v>100</v>
      </c>
      <c r="X12" s="1557"/>
      <c r="Y12" s="340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54"/>
      <c r="Q13" s="1147">
        <f t="shared" si="6"/>
        <v>111</v>
      </c>
      <c r="R13" s="1555" t="s">
        <v>8</v>
      </c>
      <c r="S13" s="1556">
        <f t="shared" si="0"/>
        <v>100</v>
      </c>
      <c r="T13" s="1555" t="s">
        <v>8</v>
      </c>
      <c r="U13" s="1556">
        <f t="shared" si="1"/>
        <v>100</v>
      </c>
      <c r="V13" s="1555" t="s">
        <v>8</v>
      </c>
      <c r="W13" s="1556">
        <f t="shared" si="2"/>
        <v>100</v>
      </c>
      <c r="X13" s="1557"/>
      <c r="Y13" s="3400"/>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88" t="s">
        <v>540</v>
      </c>
      <c r="Q14" s="1559" t="str">
        <f t="shared" si="6"/>
        <v>交通便捷度</v>
      </c>
      <c r="R14" s="1560" t="s">
        <v>8</v>
      </c>
      <c r="S14" s="1561">
        <f t="shared" si="0"/>
        <v>100</v>
      </c>
      <c r="T14" s="1560" t="s">
        <v>8</v>
      </c>
      <c r="U14" s="1561">
        <f t="shared" si="1"/>
        <v>100</v>
      </c>
      <c r="V14" s="1560" t="s">
        <v>8</v>
      </c>
      <c r="W14" s="1561">
        <f t="shared" si="2"/>
        <v>100</v>
      </c>
      <c r="X14" s="1554"/>
      <c r="Y14" s="348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89"/>
      <c r="Q15" s="1559"/>
      <c r="R15" s="1560"/>
      <c r="S15" s="1561"/>
      <c r="T15" s="1560"/>
      <c r="U15" s="1561"/>
      <c r="V15" s="1560"/>
      <c r="W15" s="1561"/>
      <c r="X15" s="1554"/>
      <c r="Y15" s="3489"/>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89"/>
      <c r="Q16" s="1559" t="str">
        <f>B16</f>
        <v>公共配套设施</v>
      </c>
      <c r="R16" s="1560" t="s">
        <v>8</v>
      </c>
      <c r="S16" s="1561">
        <f>F16</f>
        <v>100</v>
      </c>
      <c r="T16" s="1560" t="s">
        <v>8</v>
      </c>
      <c r="U16" s="1561">
        <f>H16</f>
        <v>100</v>
      </c>
      <c r="V16" s="1560" t="s">
        <v>8</v>
      </c>
      <c r="W16" s="1561">
        <f>J16</f>
        <v>100</v>
      </c>
      <c r="X16" s="1554"/>
      <c r="Y16" s="348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89"/>
      <c r="Q17" s="1559"/>
      <c r="R17" s="1560"/>
      <c r="S17" s="1561"/>
      <c r="T17" s="1560"/>
      <c r="U17" s="1561"/>
      <c r="V17" s="1560"/>
      <c r="W17" s="1561"/>
      <c r="X17" s="1554"/>
      <c r="Y17" s="3489"/>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89"/>
      <c r="Q18" s="2544" t="str">
        <f>B18</f>
        <v>基础设施水平</v>
      </c>
      <c r="R18" s="1560" t="s">
        <v>8</v>
      </c>
      <c r="S18" s="1561">
        <f>F18</f>
        <v>100</v>
      </c>
      <c r="T18" s="1560" t="s">
        <v>8</v>
      </c>
      <c r="U18" s="1561">
        <f>H18</f>
        <v>100</v>
      </c>
      <c r="V18" s="1560" t="s">
        <v>8</v>
      </c>
      <c r="W18" s="1561">
        <f>J18</f>
        <v>100</v>
      </c>
      <c r="X18" s="2546"/>
      <c r="Y18" s="348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89"/>
      <c r="Q19" s="2544"/>
      <c r="R19" s="1560"/>
      <c r="S19" s="1561"/>
      <c r="T19" s="1560"/>
      <c r="U19" s="1561"/>
      <c r="V19" s="1560"/>
      <c r="W19" s="1561"/>
      <c r="X19" s="2546"/>
      <c r="Y19" s="348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89"/>
      <c r="Q20" s="1559" t="str">
        <f>B20</f>
        <v>自然及人文环境</v>
      </c>
      <c r="R20" s="1560" t="s">
        <v>8</v>
      </c>
      <c r="S20" s="1561">
        <f>F20</f>
        <v>100</v>
      </c>
      <c r="T20" s="1560" t="s">
        <v>8</v>
      </c>
      <c r="U20" s="1561">
        <f>H20</f>
        <v>100</v>
      </c>
      <c r="V20" s="1560" t="s">
        <v>8</v>
      </c>
      <c r="W20" s="1561">
        <f>J20</f>
        <v>100</v>
      </c>
      <c r="X20" s="1554"/>
      <c r="Y20" s="348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89"/>
      <c r="Q21" s="1559"/>
      <c r="R21" s="1560"/>
      <c r="S21" s="1561"/>
      <c r="T21" s="1560"/>
      <c r="U21" s="1561"/>
      <c r="V21" s="1560"/>
      <c r="W21" s="1561"/>
      <c r="X21" s="1554"/>
      <c r="Y21" s="348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89"/>
      <c r="Q22" s="1559" t="str">
        <f>B22</f>
        <v>楼层</v>
      </c>
      <c r="R22" s="1560" t="s">
        <v>8</v>
      </c>
      <c r="S22" s="1561">
        <f>F22</f>
        <v>100</v>
      </c>
      <c r="T22" s="1560" t="s">
        <v>8</v>
      </c>
      <c r="U22" s="1561">
        <f>H22</f>
        <v>100</v>
      </c>
      <c r="V22" s="1560" t="s">
        <v>8</v>
      </c>
      <c r="W22" s="1561">
        <f>J22</f>
        <v>100</v>
      </c>
      <c r="X22" s="1554"/>
      <c r="Y22" s="348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89"/>
      <c r="Q23" s="1559">
        <f>B23</f>
        <v>111</v>
      </c>
      <c r="R23" s="1560" t="s">
        <v>8</v>
      </c>
      <c r="S23" s="1561">
        <f>F23</f>
        <v>100</v>
      </c>
      <c r="T23" s="1560" t="s">
        <v>8</v>
      </c>
      <c r="U23" s="1561">
        <f>H23</f>
        <v>100</v>
      </c>
      <c r="V23" s="1560" t="s">
        <v>8</v>
      </c>
      <c r="W23" s="1561">
        <f>J23</f>
        <v>100</v>
      </c>
      <c r="X23" s="1554"/>
      <c r="Y23" s="348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89"/>
      <c r="Q24" s="1559">
        <f t="shared" ref="Q24:Q36" si="11">B24</f>
        <v>111</v>
      </c>
      <c r="R24" s="1560" t="s">
        <v>8</v>
      </c>
      <c r="S24" s="1561">
        <f>F24</f>
        <v>100</v>
      </c>
      <c r="T24" s="1560" t="s">
        <v>8</v>
      </c>
      <c r="U24" s="1561">
        <f>H24</f>
        <v>100</v>
      </c>
      <c r="V24" s="1560" t="s">
        <v>8</v>
      </c>
      <c r="W24" s="1561">
        <f>J24</f>
        <v>100</v>
      </c>
      <c r="X24" s="1554"/>
      <c r="Y24" s="348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89"/>
      <c r="Q25" s="1147">
        <f t="shared" si="11"/>
        <v>111</v>
      </c>
      <c r="R25" s="1555" t="s">
        <v>8</v>
      </c>
      <c r="S25" s="1556">
        <f>F25</f>
        <v>100</v>
      </c>
      <c r="T25" s="1555" t="s">
        <v>8</v>
      </c>
      <c r="U25" s="1556">
        <f>H25</f>
        <v>100</v>
      </c>
      <c r="V25" s="1555" t="s">
        <v>8</v>
      </c>
      <c r="W25" s="1556">
        <f>J25</f>
        <v>100</v>
      </c>
      <c r="X25" s="1557"/>
      <c r="Y25" s="3489"/>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9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9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91"/>
      <c r="Q27" s="1591" t="str">
        <f t="shared" si="11"/>
        <v>项目停车位配比</v>
      </c>
      <c r="R27" s="1564" t="s">
        <v>8</v>
      </c>
      <c r="S27" s="1565">
        <f t="shared" si="12"/>
        <v>100</v>
      </c>
      <c r="T27" s="1564" t="s">
        <v>8</v>
      </c>
      <c r="U27" s="1565">
        <f t="shared" si="13"/>
        <v>100</v>
      </c>
      <c r="V27" s="1564" t="s">
        <v>8</v>
      </c>
      <c r="W27" s="1565">
        <f t="shared" si="14"/>
        <v>100</v>
      </c>
      <c r="X27" s="1566"/>
      <c r="Y27" s="349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91"/>
      <c r="Q28" s="1559" t="str">
        <f t="shared" si="11"/>
        <v>公共部分装修</v>
      </c>
      <c r="R28" s="1560" t="s">
        <v>8</v>
      </c>
      <c r="S28" s="1561">
        <f t="shared" si="12"/>
        <v>100</v>
      </c>
      <c r="T28" s="1560" t="s">
        <v>8</v>
      </c>
      <c r="U28" s="1561">
        <f t="shared" si="13"/>
        <v>100</v>
      </c>
      <c r="V28" s="1560" t="s">
        <v>8</v>
      </c>
      <c r="W28" s="1561">
        <f t="shared" si="14"/>
        <v>100</v>
      </c>
      <c r="X28" s="1554"/>
      <c r="Y28" s="349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91"/>
      <c r="Q29" s="1559" t="str">
        <f t="shared" si="11"/>
        <v>成新率</v>
      </c>
      <c r="R29" s="1560" t="s">
        <v>8</v>
      </c>
      <c r="S29" s="1561" t="e">
        <f t="shared" si="12"/>
        <v>#N/A</v>
      </c>
      <c r="T29" s="1560" t="s">
        <v>8</v>
      </c>
      <c r="U29" s="1561" t="e">
        <f t="shared" si="13"/>
        <v>#N/A</v>
      </c>
      <c r="V29" s="1560" t="s">
        <v>8</v>
      </c>
      <c r="W29" s="1561" t="e">
        <f t="shared" si="14"/>
        <v>#N/A</v>
      </c>
      <c r="X29" s="1554"/>
      <c r="Y29" s="349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91"/>
      <c r="Q30" s="1559" t="str">
        <f t="shared" si="11"/>
        <v>物业等级</v>
      </c>
      <c r="R30" s="1560" t="s">
        <v>8</v>
      </c>
      <c r="S30" s="1561">
        <f t="shared" si="12"/>
        <v>100</v>
      </c>
      <c r="T30" s="1560" t="s">
        <v>8</v>
      </c>
      <c r="U30" s="1561">
        <f t="shared" si="13"/>
        <v>100</v>
      </c>
      <c r="V30" s="1560" t="s">
        <v>8</v>
      </c>
      <c r="W30" s="1561">
        <f t="shared" si="14"/>
        <v>100</v>
      </c>
      <c r="X30" s="1554"/>
      <c r="Y30" s="349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91"/>
      <c r="Q31" s="1147" t="str">
        <f t="shared" si="11"/>
        <v>停车位面积</v>
      </c>
      <c r="R31" s="1555" t="s">
        <v>8</v>
      </c>
      <c r="S31" s="1556" t="e">
        <f t="shared" si="12"/>
        <v>#N/A</v>
      </c>
      <c r="T31" s="1555" t="s">
        <v>8</v>
      </c>
      <c r="U31" s="1556" t="e">
        <f t="shared" si="13"/>
        <v>#N/A</v>
      </c>
      <c r="V31" s="1555" t="s">
        <v>8</v>
      </c>
      <c r="W31" s="1556" t="e">
        <f t="shared" si="14"/>
        <v>#N/A</v>
      </c>
      <c r="X31" s="1557"/>
      <c r="Y31" s="349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91" t="s">
        <v>550</v>
      </c>
      <c r="Q32" s="1559" t="str">
        <f t="shared" si="11"/>
        <v>车位类型</v>
      </c>
      <c r="R32" s="1560" t="s">
        <v>8</v>
      </c>
      <c r="S32" s="1561">
        <f t="shared" si="12"/>
        <v>100</v>
      </c>
      <c r="T32" s="1560" t="s">
        <v>8</v>
      </c>
      <c r="U32" s="1561">
        <f t="shared" si="13"/>
        <v>100</v>
      </c>
      <c r="V32" s="1560" t="s">
        <v>8</v>
      </c>
      <c r="W32" s="1561">
        <f t="shared" si="14"/>
        <v>100</v>
      </c>
      <c r="X32" s="1554"/>
      <c r="Y32" s="349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91"/>
      <c r="Q33" s="1559" t="str">
        <f t="shared" si="11"/>
        <v>是否直接入户</v>
      </c>
      <c r="R33" s="1560" t="s">
        <v>8</v>
      </c>
      <c r="S33" s="1561">
        <f t="shared" si="12"/>
        <v>100</v>
      </c>
      <c r="T33" s="1560" t="s">
        <v>8</v>
      </c>
      <c r="U33" s="1561">
        <f t="shared" si="13"/>
        <v>100</v>
      </c>
      <c r="V33" s="1560" t="s">
        <v>8</v>
      </c>
      <c r="W33" s="1561">
        <f t="shared" si="14"/>
        <v>100</v>
      </c>
      <c r="X33" s="1554"/>
      <c r="Y33" s="349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91"/>
      <c r="Q34" s="1559">
        <f t="shared" si="11"/>
        <v>111</v>
      </c>
      <c r="R34" s="1560" t="s">
        <v>8</v>
      </c>
      <c r="S34" s="1561">
        <f t="shared" si="12"/>
        <v>100</v>
      </c>
      <c r="T34" s="1560" t="s">
        <v>8</v>
      </c>
      <c r="U34" s="1561">
        <f t="shared" si="13"/>
        <v>100</v>
      </c>
      <c r="V34" s="1560" t="s">
        <v>8</v>
      </c>
      <c r="W34" s="1561">
        <f t="shared" si="14"/>
        <v>100</v>
      </c>
      <c r="X34" s="1554"/>
      <c r="Y34" s="349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91"/>
      <c r="Q35" s="1591">
        <f t="shared" si="11"/>
        <v>111</v>
      </c>
      <c r="R35" s="1564" t="s">
        <v>8</v>
      </c>
      <c r="S35" s="1565">
        <f t="shared" si="12"/>
        <v>100</v>
      </c>
      <c r="T35" s="1564" t="s">
        <v>8</v>
      </c>
      <c r="U35" s="1565">
        <f t="shared" si="13"/>
        <v>100</v>
      </c>
      <c r="V35" s="1564" t="s">
        <v>8</v>
      </c>
      <c r="W35" s="1565">
        <f t="shared" si="14"/>
        <v>100</v>
      </c>
      <c r="X35" s="1566"/>
      <c r="Y35" s="349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91"/>
      <c r="Q36" s="1559">
        <f t="shared" si="11"/>
        <v>111</v>
      </c>
      <c r="R36" s="1560" t="s">
        <v>8</v>
      </c>
      <c r="S36" s="1561">
        <f t="shared" si="12"/>
        <v>100</v>
      </c>
      <c r="T36" s="1560" t="s">
        <v>8</v>
      </c>
      <c r="U36" s="1561">
        <f t="shared" si="13"/>
        <v>100</v>
      </c>
      <c r="V36" s="1560" t="s">
        <v>8</v>
      </c>
      <c r="W36" s="1561">
        <f t="shared" si="14"/>
        <v>100</v>
      </c>
      <c r="X36" s="1554"/>
      <c r="Y36" s="3491"/>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54" t="str">
        <f>A37</f>
        <v>成交单价</v>
      </c>
      <c r="Q37" s="3454"/>
      <c r="R37" s="3571">
        <f>E37</f>
        <v>0</v>
      </c>
      <c r="S37" s="3571"/>
      <c r="T37" s="3571">
        <f>G37</f>
        <v>0</v>
      </c>
      <c r="U37" s="3571"/>
      <c r="V37" s="3571">
        <f>I37</f>
        <v>0</v>
      </c>
      <c r="W37" s="3571"/>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54" t="str">
        <f>A38</f>
        <v>比较价格（元/平方米）</v>
      </c>
      <c r="Q38" s="3454"/>
      <c r="R38" s="3571" t="e">
        <f>IF(F1="售价",ROUND(PRODUCT(R37,AA7:AA36),0),ROUND(PRODUCT(R37,AA7:AA36),1))</f>
        <v>#DIV/0!</v>
      </c>
      <c r="S38" s="3571"/>
      <c r="T38" s="3571" t="e">
        <f>IF(F1="售价",ROUND(PRODUCT(T37,AB7:AB36),0),ROUND(PRODUCT(T37,AB7:AB36),1))</f>
        <v>#DIV/0!</v>
      </c>
      <c r="U38" s="3571"/>
      <c r="V38" s="3571" t="e">
        <f>IF(F1="售价",ROUND(PRODUCT(V37,AC7:AC36),0),ROUND(PRODUCT(V37,AC7:AC36),1))</f>
        <v>#DIV/0!</v>
      </c>
      <c r="W38" s="3571"/>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51" t="str">
        <f>A39</f>
        <v>估价对象XX用房的比较价格（楼面单价，元/平方米）</v>
      </c>
      <c r="Q39" s="3452"/>
      <c r="R39" s="3570" t="e">
        <f>IF(F1="售价",ROUND(AVERAGE(R38:V38),0),ROUND(AVERAGE(R38:V38),1))</f>
        <v>#DIV/0!</v>
      </c>
      <c r="S39" s="3570"/>
      <c r="T39" s="3570"/>
      <c r="U39" s="3570"/>
      <c r="V39" s="3570"/>
      <c r="W39" s="357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60" t="s">
        <v>798</v>
      </c>
      <c r="D4" s="3461"/>
      <c r="E4" s="3494" t="s">
        <v>799</v>
      </c>
      <c r="F4" s="3495"/>
      <c r="G4" s="3460" t="s">
        <v>800</v>
      </c>
      <c r="H4" s="3461"/>
      <c r="I4" s="3460" t="s">
        <v>801</v>
      </c>
      <c r="J4" s="3461"/>
      <c r="K4" s="514" t="s">
        <v>802</v>
      </c>
      <c r="L4" s="2119"/>
      <c r="M4" s="2120"/>
      <c r="N4" s="2120"/>
      <c r="O4" s="2120"/>
      <c r="P4" s="3462" t="s">
        <v>803</v>
      </c>
      <c r="Q4" s="3463"/>
      <c r="R4" s="3468" t="s">
        <v>799</v>
      </c>
      <c r="S4" s="3469"/>
      <c r="T4" s="3468" t="s">
        <v>800</v>
      </c>
      <c r="U4" s="3469"/>
      <c r="V4" s="3455" t="s">
        <v>801</v>
      </c>
      <c r="W4" s="3455"/>
      <c r="X4" s="1554"/>
      <c r="Y4" s="3468" t="s">
        <v>803</v>
      </c>
      <c r="Z4" s="3469"/>
      <c r="AA4" s="3457" t="s">
        <v>799</v>
      </c>
      <c r="AB4" s="3458" t="s">
        <v>800</v>
      </c>
      <c r="AC4" s="3457" t="s">
        <v>801</v>
      </c>
    </row>
    <row r="5" spans="1:29" ht="15">
      <c r="A5" s="515"/>
      <c r="B5" s="516"/>
      <c r="C5" s="3476" t="s">
        <v>2930</v>
      </c>
      <c r="D5" s="3477"/>
      <c r="E5" s="3496" t="s">
        <v>2931</v>
      </c>
      <c r="F5" s="3497"/>
      <c r="G5" s="3476" t="s">
        <v>2932</v>
      </c>
      <c r="H5" s="3477"/>
      <c r="I5" s="3476" t="s">
        <v>2933</v>
      </c>
      <c r="J5" s="3477"/>
      <c r="K5" s="514"/>
      <c r="L5" s="2119"/>
      <c r="M5" s="2120"/>
      <c r="N5" s="2120"/>
      <c r="O5" s="2120"/>
      <c r="P5" s="3464"/>
      <c r="Q5" s="3465"/>
      <c r="R5" s="3470"/>
      <c r="S5" s="3471"/>
      <c r="T5" s="3470"/>
      <c r="U5" s="3471"/>
      <c r="V5" s="3455"/>
      <c r="W5" s="3455"/>
      <c r="X5" s="1554"/>
      <c r="Y5" s="3470"/>
      <c r="Z5" s="3471"/>
      <c r="AA5" s="3458"/>
      <c r="AB5" s="3458"/>
      <c r="AC5" s="3458"/>
    </row>
    <row r="6" spans="1:29" ht="15.75" thickBot="1">
      <c r="A6" s="517"/>
      <c r="B6" s="518"/>
      <c r="C6" s="3474" t="s">
        <v>2934</v>
      </c>
      <c r="D6" s="3475"/>
      <c r="E6" s="3492" t="s">
        <v>2934</v>
      </c>
      <c r="F6" s="3493"/>
      <c r="G6" s="3474" t="s">
        <v>2934</v>
      </c>
      <c r="H6" s="3475"/>
      <c r="I6" s="3474" t="s">
        <v>2934</v>
      </c>
      <c r="J6" s="3475"/>
      <c r="K6" s="514" t="s">
        <v>528</v>
      </c>
      <c r="L6" s="2119"/>
      <c r="M6" s="2120"/>
      <c r="N6" s="2120"/>
      <c r="O6" s="2120"/>
      <c r="P6" s="3466"/>
      <c r="Q6" s="3467"/>
      <c r="R6" s="3470"/>
      <c r="S6" s="3471"/>
      <c r="T6" s="3472"/>
      <c r="U6" s="3473"/>
      <c r="V6" s="3455"/>
      <c r="W6" s="3455"/>
      <c r="X6" s="1554"/>
      <c r="Y6" s="3472"/>
      <c r="Z6" s="3473"/>
      <c r="AA6" s="3459"/>
      <c r="AB6" s="3459"/>
      <c r="AC6" s="3459"/>
    </row>
    <row r="7" spans="1:29" s="1216" customFormat="1" ht="15.75" thickBot="1">
      <c r="A7" s="2868"/>
      <c r="B7" s="2875" t="s">
        <v>529</v>
      </c>
      <c r="C7" s="519">
        <f>'数据-取费表'!B2</f>
        <v>43654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85" t="s">
        <v>530</v>
      </c>
      <c r="Q7" s="3487"/>
      <c r="R7" s="1555" t="s">
        <v>8</v>
      </c>
      <c r="S7" s="1556">
        <f t="shared" ref="S7:S14" si="0">F7</f>
        <v>0</v>
      </c>
      <c r="T7" s="1555" t="s">
        <v>8</v>
      </c>
      <c r="U7" s="1556">
        <f t="shared" ref="U7:U14" si="1">H7</f>
        <v>0</v>
      </c>
      <c r="V7" s="1555" t="s">
        <v>8</v>
      </c>
      <c r="W7" s="1556">
        <f t="shared" ref="W7:W14" si="2">J7</f>
        <v>0</v>
      </c>
      <c r="X7" s="1557"/>
      <c r="Y7" s="3485" t="s">
        <v>530</v>
      </c>
      <c r="Z7" s="348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85" t="s">
        <v>533</v>
      </c>
      <c r="Q8" s="3486"/>
      <c r="R8" s="1555" t="s">
        <v>8</v>
      </c>
      <c r="S8" s="1556">
        <f t="shared" si="0"/>
        <v>0</v>
      </c>
      <c r="T8" s="1555" t="s">
        <v>8</v>
      </c>
      <c r="U8" s="1556">
        <f t="shared" si="1"/>
        <v>0</v>
      </c>
      <c r="V8" s="1555" t="s">
        <v>8</v>
      </c>
      <c r="W8" s="1556">
        <f t="shared" si="2"/>
        <v>0</v>
      </c>
      <c r="X8" s="1557"/>
      <c r="Y8" s="3485" t="s">
        <v>533</v>
      </c>
      <c r="Z8" s="3486"/>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54" t="s">
        <v>535</v>
      </c>
      <c r="Q9" s="1147" t="str">
        <f t="shared" ref="Q9:Q14" si="6">B9</f>
        <v>用途</v>
      </c>
      <c r="R9" s="1555" t="s">
        <v>8</v>
      </c>
      <c r="S9" s="1556">
        <f t="shared" si="0"/>
        <v>100</v>
      </c>
      <c r="T9" s="1555" t="s">
        <v>8</v>
      </c>
      <c r="U9" s="1556">
        <f t="shared" si="1"/>
        <v>100</v>
      </c>
      <c r="V9" s="1555" t="s">
        <v>8</v>
      </c>
      <c r="W9" s="1556">
        <f t="shared" si="2"/>
        <v>100</v>
      </c>
      <c r="X9" s="1557"/>
      <c r="Y9" s="340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54"/>
      <c r="Q10" s="1147" t="str">
        <f t="shared" si="6"/>
        <v>土地使用年限（年）</v>
      </c>
      <c r="R10" s="1555" t="s">
        <v>8</v>
      </c>
      <c r="S10" s="1556">
        <f t="shared" si="0"/>
        <v>100</v>
      </c>
      <c r="T10" s="1555" t="s">
        <v>8</v>
      </c>
      <c r="U10" s="1556">
        <f t="shared" si="1"/>
        <v>100</v>
      </c>
      <c r="V10" s="1555" t="s">
        <v>8</v>
      </c>
      <c r="W10" s="1556">
        <f t="shared" si="2"/>
        <v>100</v>
      </c>
      <c r="X10" s="1557"/>
      <c r="Y10" s="340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54"/>
      <c r="Q11" s="1147">
        <f t="shared" si="6"/>
        <v>111</v>
      </c>
      <c r="R11" s="1555" t="s">
        <v>8</v>
      </c>
      <c r="S11" s="1556">
        <f t="shared" si="0"/>
        <v>100</v>
      </c>
      <c r="T11" s="1555" t="s">
        <v>8</v>
      </c>
      <c r="U11" s="1556">
        <f t="shared" si="1"/>
        <v>100</v>
      </c>
      <c r="V11" s="1555" t="s">
        <v>8</v>
      </c>
      <c r="W11" s="1556">
        <f t="shared" si="2"/>
        <v>100</v>
      </c>
      <c r="X11" s="1557"/>
      <c r="Y11" s="340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54"/>
      <c r="Q12" s="1147">
        <f t="shared" si="6"/>
        <v>111</v>
      </c>
      <c r="R12" s="1555" t="s">
        <v>8</v>
      </c>
      <c r="S12" s="1556">
        <f t="shared" si="0"/>
        <v>100</v>
      </c>
      <c r="T12" s="1555" t="s">
        <v>8</v>
      </c>
      <c r="U12" s="1556">
        <f t="shared" si="1"/>
        <v>100</v>
      </c>
      <c r="V12" s="1555" t="s">
        <v>8</v>
      </c>
      <c r="W12" s="1556">
        <f t="shared" si="2"/>
        <v>100</v>
      </c>
      <c r="X12" s="1557"/>
      <c r="Y12" s="340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54"/>
      <c r="Q13" s="1147">
        <f t="shared" si="6"/>
        <v>111</v>
      </c>
      <c r="R13" s="1555" t="s">
        <v>8</v>
      </c>
      <c r="S13" s="1556">
        <f t="shared" si="0"/>
        <v>100</v>
      </c>
      <c r="T13" s="1555" t="s">
        <v>8</v>
      </c>
      <c r="U13" s="1556">
        <f t="shared" si="1"/>
        <v>100</v>
      </c>
      <c r="V13" s="1555" t="s">
        <v>8</v>
      </c>
      <c r="W13" s="1556">
        <f t="shared" si="2"/>
        <v>100</v>
      </c>
      <c r="X13" s="1557"/>
      <c r="Y13" s="3400"/>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88" t="s">
        <v>540</v>
      </c>
      <c r="Q14" s="1559" t="str">
        <f t="shared" si="6"/>
        <v>交通便捷度</v>
      </c>
      <c r="R14" s="1560" t="s">
        <v>8</v>
      </c>
      <c r="S14" s="1561">
        <f t="shared" si="0"/>
        <v>100</v>
      </c>
      <c r="T14" s="1560" t="s">
        <v>8</v>
      </c>
      <c r="U14" s="1561">
        <f t="shared" si="1"/>
        <v>100</v>
      </c>
      <c r="V14" s="1560" t="s">
        <v>8</v>
      </c>
      <c r="W14" s="1561">
        <f t="shared" si="2"/>
        <v>100</v>
      </c>
      <c r="X14" s="1554"/>
      <c r="Y14" s="348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89"/>
      <c r="Q15" s="1559"/>
      <c r="R15" s="1560"/>
      <c r="S15" s="1561"/>
      <c r="T15" s="1560"/>
      <c r="U15" s="1561"/>
      <c r="V15" s="1560"/>
      <c r="W15" s="1561"/>
      <c r="X15" s="1554"/>
      <c r="Y15" s="3489"/>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89"/>
      <c r="Q16" s="1559" t="str">
        <f>B16</f>
        <v>公共配套设施</v>
      </c>
      <c r="R16" s="1560" t="s">
        <v>8</v>
      </c>
      <c r="S16" s="1561">
        <f>F16</f>
        <v>100</v>
      </c>
      <c r="T16" s="1560" t="s">
        <v>8</v>
      </c>
      <c r="U16" s="1561">
        <f>H16</f>
        <v>100</v>
      </c>
      <c r="V16" s="1560" t="s">
        <v>8</v>
      </c>
      <c r="W16" s="1561">
        <f>J16</f>
        <v>100</v>
      </c>
      <c r="X16" s="1554"/>
      <c r="Y16" s="348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89"/>
      <c r="Q17" s="1559"/>
      <c r="R17" s="1560"/>
      <c r="S17" s="1561"/>
      <c r="T17" s="1560"/>
      <c r="U17" s="1561"/>
      <c r="V17" s="1560"/>
      <c r="W17" s="1561"/>
      <c r="X17" s="1554"/>
      <c r="Y17" s="3489"/>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89"/>
      <c r="Q18" s="2544" t="str">
        <f>B18</f>
        <v>基础设施水平</v>
      </c>
      <c r="R18" s="1560" t="s">
        <v>8</v>
      </c>
      <c r="S18" s="1561">
        <f>F18</f>
        <v>100</v>
      </c>
      <c r="T18" s="1560" t="s">
        <v>8</v>
      </c>
      <c r="U18" s="1561">
        <f>H18</f>
        <v>100</v>
      </c>
      <c r="V18" s="1560" t="s">
        <v>8</v>
      </c>
      <c r="W18" s="1561">
        <f>J18</f>
        <v>100</v>
      </c>
      <c r="X18" s="2546"/>
      <c r="Y18" s="348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89"/>
      <c r="Q19" s="2544"/>
      <c r="R19" s="1560"/>
      <c r="S19" s="1561"/>
      <c r="T19" s="1560"/>
      <c r="U19" s="1561"/>
      <c r="V19" s="1560"/>
      <c r="W19" s="1561"/>
      <c r="X19" s="2546"/>
      <c r="Y19" s="348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89"/>
      <c r="Q20" s="1559" t="str">
        <f>B20</f>
        <v>自然及人文环境</v>
      </c>
      <c r="R20" s="1560" t="s">
        <v>8</v>
      </c>
      <c r="S20" s="1561">
        <f>F20</f>
        <v>100</v>
      </c>
      <c r="T20" s="1560" t="s">
        <v>8</v>
      </c>
      <c r="U20" s="1561">
        <f>H20</f>
        <v>100</v>
      </c>
      <c r="V20" s="1560" t="s">
        <v>8</v>
      </c>
      <c r="W20" s="1561">
        <f>J20</f>
        <v>100</v>
      </c>
      <c r="X20" s="1554"/>
      <c r="Y20" s="348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89"/>
      <c r="Q21" s="1559"/>
      <c r="R21" s="1560"/>
      <c r="S21" s="1561"/>
      <c r="T21" s="1560"/>
      <c r="U21" s="1561"/>
      <c r="V21" s="1560"/>
      <c r="W21" s="1561"/>
      <c r="X21" s="1554"/>
      <c r="Y21" s="348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89"/>
      <c r="Q22" s="1559" t="str">
        <f>B22</f>
        <v>楼层</v>
      </c>
      <c r="R22" s="1560" t="s">
        <v>8</v>
      </c>
      <c r="S22" s="1561">
        <f>F22</f>
        <v>100</v>
      </c>
      <c r="T22" s="1560" t="s">
        <v>8</v>
      </c>
      <c r="U22" s="1561">
        <f>H22</f>
        <v>100</v>
      </c>
      <c r="V22" s="1560" t="s">
        <v>8</v>
      </c>
      <c r="W22" s="1561">
        <f>J22</f>
        <v>100</v>
      </c>
      <c r="X22" s="1554"/>
      <c r="Y22" s="348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89"/>
      <c r="Q23" s="1559">
        <f>B23</f>
        <v>111</v>
      </c>
      <c r="R23" s="1560" t="s">
        <v>8</v>
      </c>
      <c r="S23" s="1561">
        <f>F23</f>
        <v>100</v>
      </c>
      <c r="T23" s="1560" t="s">
        <v>8</v>
      </c>
      <c r="U23" s="1561">
        <f>H23</f>
        <v>100</v>
      </c>
      <c r="V23" s="1560" t="s">
        <v>8</v>
      </c>
      <c r="W23" s="1561">
        <f>J23</f>
        <v>100</v>
      </c>
      <c r="X23" s="1554"/>
      <c r="Y23" s="348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89"/>
      <c r="Q24" s="1559">
        <f t="shared" ref="Q24:Q34" si="11">B24</f>
        <v>111</v>
      </c>
      <c r="R24" s="1560" t="s">
        <v>8</v>
      </c>
      <c r="S24" s="1561">
        <f>F24</f>
        <v>100</v>
      </c>
      <c r="T24" s="1560" t="s">
        <v>8</v>
      </c>
      <c r="U24" s="1561">
        <f>H24</f>
        <v>100</v>
      </c>
      <c r="V24" s="1560" t="s">
        <v>8</v>
      </c>
      <c r="W24" s="1561">
        <f>J24</f>
        <v>100</v>
      </c>
      <c r="X24" s="1554"/>
      <c r="Y24" s="348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89"/>
      <c r="Q25" s="1147">
        <f t="shared" si="11"/>
        <v>111</v>
      </c>
      <c r="R25" s="1555" t="s">
        <v>8</v>
      </c>
      <c r="S25" s="1556">
        <f>F25</f>
        <v>100</v>
      </c>
      <c r="T25" s="1555" t="s">
        <v>8</v>
      </c>
      <c r="U25" s="1556">
        <f>H25</f>
        <v>100</v>
      </c>
      <c r="V25" s="1555" t="s">
        <v>8</v>
      </c>
      <c r="W25" s="1556">
        <f>J25</f>
        <v>100</v>
      </c>
      <c r="X25" s="1557"/>
      <c r="Y25" s="3489"/>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9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9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91"/>
      <c r="Q27" s="1591" t="str">
        <f t="shared" si="11"/>
        <v>成新率</v>
      </c>
      <c r="R27" s="1564" t="s">
        <v>8</v>
      </c>
      <c r="S27" s="1565" t="e">
        <f t="shared" si="12"/>
        <v>#N/A</v>
      </c>
      <c r="T27" s="1564" t="s">
        <v>8</v>
      </c>
      <c r="U27" s="1565" t="e">
        <f t="shared" si="13"/>
        <v>#N/A</v>
      </c>
      <c r="V27" s="1564" t="s">
        <v>8</v>
      </c>
      <c r="W27" s="1565" t="e">
        <f t="shared" si="14"/>
        <v>#N/A</v>
      </c>
      <c r="X27" s="1566"/>
      <c r="Y27" s="349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91"/>
      <c r="Q28" s="1559" t="str">
        <f t="shared" si="11"/>
        <v>物业等级</v>
      </c>
      <c r="R28" s="1560" t="s">
        <v>8</v>
      </c>
      <c r="S28" s="1561">
        <f t="shared" si="12"/>
        <v>100</v>
      </c>
      <c r="T28" s="1560" t="s">
        <v>8</v>
      </c>
      <c r="U28" s="1561">
        <f t="shared" si="13"/>
        <v>100</v>
      </c>
      <c r="V28" s="1560" t="s">
        <v>8</v>
      </c>
      <c r="W28" s="1561">
        <f t="shared" si="14"/>
        <v>100</v>
      </c>
      <c r="X28" s="1554"/>
      <c r="Y28" s="349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91"/>
      <c r="Q29" s="1559" t="str">
        <f t="shared" si="11"/>
        <v>有无电梯</v>
      </c>
      <c r="R29" s="1560" t="s">
        <v>8</v>
      </c>
      <c r="S29" s="1561">
        <f t="shared" si="12"/>
        <v>100</v>
      </c>
      <c r="T29" s="1560" t="s">
        <v>8</v>
      </c>
      <c r="U29" s="1561">
        <f t="shared" si="13"/>
        <v>100</v>
      </c>
      <c r="V29" s="1560" t="s">
        <v>8</v>
      </c>
      <c r="W29" s="1561">
        <f t="shared" si="14"/>
        <v>100</v>
      </c>
      <c r="X29" s="1554"/>
      <c r="Y29" s="349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91"/>
      <c r="Q30" s="1559" t="str">
        <f t="shared" si="11"/>
        <v>建筑面积</v>
      </c>
      <c r="R30" s="1560" t="s">
        <v>8</v>
      </c>
      <c r="S30" s="1561" t="e">
        <f t="shared" si="12"/>
        <v>#N/A</v>
      </c>
      <c r="T30" s="1560" t="s">
        <v>8</v>
      </c>
      <c r="U30" s="1561" t="e">
        <f t="shared" si="13"/>
        <v>#N/A</v>
      </c>
      <c r="V30" s="1560" t="s">
        <v>8</v>
      </c>
      <c r="W30" s="1561" t="e">
        <f t="shared" si="14"/>
        <v>#N/A</v>
      </c>
      <c r="X30" s="1554"/>
      <c r="Y30" s="349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91"/>
      <c r="Q31" s="1147" t="str">
        <f t="shared" si="11"/>
        <v>是否封闭</v>
      </c>
      <c r="R31" s="1555" t="s">
        <v>8</v>
      </c>
      <c r="S31" s="1556">
        <f t="shared" si="12"/>
        <v>100</v>
      </c>
      <c r="T31" s="1555" t="s">
        <v>8</v>
      </c>
      <c r="U31" s="1556">
        <f t="shared" si="13"/>
        <v>100</v>
      </c>
      <c r="V31" s="1555" t="s">
        <v>8</v>
      </c>
      <c r="W31" s="1556">
        <f t="shared" si="14"/>
        <v>100</v>
      </c>
      <c r="X31" s="1557"/>
      <c r="Y31" s="349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91" t="s">
        <v>550</v>
      </c>
      <c r="Q32" s="1559">
        <f t="shared" si="11"/>
        <v>111</v>
      </c>
      <c r="R32" s="1560" t="s">
        <v>8</v>
      </c>
      <c r="S32" s="1561">
        <f t="shared" si="12"/>
        <v>100</v>
      </c>
      <c r="T32" s="1560" t="s">
        <v>8</v>
      </c>
      <c r="U32" s="1561">
        <f t="shared" si="13"/>
        <v>100</v>
      </c>
      <c r="V32" s="1560" t="s">
        <v>8</v>
      </c>
      <c r="W32" s="1561">
        <f t="shared" si="14"/>
        <v>100</v>
      </c>
      <c r="X32" s="1554"/>
      <c r="Y32" s="349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91"/>
      <c r="Q33" s="1559">
        <f t="shared" si="11"/>
        <v>111</v>
      </c>
      <c r="R33" s="1560" t="s">
        <v>8</v>
      </c>
      <c r="S33" s="1561">
        <f t="shared" si="12"/>
        <v>100</v>
      </c>
      <c r="T33" s="1560" t="s">
        <v>8</v>
      </c>
      <c r="U33" s="1561">
        <f t="shared" si="13"/>
        <v>100</v>
      </c>
      <c r="V33" s="1560" t="s">
        <v>8</v>
      </c>
      <c r="W33" s="1561">
        <f t="shared" si="14"/>
        <v>100</v>
      </c>
      <c r="X33" s="1554"/>
      <c r="Y33" s="349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91"/>
      <c r="Q34" s="1559">
        <f t="shared" si="11"/>
        <v>111</v>
      </c>
      <c r="R34" s="1560" t="s">
        <v>8</v>
      </c>
      <c r="S34" s="1561">
        <f t="shared" si="12"/>
        <v>100</v>
      </c>
      <c r="T34" s="1560" t="s">
        <v>8</v>
      </c>
      <c r="U34" s="1561">
        <f t="shared" si="13"/>
        <v>100</v>
      </c>
      <c r="V34" s="1560" t="s">
        <v>8</v>
      </c>
      <c r="W34" s="1561">
        <f t="shared" si="14"/>
        <v>100</v>
      </c>
      <c r="X34" s="1554"/>
      <c r="Y34" s="349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54" t="str">
        <f>A35</f>
        <v>成交单价（元/平方米）</v>
      </c>
      <c r="Q35" s="3454"/>
      <c r="R35" s="3571">
        <f>E35</f>
        <v>0</v>
      </c>
      <c r="S35" s="3571"/>
      <c r="T35" s="3571">
        <f>G35</f>
        <v>0</v>
      </c>
      <c r="U35" s="3571"/>
      <c r="V35" s="3571">
        <f>I35</f>
        <v>0</v>
      </c>
      <c r="W35" s="3571"/>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54" t="str">
        <f>A36</f>
        <v>比较价格（元/平方米）</v>
      </c>
      <c r="Q36" s="3454"/>
      <c r="R36" s="3571" t="e">
        <f>IF(F1="售价",ROUND(PRODUCT(R35,AA7:AA34),0),ROUND(PRODUCT(R35,AA7:AA34),1))</f>
        <v>#DIV/0!</v>
      </c>
      <c r="S36" s="3571"/>
      <c r="T36" s="3571" t="e">
        <f>IF(F1="售价",ROUND(PRODUCT(T35,AB7:AB34),0),ROUND(PRODUCT(T35,AB7:AB34),1))</f>
        <v>#DIV/0!</v>
      </c>
      <c r="U36" s="3571"/>
      <c r="V36" s="3571" t="e">
        <f>IF(F1="售价",ROUND(PRODUCT(V35,AC7:AC34),0),ROUND(PRODUCT(V35,AC7:AC34),1))</f>
        <v>#DIV/0!</v>
      </c>
      <c r="W36" s="3571"/>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51" t="str">
        <f>A37</f>
        <v>估价对象XX用房的比较价格（楼面单价，元/平方米）</v>
      </c>
      <c r="Q37" s="3452"/>
      <c r="R37" s="3570" t="e">
        <f>IF(F1="售价",ROUND(AVERAGE(R36:V36),0),ROUND(AVERAGE(R36:V36),1))</f>
        <v>#DIV/0!</v>
      </c>
      <c r="S37" s="3570"/>
      <c r="T37" s="3570"/>
      <c r="U37" s="3570"/>
      <c r="V37" s="3570"/>
      <c r="W37" s="357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80" t="s">
        <v>2304</v>
      </c>
      <c r="D1" s="3581"/>
      <c r="E1" s="3581"/>
      <c r="F1" s="3581"/>
      <c r="G1" s="3581"/>
      <c r="H1" s="3581"/>
      <c r="I1" s="3581"/>
      <c r="J1" s="3581"/>
      <c r="K1" s="3581"/>
      <c r="L1" s="3581"/>
      <c r="M1" s="3581"/>
      <c r="N1" s="3581"/>
      <c r="O1" s="3581"/>
      <c r="P1" s="3581"/>
      <c r="Q1" s="3581"/>
      <c r="R1" s="3581"/>
      <c r="S1" s="3582"/>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77" t="s">
        <v>20</v>
      </c>
      <c r="D22" s="3578"/>
      <c r="E22" s="3578"/>
      <c r="F22" s="3578"/>
      <c r="G22" s="3578"/>
      <c r="H22" s="3578"/>
      <c r="I22" s="3578"/>
      <c r="J22" s="3578"/>
      <c r="K22" s="3578"/>
      <c r="L22" s="3578"/>
      <c r="M22" s="3578"/>
      <c r="N22" s="3578"/>
      <c r="O22" s="3578"/>
      <c r="P22" s="3578"/>
      <c r="Q22" s="357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2019年7月8日（评估专业人员勘察现场之日）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43654</v>
      </c>
      <c r="H1" s="2894">
        <f>IF(C1&gt;C13,0,MATCH(C1,C$13:C$100,-1))+IF(SUMIF(C13:C100,C1,D13:D100)=0,13,12)</f>
        <v>13</v>
      </c>
      <c r="I1" s="2894">
        <f ca="1">MATCH(C2,H3:H7,1)+IF(SUMIF(H3:H7,C2,I3:I7)=0,2,1)</f>
        <v>4</v>
      </c>
      <c r="J1" s="2953">
        <f ca="1">MATCH(C3,H3:H7,1)+IF(SUMIF(H3:H7,C3,J3:J7)=0,2,1)</f>
        <v>4</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1</v>
      </c>
      <c r="D2" s="2956" t="s">
        <v>2788</v>
      </c>
      <c r="E2" s="2959">
        <f ca="1">INDIRECT("I"&amp;$I$1)/100</f>
        <v>4.3499999999999997E-2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1</v>
      </c>
      <c r="D3" s="2956" t="s">
        <v>2788</v>
      </c>
      <c r="E3" s="2959">
        <f ca="1">INDIRECT("J"&amp;$J$1)/100</f>
        <v>4.3499999999999997E-2</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pane ySplit="7" topLeftCell="A8" activePane="bottomLeft" state="frozen"/>
      <selection activeCell="C7" sqref="C7"/>
      <selection pane="bottomLeft" activeCell="F18" sqref="F18"/>
    </sheetView>
  </sheetViews>
  <sheetFormatPr defaultRowHeight="13.5"/>
  <cols>
    <col min="4" max="4" width="10.5" customWidth="1"/>
    <col min="5" max="5" width="17.125" hidden="1" customWidth="1"/>
    <col min="6" max="6" width="11.5" customWidth="1"/>
    <col min="8" max="8" width="12" customWidth="1"/>
    <col min="9" max="9" width="23.75" customWidth="1"/>
    <col min="10" max="10" width="18.125" customWidth="1"/>
    <col min="11" max="11" width="13.125" customWidth="1"/>
    <col min="12" max="12" width="15.75" customWidth="1"/>
    <col min="13" max="13" width="10.625" customWidth="1"/>
    <col min="14" max="14" width="10" customWidth="1"/>
  </cols>
  <sheetData>
    <row r="1" spans="1:16" hidden="1">
      <c r="A1" s="3583" t="s">
        <v>3011</v>
      </c>
      <c r="B1" s="3583" t="s">
        <v>3012</v>
      </c>
      <c r="C1" s="3583" t="s">
        <v>3013</v>
      </c>
      <c r="D1" s="3583" t="s">
        <v>3014</v>
      </c>
      <c r="E1" s="3583" t="s">
        <v>3015</v>
      </c>
      <c r="F1" s="3583" t="s">
        <v>3016</v>
      </c>
      <c r="G1" s="3583" t="s">
        <v>3017</v>
      </c>
      <c r="H1" s="3583" t="s">
        <v>3018</v>
      </c>
      <c r="I1" s="3583" t="s">
        <v>3019</v>
      </c>
      <c r="J1" s="3585" t="s">
        <v>3020</v>
      </c>
      <c r="K1" s="3585"/>
      <c r="L1" s="3585"/>
    </row>
    <row r="2" spans="1:16" ht="27.75" hidden="1" customHeight="1">
      <c r="A2" s="3588"/>
      <c r="B2" s="3584"/>
      <c r="C2" s="3584"/>
      <c r="D2" s="3584"/>
      <c r="E2" s="3584"/>
      <c r="F2" s="3584"/>
      <c r="G2" s="3584"/>
      <c r="H2" s="3584"/>
      <c r="I2" s="3584"/>
      <c r="J2" s="3183" t="s">
        <v>24</v>
      </c>
      <c r="K2" s="3183" t="s">
        <v>3021</v>
      </c>
      <c r="L2" s="3183" t="s">
        <v>3022</v>
      </c>
    </row>
    <row r="3" spans="1:16" s="3188" customFormat="1" ht="67.5" hidden="1" customHeight="1">
      <c r="A3" s="3184">
        <v>2017</v>
      </c>
      <c r="B3" s="3185" t="s">
        <v>3023</v>
      </c>
      <c r="C3" s="3186" t="s">
        <v>3024</v>
      </c>
      <c r="D3" s="3187" t="s">
        <v>3025</v>
      </c>
      <c r="E3" s="3187" t="s">
        <v>3026</v>
      </c>
      <c r="F3" s="3187" t="s">
        <v>3027</v>
      </c>
      <c r="G3" s="3187" t="s">
        <v>3028</v>
      </c>
      <c r="H3" s="3187" t="s">
        <v>3029</v>
      </c>
      <c r="I3" s="3186" t="s">
        <v>3030</v>
      </c>
      <c r="J3" s="3186">
        <v>7121.0435985612075</v>
      </c>
      <c r="K3" s="3186">
        <v>1647.3462982726589</v>
      </c>
      <c r="L3" s="3186">
        <v>5473.6973002885488</v>
      </c>
    </row>
    <row r="4" spans="1:16" s="3188" customFormat="1" ht="31.5" hidden="1" customHeight="1">
      <c r="A4" s="3184">
        <v>2017</v>
      </c>
      <c r="B4" s="3185" t="s">
        <v>3031</v>
      </c>
      <c r="C4" s="3186" t="s">
        <v>3032</v>
      </c>
      <c r="D4" s="3187" t="s">
        <v>3033</v>
      </c>
      <c r="E4" s="3187" t="s">
        <v>3034</v>
      </c>
      <c r="F4" s="3187" t="s">
        <v>3035</v>
      </c>
      <c r="G4" s="3187" t="s">
        <v>3028</v>
      </c>
      <c r="H4" s="3187" t="s">
        <v>3036</v>
      </c>
      <c r="I4" s="3186" t="s">
        <v>3037</v>
      </c>
      <c r="J4" s="3186">
        <v>10970.676229508195</v>
      </c>
      <c r="K4" s="3186">
        <v>1101.3210382513662</v>
      </c>
      <c r="L4" s="3186">
        <v>9869.3551912568291</v>
      </c>
    </row>
    <row r="5" spans="1:16" hidden="1">
      <c r="J5" s="3189"/>
    </row>
    <row r="6" spans="1:16" ht="17.25" customHeight="1">
      <c r="A6" s="3586" t="s">
        <v>3038</v>
      </c>
      <c r="B6" s="3587"/>
      <c r="C6" s="3587"/>
      <c r="D6" s="3587"/>
      <c r="E6" s="3587"/>
      <c r="F6" s="3190"/>
      <c r="G6" s="3190"/>
      <c r="H6" s="3190"/>
      <c r="I6" s="3190"/>
      <c r="J6" s="3190"/>
      <c r="K6" s="3190"/>
      <c r="L6" s="3190"/>
      <c r="M6" s="3190"/>
      <c r="N6" s="3191"/>
      <c r="O6" s="3191"/>
      <c r="P6" s="3191"/>
    </row>
    <row r="7" spans="1:16" ht="13.5" customHeight="1">
      <c r="A7" s="3192" t="s">
        <v>3039</v>
      </c>
      <c r="B7" s="3192" t="s">
        <v>3040</v>
      </c>
      <c r="C7" s="3192" t="s">
        <v>3041</v>
      </c>
      <c r="D7" s="3193" t="s">
        <v>3042</v>
      </c>
      <c r="E7" s="3193" t="s">
        <v>3043</v>
      </c>
      <c r="F7" s="3192" t="s">
        <v>3014</v>
      </c>
      <c r="G7" s="3192" t="s">
        <v>3016</v>
      </c>
      <c r="H7" s="3192" t="s">
        <v>3017</v>
      </c>
      <c r="I7" s="3192" t="s">
        <v>3018</v>
      </c>
      <c r="J7" s="3192" t="s">
        <v>3019</v>
      </c>
      <c r="K7" s="3194" t="s">
        <v>3044</v>
      </c>
      <c r="L7" s="3195" t="s">
        <v>3045</v>
      </c>
      <c r="M7" s="3195"/>
      <c r="N7" s="3191"/>
      <c r="O7" s="3191"/>
      <c r="P7" s="3191"/>
    </row>
    <row r="8" spans="1:16">
      <c r="A8" s="3196"/>
      <c r="B8" s="3196"/>
      <c r="C8" s="3196"/>
      <c r="D8" s="3197"/>
      <c r="E8" s="3197"/>
      <c r="F8" s="3196"/>
      <c r="G8" s="3196"/>
      <c r="H8" s="3196"/>
      <c r="I8" s="3196"/>
      <c r="J8" s="3196"/>
      <c r="K8" s="3194"/>
      <c r="L8" s="3195" t="s">
        <v>3046</v>
      </c>
      <c r="M8" s="3195" t="s">
        <v>3047</v>
      </c>
      <c r="N8" s="3198" t="s">
        <v>3048</v>
      </c>
      <c r="O8" s="3198" t="s">
        <v>3049</v>
      </c>
      <c r="P8" s="3198"/>
    </row>
    <row r="9" spans="1:16" ht="45" hidden="1" customHeight="1">
      <c r="A9" s="3199">
        <v>2017</v>
      </c>
      <c r="B9" s="3200" t="s">
        <v>3050</v>
      </c>
      <c r="C9" s="3200" t="s">
        <v>3051</v>
      </c>
      <c r="D9" s="3201" t="s">
        <v>3052</v>
      </c>
      <c r="E9" s="3201" t="s">
        <v>3053</v>
      </c>
      <c r="F9" s="3202" t="s">
        <v>3054</v>
      </c>
      <c r="G9" s="3201" t="s">
        <v>3055</v>
      </c>
      <c r="H9" s="3201" t="s">
        <v>3056</v>
      </c>
      <c r="I9" s="3203" t="s">
        <v>3057</v>
      </c>
      <c r="J9" s="3203" t="s">
        <v>3058</v>
      </c>
      <c r="K9" s="3204">
        <v>96.99</v>
      </c>
      <c r="L9" s="3204">
        <v>51676.39</v>
      </c>
      <c r="M9" s="3204">
        <v>172115.08</v>
      </c>
      <c r="N9" s="3205">
        <v>223791.46999999997</v>
      </c>
      <c r="O9" s="3206">
        <v>2307.3664295288172</v>
      </c>
      <c r="P9" s="3206"/>
    </row>
    <row r="10" spans="1:16" s="3238" customFormat="1" ht="34.5" customHeight="1">
      <c r="A10" s="3244">
        <v>2017</v>
      </c>
      <c r="B10" s="3245" t="s">
        <v>3050</v>
      </c>
      <c r="C10" s="3245" t="s">
        <v>3051</v>
      </c>
      <c r="D10" s="3246" t="s">
        <v>3052</v>
      </c>
      <c r="E10" s="3246" t="s">
        <v>3053</v>
      </c>
      <c r="F10" s="3247" t="s">
        <v>3237</v>
      </c>
      <c r="G10" s="3246" t="s">
        <v>3059</v>
      </c>
      <c r="H10" s="3246" t="s">
        <v>3056</v>
      </c>
      <c r="I10" s="3246" t="s">
        <v>3060</v>
      </c>
      <c r="J10" s="3234" t="s">
        <v>3061</v>
      </c>
      <c r="K10" s="3248">
        <v>49.52</v>
      </c>
      <c r="L10" s="3234">
        <v>25737.439999999999</v>
      </c>
      <c r="M10" s="3234">
        <v>180122.23999999999</v>
      </c>
      <c r="N10" s="3235">
        <v>205859.68</v>
      </c>
      <c r="O10" s="3236">
        <v>4157.1017770597737</v>
      </c>
      <c r="P10" s="3236"/>
    </row>
    <row r="11" spans="1:16" ht="55.5" hidden="1" customHeight="1">
      <c r="A11" s="3199">
        <v>2017</v>
      </c>
      <c r="B11" s="3208" t="s">
        <v>3062</v>
      </c>
      <c r="C11" s="3208" t="s">
        <v>3063</v>
      </c>
      <c r="D11" s="3201" t="s">
        <v>3064</v>
      </c>
      <c r="E11" s="3201" t="s">
        <v>3053</v>
      </c>
      <c r="F11" s="3209" t="s">
        <v>3065</v>
      </c>
      <c r="G11" s="3201" t="s">
        <v>3066</v>
      </c>
      <c r="H11" s="3201" t="s">
        <v>3067</v>
      </c>
      <c r="I11" s="3203" t="s">
        <v>3068</v>
      </c>
      <c r="J11" s="3203" t="s">
        <v>3069</v>
      </c>
      <c r="K11" s="3204">
        <v>19.994820000000001</v>
      </c>
      <c r="L11" s="3204">
        <v>4110.28</v>
      </c>
      <c r="M11" s="3204">
        <v>1634.87</v>
      </c>
      <c r="N11" s="3205">
        <v>5745.15</v>
      </c>
      <c r="O11" s="3206">
        <v>287.33191896701243</v>
      </c>
      <c r="P11" s="3210"/>
    </row>
    <row r="12" spans="1:16" ht="100.5" hidden="1" customHeight="1">
      <c r="A12" s="3199">
        <v>2017</v>
      </c>
      <c r="B12" s="3200" t="s">
        <v>3070</v>
      </c>
      <c r="C12" s="3200" t="s">
        <v>3071</v>
      </c>
      <c r="D12" s="3201" t="s">
        <v>3072</v>
      </c>
      <c r="E12" s="3201" t="s">
        <v>3053</v>
      </c>
      <c r="F12" s="3201" t="s">
        <v>3073</v>
      </c>
      <c r="G12" s="3201" t="s">
        <v>3074</v>
      </c>
      <c r="H12" s="3201" t="s">
        <v>3028</v>
      </c>
      <c r="I12" s="3203" t="s">
        <v>3075</v>
      </c>
      <c r="J12" s="3211" t="s">
        <v>3076</v>
      </c>
      <c r="K12" s="3212">
        <v>72.180000000000007</v>
      </c>
      <c r="L12" s="3204">
        <v>20148.59</v>
      </c>
      <c r="M12" s="3204">
        <v>195592.13</v>
      </c>
      <c r="N12" s="3205">
        <v>215740.72</v>
      </c>
      <c r="O12" s="3206">
        <v>2988.9265724577444</v>
      </c>
      <c r="P12" s="3213"/>
    </row>
    <row r="13" spans="1:16" s="3207" customFormat="1" ht="123.75" hidden="1" customHeight="1">
      <c r="A13" s="3199">
        <v>2017</v>
      </c>
      <c r="B13" s="3200" t="s">
        <v>3070</v>
      </c>
      <c r="C13" s="3200" t="s">
        <v>3071</v>
      </c>
      <c r="D13" s="3201" t="s">
        <v>3072</v>
      </c>
      <c r="E13" s="3201" t="s">
        <v>3053</v>
      </c>
      <c r="F13" s="3201" t="s">
        <v>3077</v>
      </c>
      <c r="G13" s="3201" t="s">
        <v>3078</v>
      </c>
      <c r="H13" s="3201" t="s">
        <v>3028</v>
      </c>
      <c r="I13" s="3201" t="s">
        <v>3079</v>
      </c>
      <c r="J13" s="3214" t="s">
        <v>3080</v>
      </c>
      <c r="K13" s="3215">
        <v>148.19999999999999</v>
      </c>
      <c r="L13" s="3204">
        <v>46469.07</v>
      </c>
      <c r="M13" s="3204">
        <v>462882.97</v>
      </c>
      <c r="N13" s="3205">
        <v>509352.04</v>
      </c>
      <c r="O13" s="3206">
        <v>3436.9233468286102</v>
      </c>
      <c r="P13" s="3213"/>
    </row>
    <row r="14" spans="1:16" ht="87.75" hidden="1" customHeight="1">
      <c r="A14" s="3199">
        <v>2017</v>
      </c>
      <c r="B14" s="3208" t="s">
        <v>3081</v>
      </c>
      <c r="C14" s="3208" t="s">
        <v>3082</v>
      </c>
      <c r="D14" s="3201" t="s">
        <v>3083</v>
      </c>
      <c r="E14" s="3201" t="s">
        <v>3053</v>
      </c>
      <c r="F14" s="3201" t="s">
        <v>3084</v>
      </c>
      <c r="G14" s="3201" t="s">
        <v>3085</v>
      </c>
      <c r="H14" s="3201" t="s">
        <v>3086</v>
      </c>
      <c r="I14" s="3203" t="s">
        <v>3087</v>
      </c>
      <c r="J14" s="3203" t="s">
        <v>3088</v>
      </c>
      <c r="K14" s="3204">
        <v>132.25</v>
      </c>
      <c r="L14" s="3204">
        <v>24298.5</v>
      </c>
      <c r="M14" s="3204">
        <v>107594.55</v>
      </c>
      <c r="N14" s="3205">
        <v>131893.04999999999</v>
      </c>
      <c r="O14" s="3206">
        <v>997.30094517958401</v>
      </c>
      <c r="P14" s="3213"/>
    </row>
    <row r="15" spans="1:16" s="3207" customFormat="1" ht="44.25" customHeight="1">
      <c r="A15" s="3199">
        <v>2017</v>
      </c>
      <c r="B15" s="3208" t="s">
        <v>3081</v>
      </c>
      <c r="C15" s="3216" t="s">
        <v>3082</v>
      </c>
      <c r="D15" s="3217" t="s">
        <v>3089</v>
      </c>
      <c r="E15" s="3201" t="s">
        <v>3090</v>
      </c>
      <c r="F15" s="3218" t="s">
        <v>3091</v>
      </c>
      <c r="G15" s="3201" t="s">
        <v>3074</v>
      </c>
      <c r="H15" s="3201" t="s">
        <v>3028</v>
      </c>
      <c r="I15" s="3219" t="s">
        <v>3092</v>
      </c>
      <c r="J15" s="3219" t="s">
        <v>3093</v>
      </c>
      <c r="K15" s="3215">
        <v>217.58</v>
      </c>
      <c r="L15" s="3204">
        <v>106922.18</v>
      </c>
      <c r="M15" s="3204">
        <v>1002860.16</v>
      </c>
      <c r="N15" s="3205">
        <v>1109782.3400000001</v>
      </c>
      <c r="O15" s="3206">
        <v>5100.5714679658058</v>
      </c>
      <c r="P15" s="3220"/>
    </row>
    <row r="16" spans="1:16" s="3238" customFormat="1" ht="63" customHeight="1">
      <c r="A16" s="3231">
        <v>2018</v>
      </c>
      <c r="B16" s="3232" t="s">
        <v>3094</v>
      </c>
      <c r="C16" s="3249" t="s">
        <v>3095</v>
      </c>
      <c r="D16" s="3250" t="s">
        <v>3089</v>
      </c>
      <c r="E16" s="3250" t="s">
        <v>3053</v>
      </c>
      <c r="F16" s="3250" t="s">
        <v>3236</v>
      </c>
      <c r="G16" s="3250" t="s">
        <v>3074</v>
      </c>
      <c r="H16" s="3250" t="s">
        <v>3028</v>
      </c>
      <c r="I16" s="3250" t="s">
        <v>3096</v>
      </c>
      <c r="J16" s="3247" t="s">
        <v>3097</v>
      </c>
      <c r="K16" s="3239">
        <v>193.55</v>
      </c>
      <c r="L16" s="3234">
        <v>230654.05</v>
      </c>
      <c r="M16" s="3234">
        <v>598903.21</v>
      </c>
      <c r="N16" s="3235">
        <v>829557.26</v>
      </c>
      <c r="O16" s="3281">
        <v>4286.0101265822786</v>
      </c>
      <c r="P16" s="3237"/>
    </row>
    <row r="17" spans="1:16" ht="68.25" hidden="1" customHeight="1">
      <c r="A17" s="3221">
        <v>2018</v>
      </c>
      <c r="B17" s="3208" t="s">
        <v>3094</v>
      </c>
      <c r="C17" s="3222" t="s">
        <v>3095</v>
      </c>
      <c r="D17" s="3209" t="s">
        <v>3089</v>
      </c>
      <c r="E17" s="3209" t="s">
        <v>3053</v>
      </c>
      <c r="F17" s="3209" t="s">
        <v>3098</v>
      </c>
      <c r="G17" s="3209" t="s">
        <v>3099</v>
      </c>
      <c r="H17" s="3209" t="s">
        <v>3028</v>
      </c>
      <c r="I17" s="3224" t="s">
        <v>3100</v>
      </c>
      <c r="J17" s="3225" t="s">
        <v>3101</v>
      </c>
      <c r="K17" s="3226">
        <v>210.43</v>
      </c>
      <c r="L17" s="3204">
        <v>23862.83</v>
      </c>
      <c r="M17" s="3204">
        <v>602931.53</v>
      </c>
      <c r="N17" s="3205">
        <v>626794.36</v>
      </c>
      <c r="O17" s="3206">
        <v>2978.6359359406929</v>
      </c>
      <c r="P17" s="3223"/>
    </row>
    <row r="18" spans="1:16" s="3238" customFormat="1" ht="78" customHeight="1">
      <c r="A18" s="3231">
        <v>2018</v>
      </c>
      <c r="B18" s="3232" t="s">
        <v>3094</v>
      </c>
      <c r="C18" s="3249" t="s">
        <v>3095</v>
      </c>
      <c r="D18" s="3250" t="s">
        <v>3089</v>
      </c>
      <c r="E18" s="3250" t="s">
        <v>3053</v>
      </c>
      <c r="F18" s="3250" t="s">
        <v>3235</v>
      </c>
      <c r="G18" s="3250" t="s">
        <v>3074</v>
      </c>
      <c r="H18" s="3250" t="s">
        <v>3028</v>
      </c>
      <c r="I18" s="3250" t="s">
        <v>3102</v>
      </c>
      <c r="J18" s="3247" t="s">
        <v>3103</v>
      </c>
      <c r="K18" s="3233">
        <v>74.25</v>
      </c>
      <c r="L18" s="3234">
        <v>13520.67</v>
      </c>
      <c r="M18" s="3234">
        <v>291651.92</v>
      </c>
      <c r="N18" s="3235">
        <v>305172.58999999997</v>
      </c>
      <c r="O18" s="3281">
        <v>4110.0685521885516</v>
      </c>
      <c r="P18" s="3237"/>
    </row>
    <row r="19" spans="1:16" s="3207" customFormat="1" ht="62.25" hidden="1" customHeight="1">
      <c r="A19" s="3221">
        <v>2018</v>
      </c>
      <c r="B19" s="3208" t="s">
        <v>3094</v>
      </c>
      <c r="C19" s="3222" t="s">
        <v>3095</v>
      </c>
      <c r="D19" s="3209" t="s">
        <v>3104</v>
      </c>
      <c r="E19" s="3209" t="s">
        <v>3053</v>
      </c>
      <c r="F19" s="3209" t="s">
        <v>3105</v>
      </c>
      <c r="G19" s="3209" t="s">
        <v>3106</v>
      </c>
      <c r="H19" s="3209" t="s">
        <v>3028</v>
      </c>
      <c r="I19" s="3209" t="s">
        <v>3107</v>
      </c>
      <c r="J19" s="3202" t="s">
        <v>3108</v>
      </c>
      <c r="K19" s="3226">
        <v>29.09</v>
      </c>
      <c r="L19" s="3204">
        <v>12773.36</v>
      </c>
      <c r="M19" s="3204">
        <v>231746.85</v>
      </c>
      <c r="N19" s="3205">
        <v>244520.21000000002</v>
      </c>
      <c r="O19" s="3206">
        <v>8405.6448951529746</v>
      </c>
      <c r="P19" s="3223"/>
    </row>
    <row r="20" spans="1:16" s="3207" customFormat="1" ht="93" hidden="1" customHeight="1">
      <c r="A20" s="3221">
        <v>2018</v>
      </c>
      <c r="B20" s="3208" t="s">
        <v>3109</v>
      </c>
      <c r="C20" s="3227" t="s">
        <v>3110</v>
      </c>
      <c r="D20" s="3226" t="s">
        <v>3089</v>
      </c>
      <c r="E20" s="3226" t="s">
        <v>3053</v>
      </c>
      <c r="F20" s="3226" t="s">
        <v>3111</v>
      </c>
      <c r="G20" s="3226" t="s">
        <v>3074</v>
      </c>
      <c r="H20" s="3226" t="s">
        <v>3028</v>
      </c>
      <c r="I20" s="3226" t="s">
        <v>3112</v>
      </c>
      <c r="J20" s="3226" t="s">
        <v>3113</v>
      </c>
      <c r="K20" s="3226">
        <v>165.53</v>
      </c>
      <c r="L20" s="3204">
        <v>55495.91</v>
      </c>
      <c r="M20" s="3204">
        <v>418159.92</v>
      </c>
      <c r="N20" s="3205">
        <v>473655.82999999996</v>
      </c>
      <c r="O20" s="3206">
        <v>2861.4500694738113</v>
      </c>
      <c r="P20" s="3223"/>
    </row>
    <row r="21" spans="1:16" s="3207" customFormat="1" ht="117.75" hidden="1" customHeight="1">
      <c r="A21" s="3221">
        <v>2018</v>
      </c>
      <c r="B21" s="3208" t="s">
        <v>3114</v>
      </c>
      <c r="C21" s="3227" t="s">
        <v>3110</v>
      </c>
      <c r="D21" s="3226" t="s">
        <v>3089</v>
      </c>
      <c r="E21" s="3226" t="s">
        <v>3053</v>
      </c>
      <c r="F21" s="3226" t="s">
        <v>3115</v>
      </c>
      <c r="G21" s="3226" t="s">
        <v>3116</v>
      </c>
      <c r="H21" s="3226" t="s">
        <v>3028</v>
      </c>
      <c r="I21" s="3226" t="s">
        <v>3117</v>
      </c>
      <c r="J21" s="3226" t="s">
        <v>3118</v>
      </c>
      <c r="K21" s="3228">
        <v>175.57</v>
      </c>
      <c r="L21" s="3204">
        <v>157294.39999999999</v>
      </c>
      <c r="M21" s="3204">
        <v>394653.43</v>
      </c>
      <c r="N21" s="3205">
        <v>551947.82999999996</v>
      </c>
      <c r="O21" s="3206">
        <v>3143.7479637751321</v>
      </c>
      <c r="P21" s="3223"/>
    </row>
    <row r="22" spans="1:16" s="3207" customFormat="1" ht="44.25" customHeight="1">
      <c r="A22" s="3221">
        <v>2018</v>
      </c>
      <c r="B22" s="3208" t="s">
        <v>3119</v>
      </c>
      <c r="C22" s="3215">
        <v>12</v>
      </c>
      <c r="D22" s="3229" t="s">
        <v>3089</v>
      </c>
      <c r="E22" s="3229" t="s">
        <v>3053</v>
      </c>
      <c r="F22" s="3229" t="s">
        <v>3120</v>
      </c>
      <c r="G22" s="3229" t="s">
        <v>3074</v>
      </c>
      <c r="H22" s="3229" t="s">
        <v>3028</v>
      </c>
      <c r="I22" s="3229" t="s">
        <v>3121</v>
      </c>
      <c r="J22" s="3229" t="s">
        <v>3122</v>
      </c>
      <c r="K22" s="3226">
        <v>239.14</v>
      </c>
      <c r="L22" s="3204">
        <v>61695.44</v>
      </c>
      <c r="M22" s="3204">
        <v>859650.5</v>
      </c>
      <c r="N22" s="3205">
        <v>921345.94</v>
      </c>
      <c r="O22" s="3282">
        <v>3852.7470937526136</v>
      </c>
      <c r="P22" s="3230"/>
    </row>
    <row r="23" spans="1:16" ht="65.25" hidden="1" customHeight="1">
      <c r="A23" s="3221">
        <v>2018</v>
      </c>
      <c r="B23" s="3208" t="s">
        <v>3114</v>
      </c>
      <c r="C23" s="3215" t="s">
        <v>3123</v>
      </c>
      <c r="D23" s="3229" t="s">
        <v>3089</v>
      </c>
      <c r="E23" s="3229" t="s">
        <v>3053</v>
      </c>
      <c r="F23" s="3229" t="s">
        <v>3124</v>
      </c>
      <c r="G23" s="3229" t="s">
        <v>3074</v>
      </c>
      <c r="H23" s="3229" t="s">
        <v>3028</v>
      </c>
      <c r="I23" s="3229" t="s">
        <v>3125</v>
      </c>
      <c r="J23" s="3229" t="s">
        <v>3126</v>
      </c>
      <c r="K23" s="3226">
        <v>55.01</v>
      </c>
      <c r="L23" s="3204">
        <v>61454.45</v>
      </c>
      <c r="M23" s="3204">
        <v>558371.41</v>
      </c>
      <c r="N23" s="3205">
        <v>619825.86</v>
      </c>
      <c r="O23" s="3206">
        <v>11267.512452281404</v>
      </c>
      <c r="P23" s="3230"/>
    </row>
    <row r="25" spans="1:16" ht="45">
      <c r="A25" s="3192" t="s">
        <v>3011</v>
      </c>
      <c r="B25" s="3192" t="s">
        <v>3210</v>
      </c>
      <c r="C25" s="3192" t="s">
        <v>3012</v>
      </c>
      <c r="D25" s="3192" t="s">
        <v>3013</v>
      </c>
      <c r="E25" s="3192" t="s">
        <v>3211</v>
      </c>
      <c r="F25" s="3192" t="s">
        <v>3014</v>
      </c>
      <c r="G25" s="3192" t="s">
        <v>3016</v>
      </c>
      <c r="H25" s="3192" t="s">
        <v>3017</v>
      </c>
      <c r="I25" s="3192" t="s">
        <v>3018</v>
      </c>
      <c r="J25" s="3192" t="s">
        <v>3019</v>
      </c>
      <c r="K25" s="3275" t="s">
        <v>3212</v>
      </c>
      <c r="L25" s="3275" t="s">
        <v>3213</v>
      </c>
      <c r="M25" s="3275" t="s">
        <v>3214</v>
      </c>
      <c r="N25" s="3275" t="s">
        <v>3215</v>
      </c>
    </row>
    <row r="26" spans="1:16" s="3238" customFormat="1" ht="99" customHeight="1">
      <c r="A26" s="3274">
        <v>2018</v>
      </c>
      <c r="B26" s="3273" t="s">
        <v>3204</v>
      </c>
      <c r="C26" s="3276" t="s">
        <v>3205</v>
      </c>
      <c r="D26" s="3240" t="s">
        <v>3206</v>
      </c>
      <c r="E26" s="3240" t="s">
        <v>3053</v>
      </c>
      <c r="F26" s="3240" t="s">
        <v>3222</v>
      </c>
      <c r="G26" s="3240" t="s">
        <v>3207</v>
      </c>
      <c r="H26" s="3240" t="s">
        <v>3028</v>
      </c>
      <c r="I26" s="3240" t="s">
        <v>3208</v>
      </c>
      <c r="J26" s="3240" t="s">
        <v>3209</v>
      </c>
      <c r="K26" s="3278">
        <v>113.32</v>
      </c>
      <c r="L26" s="3279">
        <v>4086.35</v>
      </c>
      <c r="M26" s="3280">
        <v>746.54</v>
      </c>
      <c r="N26" s="3280">
        <v>3339.81</v>
      </c>
    </row>
  </sheetData>
  <mergeCells count="11">
    <mergeCell ref="G1:G2"/>
    <mergeCell ref="H1:H2"/>
    <mergeCell ref="I1:I2"/>
    <mergeCell ref="J1:L1"/>
    <mergeCell ref="A6:E6"/>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{BF1ADCEB-C277-4F93-85DF-927026C91C2F}</x14:id>
        </ext>
      </extLst>
    </cfRule>
  </conditionalFormatting>
  <conditionalFormatting sqref="B21">
    <cfRule type="dataBar" priority="3">
      <dataBar>
        <cfvo type="min"/>
        <cfvo type="max"/>
        <color rgb="FF638EC6"/>
      </dataBar>
      <extLst>
        <ext xmlns:x14="http://schemas.microsoft.com/office/spreadsheetml/2009/9/main" uri="{B025F937-C7B1-47D3-B67F-A62EFF666E3E}">
          <x14:id>{453531ED-8CEB-4A55-BEA3-C1ABCA472239}</x14:id>
        </ext>
      </extLst>
    </cfRule>
  </conditionalFormatting>
  <conditionalFormatting sqref="B22">
    <cfRule type="dataBar" priority="2">
      <dataBar>
        <cfvo type="min"/>
        <cfvo type="max"/>
        <color rgb="FF638EC6"/>
      </dataBar>
      <extLst>
        <ext xmlns:x14="http://schemas.microsoft.com/office/spreadsheetml/2009/9/main" uri="{B025F937-C7B1-47D3-B67F-A62EFF666E3E}">
          <x14:id>{ACF9868E-49A3-45E7-BE34-A78ABFB5B928}</x14:id>
        </ext>
      </extLst>
    </cfRule>
  </conditionalFormatting>
  <conditionalFormatting sqref="B23">
    <cfRule type="dataBar" priority="1">
      <dataBar>
        <cfvo type="min"/>
        <cfvo type="max"/>
        <color rgb="FF638EC6"/>
      </dataBar>
      <extLst>
        <ext xmlns:x14="http://schemas.microsoft.com/office/spreadsheetml/2009/9/main" uri="{B025F937-C7B1-47D3-B67F-A62EFF666E3E}">
          <x14:id>{30BACEF7-725C-4281-B177-519E01545966}</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BF1ADCEB-C277-4F93-85DF-927026C91C2F}">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453531ED-8CEB-4A55-BEA3-C1ABCA472239}">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ACF9868E-49A3-45E7-BE34-A78ABFB5B928}">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30BACEF7-725C-4281-B177-519E01545966}">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 sqref="N1"/>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topLeftCell="B1" zoomScale="90" zoomScaleNormal="90" workbookViewId="0">
      <selection activeCell="F31" sqref="F31"/>
    </sheetView>
  </sheetViews>
  <sheetFormatPr defaultRowHeight="13.5"/>
  <cols>
    <col min="1" max="1" width="9" style="3251"/>
    <col min="2" max="2" width="15.875" style="3251" customWidth="1"/>
    <col min="3" max="3" width="11.625" style="3251" customWidth="1"/>
    <col min="4" max="4" width="6" style="3251" customWidth="1"/>
    <col min="5" max="5" width="11.875" style="3251" customWidth="1"/>
    <col min="6" max="6" width="5.75" style="3251" customWidth="1"/>
    <col min="7" max="7" width="12.625" style="3251" customWidth="1"/>
    <col min="8" max="8" width="6.875" style="3251" customWidth="1"/>
    <col min="9" max="9" width="12.75" style="3251" customWidth="1"/>
    <col min="10" max="10" width="5.25" style="3251" customWidth="1"/>
    <col min="11" max="11" width="12" style="3251" customWidth="1"/>
    <col min="12" max="12" width="6" style="3251" customWidth="1"/>
    <col min="13" max="13" width="12" style="3251" hidden="1" customWidth="1"/>
    <col min="14" max="14" width="0" style="3251" hidden="1" customWidth="1"/>
    <col min="15" max="17" width="9" style="3251"/>
    <col min="18" max="18" width="13.125" style="3251" customWidth="1"/>
    <col min="19" max="20" width="9" style="3251"/>
    <col min="21" max="21" width="9.625" style="3251" bestFit="1" customWidth="1"/>
    <col min="22" max="16384" width="9" style="3251"/>
  </cols>
  <sheetData>
    <row r="1" spans="1:24">
      <c r="A1" s="3589" t="s">
        <v>3131</v>
      </c>
      <c r="B1" s="3589"/>
      <c r="C1" s="3589"/>
      <c r="D1" s="3589"/>
      <c r="E1" s="3589"/>
      <c r="F1" s="3589"/>
      <c r="G1" s="3589"/>
      <c r="H1" s="3589"/>
      <c r="I1" s="3589"/>
      <c r="J1" s="3589"/>
    </row>
    <row r="2" spans="1:24">
      <c r="A2" s="3252"/>
      <c r="B2" s="3252"/>
      <c r="C2" s="3252"/>
      <c r="D2" s="3252"/>
      <c r="E2" s="3252"/>
      <c r="F2" s="3252"/>
      <c r="G2" s="3252"/>
      <c r="H2" s="3252"/>
      <c r="I2" s="3252"/>
      <c r="J2" s="3252"/>
      <c r="K2" s="3252"/>
      <c r="L2" s="3252"/>
      <c r="M2" s="3252"/>
      <c r="N2" s="3252"/>
    </row>
    <row r="3" spans="1:24" ht="15">
      <c r="A3" s="3590" t="s">
        <v>3132</v>
      </c>
      <c r="B3" s="3590"/>
      <c r="C3" s="3591" t="s">
        <v>3133</v>
      </c>
      <c r="D3" s="3591"/>
      <c r="E3" s="3591" t="s">
        <v>3134</v>
      </c>
      <c r="F3" s="3591"/>
      <c r="G3" s="3591" t="s">
        <v>3135</v>
      </c>
      <c r="H3" s="3591"/>
      <c r="I3" s="3591" t="s">
        <v>3136</v>
      </c>
      <c r="J3" s="3591"/>
      <c r="K3" s="3591" t="s">
        <v>3137</v>
      </c>
      <c r="L3" s="3591"/>
      <c r="M3" s="3591" t="s">
        <v>3138</v>
      </c>
      <c r="N3" s="3591"/>
      <c r="P3" s="3253"/>
      <c r="Q3" s="3253"/>
      <c r="R3" s="3253"/>
      <c r="S3" s="3253"/>
      <c r="T3" s="3254"/>
      <c r="U3" s="3255"/>
      <c r="V3" s="3253"/>
    </row>
    <row r="4" spans="1:24" ht="60" customHeight="1">
      <c r="A4" s="3590" t="s">
        <v>3139</v>
      </c>
      <c r="B4" s="3590"/>
      <c r="C4" s="3592"/>
      <c r="D4" s="3593"/>
      <c r="E4" s="3592" t="str">
        <f>土地案例!F26</f>
        <v>昌平区六环路土城出口土城新村改造
土地一级开发项目核A-04、A-05、A-07地块</v>
      </c>
      <c r="F4" s="3593"/>
      <c r="G4" s="3592" t="str">
        <f>土地案例!F18</f>
        <v>大兴区黄村镇三合庄改造区土地一级开发项目DX00-0202-6008、6009
地块</v>
      </c>
      <c r="H4" s="3593"/>
      <c r="I4" s="3592" t="str">
        <f>土地案例!F16</f>
        <v>大兴区瀛海镇西区C1-C5土地一级开发项目YZ00-0803-6024、6025、6027、6028等地块</v>
      </c>
      <c r="J4" s="3593"/>
      <c r="K4" s="3592" t="str">
        <f>土地案例!F10</f>
        <v xml:space="preserve">顺义区后沙峪镇马头庄村土地一级开发项目A地块中SY00-0019-6001等地块 </v>
      </c>
      <c r="L4" s="3593"/>
      <c r="M4" s="3592"/>
      <c r="N4" s="3593"/>
      <c r="P4" s="3256" t="s">
        <v>3140</v>
      </c>
      <c r="Q4" s="3253"/>
      <c r="R4" s="3256" t="s">
        <v>3141</v>
      </c>
      <c r="S4" s="3253"/>
      <c r="T4" s="3254"/>
      <c r="U4" s="3255"/>
      <c r="V4" s="3255"/>
    </row>
    <row r="5" spans="1:24" ht="23.25" hidden="1" customHeight="1">
      <c r="A5" s="3590" t="s">
        <v>3142</v>
      </c>
      <c r="B5" s="3590"/>
      <c r="C5" s="3592" t="s">
        <v>3143</v>
      </c>
      <c r="D5" s="3593"/>
      <c r="E5" s="3592">
        <f>[3]橡树湾数据!H7</f>
        <v>109.08</v>
      </c>
      <c r="F5" s="3593"/>
      <c r="G5" s="3592">
        <f>[3]领秀硅谷数据!H6</f>
        <v>101.33</v>
      </c>
      <c r="H5" s="3593"/>
      <c r="I5" s="3592">
        <f>[3]毛纺厂西数据!H6</f>
        <v>110.5</v>
      </c>
      <c r="J5" s="3593"/>
      <c r="K5" s="3592">
        <f>[3]专家国际花园数据!H6</f>
        <v>102</v>
      </c>
      <c r="L5" s="3593"/>
      <c r="M5" s="3592">
        <f>[3]尚品公寓数据!H6</f>
        <v>98.25</v>
      </c>
      <c r="N5" s="3593"/>
      <c r="P5" s="3257">
        <v>42948</v>
      </c>
      <c r="Q5" s="3258" t="e">
        <f>[4]土地案例!#REF!</f>
        <v>#REF!</v>
      </c>
      <c r="R5" s="3259">
        <f>V6</f>
        <v>1.0158</v>
      </c>
      <c r="S5" s="3258" t="e">
        <f>ROUND(Q5*R5*W5,1)</f>
        <v>#REF!</v>
      </c>
      <c r="T5" s="3254" t="s">
        <v>2989</v>
      </c>
      <c r="U5" s="3255">
        <f>[4]地价!W3</f>
        <v>0</v>
      </c>
      <c r="V5" s="3255">
        <f t="shared" ref="V5:V9" si="0">1+U5</f>
        <v>1</v>
      </c>
    </row>
    <row r="6" spans="1:24" ht="15">
      <c r="A6" s="3590" t="s">
        <v>3144</v>
      </c>
      <c r="B6" s="3590"/>
      <c r="C6" s="3260">
        <v>43654</v>
      </c>
      <c r="D6" s="3261">
        <v>100</v>
      </c>
      <c r="E6" s="3262" t="s">
        <v>3218</v>
      </c>
      <c r="F6" s="3261">
        <v>98.5</v>
      </c>
      <c r="G6" s="3262" t="s">
        <v>3219</v>
      </c>
      <c r="H6" s="3261">
        <v>98</v>
      </c>
      <c r="I6" s="3262" t="s">
        <v>3220</v>
      </c>
      <c r="J6" s="3261">
        <v>98</v>
      </c>
      <c r="K6" s="3262" t="s">
        <v>3221</v>
      </c>
      <c r="L6" s="3261">
        <v>95</v>
      </c>
      <c r="M6" s="3262" t="s">
        <v>3145</v>
      </c>
      <c r="N6" s="3261">
        <v>100</v>
      </c>
      <c r="P6" s="3263" t="s">
        <v>3146</v>
      </c>
      <c r="Q6" s="3258">
        <f>100/R6</f>
        <v>98.444575703878712</v>
      </c>
      <c r="R6" s="3259">
        <f>V6</f>
        <v>1.0158</v>
      </c>
      <c r="S6" s="3258">
        <f>ROUND(Q6*R6*W6,1)</f>
        <v>0</v>
      </c>
      <c r="T6" s="3254" t="s">
        <v>3147</v>
      </c>
      <c r="U6" s="3255">
        <f>[2]地价!Q13</f>
        <v>1.5800000000000002E-2</v>
      </c>
      <c r="V6" s="3255">
        <f t="shared" si="0"/>
        <v>1.0158</v>
      </c>
    </row>
    <row r="7" spans="1:24" ht="15">
      <c r="A7" s="3590" t="s">
        <v>3148</v>
      </c>
      <c r="B7" s="3590"/>
      <c r="C7" s="3264" t="s">
        <v>3149</v>
      </c>
      <c r="D7" s="3264">
        <v>100</v>
      </c>
      <c r="E7" s="3264" t="s">
        <v>3149</v>
      </c>
      <c r="F7" s="3264">
        <v>100</v>
      </c>
      <c r="G7" s="3264" t="s">
        <v>3149</v>
      </c>
      <c r="H7" s="3264">
        <f>IF(G7=C7,100,"请调整")</f>
        <v>100</v>
      </c>
      <c r="I7" s="3264" t="s">
        <v>3149</v>
      </c>
      <c r="J7" s="3264">
        <f>IF(I7=C7,100,"请调整")</f>
        <v>100</v>
      </c>
      <c r="K7" s="3264" t="s">
        <v>3149</v>
      </c>
      <c r="L7" s="3264">
        <f>IF(K7=G7,100,"请调整")</f>
        <v>100</v>
      </c>
      <c r="M7" s="3264" t="s">
        <v>3149</v>
      </c>
      <c r="N7" s="3264">
        <f>IF(M7=G7,100,"请调整")</f>
        <v>100</v>
      </c>
      <c r="P7" s="3263" t="s">
        <v>3150</v>
      </c>
      <c r="Q7" s="3258">
        <f>100/R7</f>
        <v>98.347757671125109</v>
      </c>
      <c r="R7" s="3259">
        <f>V7</f>
        <v>1.0167999999999999</v>
      </c>
      <c r="S7" s="3258">
        <f>ROUND(Q7*R7*W7,1)</f>
        <v>0</v>
      </c>
      <c r="T7" s="3254" t="s">
        <v>3151</v>
      </c>
      <c r="U7" s="3255">
        <f>[2]地价!Q12</f>
        <v>1.6799999999999999E-2</v>
      </c>
      <c r="V7" s="3255">
        <f t="shared" si="0"/>
        <v>1.0167999999999999</v>
      </c>
    </row>
    <row r="8" spans="1:24" ht="24">
      <c r="A8" s="3594" t="s">
        <v>3152</v>
      </c>
      <c r="B8" s="3265" t="s">
        <v>1655</v>
      </c>
      <c r="C8" s="3266" t="s">
        <v>3153</v>
      </c>
      <c r="D8" s="3266">
        <v>100</v>
      </c>
      <c r="E8" s="3266" t="s">
        <v>3234</v>
      </c>
      <c r="F8" s="3266">
        <v>100</v>
      </c>
      <c r="G8" s="3266" t="s">
        <v>3153</v>
      </c>
      <c r="H8" s="3266">
        <v>100</v>
      </c>
      <c r="I8" s="3266" t="s">
        <v>3153</v>
      </c>
      <c r="J8" s="3266">
        <v>100</v>
      </c>
      <c r="K8" s="3266" t="s">
        <v>3153</v>
      </c>
      <c r="L8" s="3266">
        <v>100</v>
      </c>
      <c r="M8" s="3266" t="s">
        <v>3153</v>
      </c>
      <c r="N8" s="3264">
        <v>100</v>
      </c>
      <c r="P8" s="3263" t="s">
        <v>3155</v>
      </c>
      <c r="Q8" s="3258">
        <f>100/R8</f>
        <v>98.309083759339359</v>
      </c>
      <c r="R8" s="3267">
        <f>V8</f>
        <v>1.0172000000000001</v>
      </c>
      <c r="S8" s="3258"/>
      <c r="T8" s="3254" t="s">
        <v>3156</v>
      </c>
      <c r="U8" s="3255">
        <f>[2]地价!Q11</f>
        <v>1.72E-2</v>
      </c>
      <c r="V8" s="3255">
        <f t="shared" si="0"/>
        <v>1.0172000000000001</v>
      </c>
    </row>
    <row r="9" spans="1:24" ht="15">
      <c r="A9" s="3595"/>
      <c r="B9" s="3265" t="s">
        <v>3157</v>
      </c>
      <c r="C9" s="3268" t="s">
        <v>3154</v>
      </c>
      <c r="D9" s="3266">
        <v>100</v>
      </c>
      <c r="E9" s="3266" t="s">
        <v>3158</v>
      </c>
      <c r="F9" s="3266">
        <v>98</v>
      </c>
      <c r="G9" s="3266" t="s">
        <v>3158</v>
      </c>
      <c r="H9" s="3266">
        <v>98</v>
      </c>
      <c r="I9" s="3266" t="s">
        <v>3158</v>
      </c>
      <c r="J9" s="3266">
        <v>98</v>
      </c>
      <c r="K9" s="3266" t="s">
        <v>3158</v>
      </c>
      <c r="L9" s="3266">
        <v>98</v>
      </c>
      <c r="M9" s="3266" t="s">
        <v>3158</v>
      </c>
      <c r="N9" s="3264">
        <v>100</v>
      </c>
      <c r="P9" s="3263" t="s">
        <v>3159</v>
      </c>
      <c r="Q9" s="3258">
        <f>100/R9</f>
        <v>98.726429065060728</v>
      </c>
      <c r="R9" s="3267">
        <f>V9</f>
        <v>1.0128999999999999</v>
      </c>
      <c r="S9" s="3258"/>
      <c r="T9" s="3254" t="s">
        <v>3160</v>
      </c>
      <c r="U9" s="3255">
        <f>[2]地价!Q6</f>
        <v>1.29E-2</v>
      </c>
      <c r="V9" s="3255">
        <f t="shared" si="0"/>
        <v>1.0128999999999999</v>
      </c>
    </row>
    <row r="10" spans="1:24" ht="24">
      <c r="A10" s="3595"/>
      <c r="B10" s="3265" t="s">
        <v>3161</v>
      </c>
      <c r="C10" s="3266" t="s">
        <v>3225</v>
      </c>
      <c r="D10" s="3266">
        <v>100</v>
      </c>
      <c r="E10" s="3266" t="s">
        <v>3223</v>
      </c>
      <c r="F10" s="3266">
        <v>101</v>
      </c>
      <c r="G10" s="3266" t="s">
        <v>3223</v>
      </c>
      <c r="H10" s="3266">
        <v>101</v>
      </c>
      <c r="I10" s="3266" t="s">
        <v>3223</v>
      </c>
      <c r="J10" s="3266">
        <v>101</v>
      </c>
      <c r="K10" s="3266" t="s">
        <v>3224</v>
      </c>
      <c r="L10" s="3266">
        <v>101</v>
      </c>
      <c r="M10" s="3266" t="s">
        <v>3162</v>
      </c>
      <c r="N10" s="3264">
        <v>100</v>
      </c>
      <c r="P10" s="3258"/>
      <c r="Q10" s="3258"/>
      <c r="R10" s="3258"/>
      <c r="S10" s="3258"/>
      <c r="T10" s="3254"/>
      <c r="U10" s="3255"/>
      <c r="V10" s="3255"/>
    </row>
    <row r="11" spans="1:24" ht="48">
      <c r="A11" s="3595"/>
      <c r="B11" s="3269" t="s">
        <v>3163</v>
      </c>
      <c r="C11" s="3265" t="s">
        <v>3165</v>
      </c>
      <c r="D11" s="3266">
        <v>100</v>
      </c>
      <c r="E11" s="3283" t="s">
        <v>3238</v>
      </c>
      <c r="F11" s="3284">
        <v>98</v>
      </c>
      <c r="G11" s="3265" t="s">
        <v>3165</v>
      </c>
      <c r="H11" s="3264">
        <v>100</v>
      </c>
      <c r="I11" s="3265" t="s">
        <v>3165</v>
      </c>
      <c r="J11" s="3264">
        <v>100</v>
      </c>
      <c r="K11" s="3265" t="s">
        <v>3165</v>
      </c>
      <c r="L11" s="3264">
        <v>100</v>
      </c>
      <c r="M11" s="3265" t="s">
        <v>3164</v>
      </c>
      <c r="N11" s="3264">
        <v>100</v>
      </c>
      <c r="O11" s="3251">
        <v>19.3</v>
      </c>
      <c r="P11" s="3258">
        <v>2019.1</v>
      </c>
      <c r="Q11" s="3258">
        <v>18.399999999999999</v>
      </c>
      <c r="R11" s="3259">
        <v>0.183</v>
      </c>
      <c r="S11" s="3258">
        <v>18.2</v>
      </c>
      <c r="T11" s="3254" t="s">
        <v>3166</v>
      </c>
      <c r="U11" s="3255">
        <v>0.17399999999999999</v>
      </c>
      <c r="V11" s="3255">
        <v>0.17299999999999999</v>
      </c>
      <c r="W11" s="3251">
        <v>17.2</v>
      </c>
      <c r="X11" s="3251">
        <v>17.100000000000001</v>
      </c>
    </row>
    <row r="12" spans="1:24" ht="31.5" hidden="1" customHeight="1">
      <c r="A12" s="3595"/>
      <c r="B12" s="3265" t="s">
        <v>3167</v>
      </c>
      <c r="C12" s="3266" t="s">
        <v>3168</v>
      </c>
      <c r="D12" s="3264">
        <v>100</v>
      </c>
      <c r="E12" s="3266" t="s">
        <v>3169</v>
      </c>
      <c r="F12" s="3264">
        <v>100</v>
      </c>
      <c r="G12" s="3266" t="s">
        <v>3168</v>
      </c>
      <c r="H12" s="3264">
        <v>100</v>
      </c>
      <c r="I12" s="3266" t="s">
        <v>3170</v>
      </c>
      <c r="J12" s="3264">
        <v>100</v>
      </c>
      <c r="K12" s="3266" t="s">
        <v>3170</v>
      </c>
      <c r="L12" s="3266">
        <v>100</v>
      </c>
      <c r="M12" s="3266" t="s">
        <v>3168</v>
      </c>
      <c r="N12" s="3264">
        <v>100</v>
      </c>
    </row>
    <row r="13" spans="1:24" ht="24">
      <c r="A13" s="3596"/>
      <c r="B13" s="3265" t="s">
        <v>3171</v>
      </c>
      <c r="C13" s="3266" t="s">
        <v>3172</v>
      </c>
      <c r="D13" s="3264">
        <v>100</v>
      </c>
      <c r="E13" s="3266" t="s">
        <v>3172</v>
      </c>
      <c r="F13" s="3264">
        <v>100</v>
      </c>
      <c r="G13" s="3266" t="s">
        <v>3226</v>
      </c>
      <c r="H13" s="3264">
        <v>95</v>
      </c>
      <c r="I13" s="3266" t="s">
        <v>3226</v>
      </c>
      <c r="J13" s="3264">
        <v>95</v>
      </c>
      <c r="K13" s="3266" t="s">
        <v>3226</v>
      </c>
      <c r="L13" s="3266">
        <v>95</v>
      </c>
      <c r="M13" s="3266" t="s">
        <v>3172</v>
      </c>
      <c r="N13" s="3264">
        <v>100</v>
      </c>
      <c r="O13" s="3251">
        <v>100</v>
      </c>
      <c r="P13" s="3251">
        <v>99</v>
      </c>
      <c r="Q13" s="3251">
        <v>98.5</v>
      </c>
      <c r="R13" s="3277">
        <v>98</v>
      </c>
      <c r="S13" s="3277">
        <v>97.5</v>
      </c>
      <c r="T13" s="3277">
        <v>97</v>
      </c>
      <c r="U13" s="3277">
        <v>96.5</v>
      </c>
      <c r="V13" s="3277">
        <v>96</v>
      </c>
      <c r="W13" s="3277">
        <v>95.5</v>
      </c>
      <c r="X13" s="3277">
        <v>95</v>
      </c>
    </row>
    <row r="14" spans="1:24">
      <c r="A14" s="3597" t="s">
        <v>3173</v>
      </c>
      <c r="B14" s="3269" t="s">
        <v>3174</v>
      </c>
      <c r="C14" s="3266" t="s">
        <v>3233</v>
      </c>
      <c r="D14" s="3264">
        <v>100</v>
      </c>
      <c r="E14" s="3266" t="s">
        <v>3233</v>
      </c>
      <c r="F14" s="3264">
        <v>100</v>
      </c>
      <c r="G14" s="3266" t="s">
        <v>3233</v>
      </c>
      <c r="H14" s="3264">
        <v>100</v>
      </c>
      <c r="I14" s="3266" t="s">
        <v>3233</v>
      </c>
      <c r="J14" s="3264">
        <v>100</v>
      </c>
      <c r="K14" s="3266" t="s">
        <v>3233</v>
      </c>
      <c r="L14" s="3264">
        <v>100</v>
      </c>
      <c r="M14" s="3266" t="s">
        <v>3175</v>
      </c>
      <c r="N14" s="3264">
        <v>100</v>
      </c>
    </row>
    <row r="15" spans="1:24" ht="24" customHeight="1">
      <c r="A15" s="3598"/>
      <c r="B15" s="3269" t="s">
        <v>3230</v>
      </c>
      <c r="C15" s="3266" t="s">
        <v>3176</v>
      </c>
      <c r="D15" s="3264">
        <v>100</v>
      </c>
      <c r="E15" s="3266" t="s">
        <v>3227</v>
      </c>
      <c r="F15" s="3264">
        <v>102</v>
      </c>
      <c r="G15" s="3266" t="s">
        <v>3228</v>
      </c>
      <c r="H15" s="3264">
        <v>100</v>
      </c>
      <c r="I15" s="3266" t="s">
        <v>3228</v>
      </c>
      <c r="J15" s="3264">
        <v>100</v>
      </c>
      <c r="K15" s="3266" t="s">
        <v>3229</v>
      </c>
      <c r="L15" s="3264">
        <v>96</v>
      </c>
      <c r="M15" s="3266" t="s">
        <v>3177</v>
      </c>
      <c r="N15" s="3264">
        <v>100</v>
      </c>
    </row>
    <row r="16" spans="1:24">
      <c r="A16" s="3598"/>
      <c r="B16" s="3269" t="s">
        <v>3178</v>
      </c>
      <c r="C16" s="3266" t="s">
        <v>3179</v>
      </c>
      <c r="D16" s="3264">
        <v>100</v>
      </c>
      <c r="E16" s="3266" t="s">
        <v>3179</v>
      </c>
      <c r="F16" s="3264">
        <v>100</v>
      </c>
      <c r="G16" s="3266" t="s">
        <v>3179</v>
      </c>
      <c r="H16" s="3264">
        <v>100</v>
      </c>
      <c r="I16" s="3266" t="s">
        <v>3179</v>
      </c>
      <c r="J16" s="3264">
        <v>100</v>
      </c>
      <c r="K16" s="3266" t="s">
        <v>3179</v>
      </c>
      <c r="L16" s="3264">
        <v>100</v>
      </c>
      <c r="M16" s="3266" t="s">
        <v>3179</v>
      </c>
      <c r="N16" s="3264">
        <v>100</v>
      </c>
    </row>
    <row r="17" spans="1:18" ht="24">
      <c r="A17" s="3599"/>
      <c r="B17" s="3269" t="s">
        <v>3180</v>
      </c>
      <c r="C17" s="3266">
        <f>'数据-基础表'!A3/10000</f>
        <v>24.553929999999998</v>
      </c>
      <c r="D17" s="3264">
        <v>100</v>
      </c>
      <c r="E17" s="3266">
        <f>土地案例!K26</f>
        <v>113.32</v>
      </c>
      <c r="F17" s="3264">
        <v>101</v>
      </c>
      <c r="G17" s="3266">
        <f>土地案例!K18</f>
        <v>74.25</v>
      </c>
      <c r="H17" s="3264">
        <v>101</v>
      </c>
      <c r="I17" s="3266">
        <f>土地案例!K16</f>
        <v>193.55</v>
      </c>
      <c r="J17" s="3264">
        <v>102</v>
      </c>
      <c r="K17" s="3266">
        <f>土地案例!K10</f>
        <v>49.52</v>
      </c>
      <c r="L17" s="3264">
        <v>100</v>
      </c>
      <c r="M17" s="3266">
        <v>49.58</v>
      </c>
      <c r="N17" s="3264">
        <v>100</v>
      </c>
      <c r="P17" s="3251">
        <v>50</v>
      </c>
      <c r="Q17" s="3251" t="s">
        <v>3231</v>
      </c>
      <c r="R17" s="3251" t="s">
        <v>3232</v>
      </c>
    </row>
    <row r="18" spans="1:18" ht="36" hidden="1">
      <c r="A18" s="3594" t="s">
        <v>3181</v>
      </c>
      <c r="B18" s="3265" t="s">
        <v>3182</v>
      </c>
      <c r="C18" s="3266" t="s">
        <v>3183</v>
      </c>
      <c r="D18" s="3264">
        <v>100</v>
      </c>
      <c r="E18" s="3266" t="s">
        <v>3183</v>
      </c>
      <c r="F18" s="3264">
        <v>100</v>
      </c>
      <c r="G18" s="3266" t="s">
        <v>3183</v>
      </c>
      <c r="H18" s="3264">
        <v>100</v>
      </c>
      <c r="I18" s="3266" t="s">
        <v>3183</v>
      </c>
      <c r="J18" s="3264">
        <v>100</v>
      </c>
      <c r="K18" s="3266" t="s">
        <v>3183</v>
      </c>
      <c r="L18" s="3264">
        <v>100</v>
      </c>
      <c r="M18" s="3266" t="s">
        <v>3183</v>
      </c>
      <c r="N18" s="3264">
        <v>100</v>
      </c>
    </row>
    <row r="19" spans="1:18" ht="24" hidden="1">
      <c r="A19" s="3595"/>
      <c r="B19" s="3265" t="s">
        <v>3184</v>
      </c>
      <c r="C19" s="3270" t="s">
        <v>3185</v>
      </c>
      <c r="D19" s="3264">
        <v>100</v>
      </c>
      <c r="E19" s="3270" t="s">
        <v>3185</v>
      </c>
      <c r="F19" s="3264">
        <v>100</v>
      </c>
      <c r="G19" s="3270" t="s">
        <v>3185</v>
      </c>
      <c r="H19" s="3264">
        <v>100</v>
      </c>
      <c r="I19" s="3270" t="s">
        <v>3185</v>
      </c>
      <c r="J19" s="3264">
        <v>100</v>
      </c>
      <c r="K19" s="3270" t="s">
        <v>3185</v>
      </c>
      <c r="L19" s="3264">
        <v>100</v>
      </c>
      <c r="M19" s="3270" t="s">
        <v>3185</v>
      </c>
      <c r="N19" s="3264">
        <v>100</v>
      </c>
    </row>
    <row r="20" spans="1:18" ht="24" hidden="1">
      <c r="A20" s="3595"/>
      <c r="B20" s="3265" t="s">
        <v>3186</v>
      </c>
      <c r="C20" s="3266" t="s">
        <v>3187</v>
      </c>
      <c r="D20" s="3264">
        <v>100</v>
      </c>
      <c r="E20" s="3266" t="s">
        <v>3187</v>
      </c>
      <c r="F20" s="3264">
        <v>100</v>
      </c>
      <c r="G20" s="3266" t="s">
        <v>3187</v>
      </c>
      <c r="H20" s="3264">
        <v>100</v>
      </c>
      <c r="I20" s="3266" t="s">
        <v>3187</v>
      </c>
      <c r="J20" s="3264">
        <v>100</v>
      </c>
      <c r="K20" s="3266" t="s">
        <v>3187</v>
      </c>
      <c r="L20" s="3264">
        <v>100</v>
      </c>
      <c r="M20" s="3266" t="s">
        <v>3187</v>
      </c>
      <c r="N20" s="3264">
        <v>100</v>
      </c>
    </row>
    <row r="21" spans="1:18" ht="48" hidden="1">
      <c r="A21" s="3595"/>
      <c r="B21" s="3265" t="s">
        <v>3188</v>
      </c>
      <c r="C21" s="3266" t="s">
        <v>3189</v>
      </c>
      <c r="D21" s="3264">
        <v>100</v>
      </c>
      <c r="E21" s="3266" t="s">
        <v>3190</v>
      </c>
      <c r="F21" s="3271">
        <v>100</v>
      </c>
      <c r="G21" s="3266" t="s">
        <v>3190</v>
      </c>
      <c r="H21" s="3271">
        <v>100</v>
      </c>
      <c r="I21" s="3266" t="s">
        <v>3190</v>
      </c>
      <c r="J21" s="3271">
        <v>100</v>
      </c>
      <c r="K21" s="3266" t="s">
        <v>3190</v>
      </c>
      <c r="L21" s="3271">
        <v>100</v>
      </c>
      <c r="M21" s="3266" t="s">
        <v>3190</v>
      </c>
      <c r="N21" s="3271">
        <v>100</v>
      </c>
    </row>
    <row r="22" spans="1:18" ht="36" hidden="1">
      <c r="A22" s="3595"/>
      <c r="B22" s="3265" t="s">
        <v>3191</v>
      </c>
      <c r="C22" s="3266" t="s">
        <v>3192</v>
      </c>
      <c r="D22" s="3264">
        <v>100</v>
      </c>
      <c r="E22" s="3266" t="s">
        <v>3192</v>
      </c>
      <c r="F22" s="3264">
        <v>100</v>
      </c>
      <c r="G22" s="3266" t="s">
        <v>3192</v>
      </c>
      <c r="H22" s="3264">
        <v>100</v>
      </c>
      <c r="I22" s="3266" t="s">
        <v>3193</v>
      </c>
      <c r="J22" s="3264">
        <v>100</v>
      </c>
      <c r="K22" s="3266" t="s">
        <v>3192</v>
      </c>
      <c r="L22" s="3264">
        <v>100</v>
      </c>
      <c r="M22" s="3266" t="s">
        <v>3192</v>
      </c>
      <c r="N22" s="3264">
        <v>100</v>
      </c>
    </row>
    <row r="23" spans="1:18" ht="24" hidden="1">
      <c r="A23" s="3595"/>
      <c r="B23" s="3265" t="s">
        <v>3194</v>
      </c>
      <c r="C23" s="3266" t="s">
        <v>3195</v>
      </c>
      <c r="D23" s="3264">
        <v>100</v>
      </c>
      <c r="E23" s="3266" t="s">
        <v>3195</v>
      </c>
      <c r="F23" s="3264">
        <v>100</v>
      </c>
      <c r="G23" s="3266" t="s">
        <v>3195</v>
      </c>
      <c r="H23" s="3264">
        <v>100</v>
      </c>
      <c r="I23" s="3266" t="s">
        <v>3195</v>
      </c>
      <c r="J23" s="3264">
        <v>100</v>
      </c>
      <c r="K23" s="3266" t="s">
        <v>3195</v>
      </c>
      <c r="L23" s="3264">
        <v>100</v>
      </c>
      <c r="M23" s="3266" t="s">
        <v>3195</v>
      </c>
      <c r="N23" s="3264">
        <v>100</v>
      </c>
    </row>
    <row r="24" spans="1:18" ht="36" hidden="1">
      <c r="A24" s="3596"/>
      <c r="B24" s="3265" t="s">
        <v>3196</v>
      </c>
      <c r="C24" s="3266" t="s">
        <v>3197</v>
      </c>
      <c r="D24" s="3264">
        <v>100</v>
      </c>
      <c r="E24" s="3266" t="s">
        <v>3198</v>
      </c>
      <c r="F24" s="3271">
        <v>100</v>
      </c>
      <c r="G24" s="3266" t="s">
        <v>3198</v>
      </c>
      <c r="H24" s="3271">
        <v>100</v>
      </c>
      <c r="I24" s="3266" t="s">
        <v>3198</v>
      </c>
      <c r="J24" s="3271">
        <v>100</v>
      </c>
      <c r="K24" s="3266" t="s">
        <v>3198</v>
      </c>
      <c r="L24" s="3271">
        <v>100</v>
      </c>
      <c r="M24" s="3266" t="s">
        <v>3198</v>
      </c>
      <c r="N24" s="3271">
        <v>100</v>
      </c>
    </row>
    <row r="25" spans="1:18">
      <c r="A25" s="3590" t="s">
        <v>3199</v>
      </c>
      <c r="B25" s="3590"/>
      <c r="C25" s="3591" t="s">
        <v>3200</v>
      </c>
      <c r="D25" s="3591"/>
      <c r="E25" s="3591">
        <v>4086</v>
      </c>
      <c r="F25" s="3591"/>
      <c r="G25" s="3591">
        <v>4110</v>
      </c>
      <c r="H25" s="3591"/>
      <c r="I25" s="3591">
        <v>4286</v>
      </c>
      <c r="J25" s="3591"/>
      <c r="K25" s="3591">
        <v>4157</v>
      </c>
      <c r="L25" s="3591"/>
      <c r="M25" s="3591"/>
      <c r="N25" s="3591"/>
      <c r="P25" s="3251">
        <v>100</v>
      </c>
      <c r="Q25" s="3251">
        <v>101</v>
      </c>
      <c r="R25" s="3251">
        <v>102</v>
      </c>
    </row>
    <row r="26" spans="1:18">
      <c r="A26" s="3590" t="s">
        <v>3201</v>
      </c>
      <c r="B26" s="3590"/>
      <c r="C26" s="3591" t="s">
        <v>3200</v>
      </c>
      <c r="D26" s="3591"/>
      <c r="E26" s="3601">
        <f>ROUND(E25*POWER(100,COUNT(F6:F24))/PRODUCT(F6:F24),0)</f>
        <v>4151</v>
      </c>
      <c r="F26" s="3601"/>
      <c r="G26" s="3601">
        <f>ROUND(G25*POWER(100,COUNT(H6:H24))/PRODUCT(H6:H24),0)</f>
        <v>4416</v>
      </c>
      <c r="H26" s="3601"/>
      <c r="I26" s="3601">
        <f>ROUND(I25*POWER(100,COUNT(J6:J24))/PRODUCT(J6:J24),0)</f>
        <v>4560</v>
      </c>
      <c r="J26" s="3601"/>
      <c r="K26" s="3601">
        <f>ROUND(K25*POWER(100,COUNT(L6:L24))/PRODUCT(L6:L24),0)</f>
        <v>4847</v>
      </c>
      <c r="L26" s="3601"/>
      <c r="M26" s="3601">
        <f>ROUND(M25*POWER(100,COUNT(N6:N24))/PRODUCT(N6:N24),0)</f>
        <v>0</v>
      </c>
      <c r="N26" s="3601"/>
    </row>
    <row r="27" spans="1:18">
      <c r="A27" s="3600" t="str">
        <f>CONCATENATE("估价对象比较价值=(",TEXT(E26,"G/通用格式"),"+",TEXT(G26,"G/通用格式"),"+",TEXT(I26,"G/通用格式"),"+",TEXT(K26,"G/通用格式"),"+",TEXT(M26,"G/通用格式"),")","/",5,"=",ROUND((E26+G26+I26+K26+M26)/4,0))</f>
        <v>估价对象比较价值=(4151+4416+4560+4847+0)/5=4494</v>
      </c>
      <c r="B27" s="3600"/>
      <c r="C27" s="3600"/>
      <c r="D27" s="3600"/>
      <c r="E27" s="3600"/>
      <c r="F27" s="3600"/>
      <c r="G27" s="3600"/>
      <c r="H27" s="3600"/>
      <c r="I27" s="3600"/>
      <c r="J27" s="3600"/>
      <c r="K27" s="3272"/>
    </row>
    <row r="28" spans="1:18">
      <c r="I28" s="3251">
        <f>E26*0.4+G26*0.2+I26*0.2+K26*0.2</f>
        <v>4425</v>
      </c>
    </row>
    <row r="29" spans="1:18">
      <c r="I29" s="3285">
        <f>ROUND(AVERAGE(E26:L26),0)</f>
        <v>4494</v>
      </c>
    </row>
    <row r="30" spans="1:18">
      <c r="I30" s="3272"/>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8:A13"/>
    <mergeCell ref="A14:A17"/>
    <mergeCell ref="I5:J5"/>
    <mergeCell ref="K5:L5"/>
    <mergeCell ref="A18:A24"/>
    <mergeCell ref="A5:B5"/>
    <mergeCell ref="C5:D5"/>
    <mergeCell ref="E5:F5"/>
    <mergeCell ref="G5:H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2038</v>
      </c>
      <c r="B1" s="3290"/>
      <c r="C1" s="3290"/>
      <c r="D1" s="3290"/>
      <c r="E1" s="3290"/>
      <c r="F1" s="3290"/>
      <c r="G1" s="3290"/>
      <c r="H1" s="3290"/>
      <c r="I1" s="3290"/>
      <c r="J1" s="3290"/>
      <c r="K1" s="3290"/>
      <c r="L1" s="3290"/>
      <c r="M1" s="3290"/>
      <c r="N1" s="3290"/>
      <c r="O1" s="3290"/>
      <c r="P1" s="3290"/>
      <c r="Q1" s="3290"/>
      <c r="R1" s="3290"/>
    </row>
    <row r="2" spans="1:18">
      <c r="A2" s="1793" t="s">
        <v>2040</v>
      </c>
      <c r="B2" s="1793"/>
      <c r="C2" s="1793"/>
      <c r="D2" s="1793"/>
      <c r="E2" s="1793"/>
      <c r="F2" s="1793"/>
      <c r="G2" s="1793"/>
      <c r="H2" s="1793"/>
      <c r="I2" s="1794"/>
      <c r="J2" s="1794"/>
      <c r="K2" s="1795" t="str">
        <f>"估价期日："&amp;TEXT(项目基本情况!D3,"yyyy年m月d日;;")</f>
        <v>估价期日：2019年7月8日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91" t="s">
        <v>2029</v>
      </c>
      <c r="B3" s="3291" t="s">
        <v>2731</v>
      </c>
      <c r="C3" s="3292" t="s">
        <v>2030</v>
      </c>
      <c r="D3" s="3291" t="s">
        <v>2735</v>
      </c>
      <c r="E3" s="3294" t="s">
        <v>2031</v>
      </c>
      <c r="F3" s="3294"/>
      <c r="G3" s="3294"/>
      <c r="H3" s="3294" t="s">
        <v>2032</v>
      </c>
      <c r="I3" s="3294"/>
      <c r="J3" s="3294"/>
      <c r="K3" s="3292" t="s">
        <v>2033</v>
      </c>
      <c r="L3" s="3292" t="s">
        <v>2034</v>
      </c>
      <c r="M3" s="3291" t="s">
        <v>2732</v>
      </c>
      <c r="N3" s="3293" t="str">
        <f>"（分摊）"&amp;项目基本情况!B16&amp;"国有建设用地使用权面积/㎡"</f>
        <v>（分摊）出让国有建设用地使用权面积/㎡</v>
      </c>
      <c r="O3" s="3291" t="s">
        <v>2063</v>
      </c>
      <c r="P3" s="3292" t="s">
        <v>2043</v>
      </c>
      <c r="Q3" s="3292" t="s">
        <v>2064</v>
      </c>
      <c r="R3" s="3292" t="s">
        <v>2035</v>
      </c>
    </row>
    <row r="4" spans="1:18" ht="36.75" customHeight="1">
      <c r="A4" s="3291"/>
      <c r="B4" s="3291"/>
      <c r="C4" s="3292"/>
      <c r="D4" s="3291"/>
      <c r="E4" s="2614" t="s">
        <v>2042</v>
      </c>
      <c r="F4" s="2614" t="s">
        <v>2744</v>
      </c>
      <c r="G4" s="2614" t="s">
        <v>2036</v>
      </c>
      <c r="H4" s="2614" t="s">
        <v>2037</v>
      </c>
      <c r="I4" s="2614" t="s">
        <v>2745</v>
      </c>
      <c r="J4" s="2614" t="s">
        <v>2036</v>
      </c>
      <c r="K4" s="3292"/>
      <c r="L4" s="3292"/>
      <c r="M4" s="3291"/>
      <c r="N4" s="3293"/>
      <c r="O4" s="3291"/>
      <c r="P4" s="3292"/>
      <c r="Q4" s="3292"/>
      <c r="R4" s="3292"/>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245539.3</v>
      </c>
      <c r="O5" s="1796">
        <f>项目基本情况!C21</f>
        <v>245539.3</v>
      </c>
      <c r="P5" s="1796">
        <f ca="1">结果表!E42</f>
        <v>3631</v>
      </c>
      <c r="Q5" s="1796">
        <f ca="1">结果表!D42</f>
        <v>3631</v>
      </c>
      <c r="R5" s="1797">
        <f ca="1">结果表!C42</f>
        <v>89165</v>
      </c>
    </row>
    <row r="6" spans="1:18">
      <c r="A6" s="3287" t="str">
        <f>IF(项目基本情况!B9="市场价格","——","抵押价格")</f>
        <v>抵押价格</v>
      </c>
      <c r="B6" s="3288"/>
      <c r="C6" s="3288"/>
      <c r="D6" s="3288"/>
      <c r="E6" s="3288"/>
      <c r="F6" s="3288"/>
      <c r="G6" s="3288"/>
      <c r="H6" s="3288"/>
      <c r="I6" s="3288"/>
      <c r="J6" s="3288"/>
      <c r="K6" s="3288"/>
      <c r="L6" s="3288"/>
      <c r="M6" s="3288"/>
      <c r="N6" s="3288"/>
      <c r="O6" s="3288"/>
      <c r="P6" s="3288"/>
      <c r="Q6" s="3289"/>
      <c r="R6" s="1798" t="str">
        <f>结果表!O39</f>
        <v>——</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98" t="str">
        <f>结果表!O40</f>
        <v>——</v>
      </c>
    </row>
    <row r="8" spans="1:18">
      <c r="A8" s="3287">
        <f>IF(项目基本情况!B9="市场价格","——",项目基本情况!E9)</f>
        <v>0</v>
      </c>
      <c r="B8" s="3288"/>
      <c r="C8" s="3288"/>
      <c r="D8" s="3288"/>
      <c r="E8" s="3288"/>
      <c r="F8" s="3288"/>
      <c r="G8" s="3288"/>
      <c r="H8" s="3288"/>
      <c r="I8" s="3288"/>
      <c r="J8" s="3288"/>
      <c r="K8" s="3288"/>
      <c r="L8" s="3288"/>
      <c r="M8" s="3288"/>
      <c r="N8" s="3288"/>
      <c r="O8" s="3288"/>
      <c r="P8" s="3288"/>
      <c r="Q8" s="328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96" t="s">
        <v>2065</v>
      </c>
      <c r="B1" s="3296"/>
      <c r="C1" s="3296"/>
      <c r="D1" s="3296"/>
    </row>
    <row r="2" spans="1:4" ht="47.25" customHeight="1">
      <c r="A2" s="3297" t="str">
        <f>"1.权利限制："&amp;项目基本情况!L24&amp;"未设定租赁等其他他项权利。"</f>
        <v>1.权利限制：根据估价对象《不动产权证书》原件、《国有土地使用权》复印件，截至估价期日，估价对象抵押权未见登记。未设定租赁等其他他项权利。</v>
      </c>
      <c r="B2" s="3297"/>
      <c r="C2" s="3297"/>
      <c r="D2" s="3297"/>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5" t="s">
        <v>2066</v>
      </c>
      <c r="B5" s="3295"/>
      <c r="C5" s="3295"/>
      <c r="D5" s="3295"/>
    </row>
    <row r="6" spans="1:4">
      <c r="A6" s="3296" t="s">
        <v>2044</v>
      </c>
      <c r="B6" s="3296"/>
      <c r="C6" s="3296"/>
      <c r="D6" s="3296"/>
    </row>
    <row r="7" spans="1:4" ht="33" customHeight="1">
      <c r="A7" s="3296" t="s">
        <v>2575</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5" t="s">
        <v>2068</v>
      </c>
      <c r="B12" s="3295"/>
      <c r="C12" s="3295"/>
      <c r="D12" s="3295"/>
    </row>
    <row r="13" spans="1:4">
      <c r="A13" s="3299" t="s">
        <v>2746</v>
      </c>
      <c r="B13" s="3299"/>
      <c r="C13" s="3299"/>
      <c r="D13" s="3299"/>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2702</v>
      </c>
      <c r="B17" s="3296"/>
      <c r="C17" s="3296"/>
      <c r="D17" s="3296"/>
    </row>
    <row r="18" spans="1:4">
      <c r="A18" s="3296" t="s">
        <v>2694</v>
      </c>
      <c r="B18" s="3296"/>
      <c r="C18" s="3296"/>
      <c r="D18" s="3296"/>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96" t="s">
        <v>2699</v>
      </c>
      <c r="B23" s="3296"/>
      <c r="C23" s="3296"/>
      <c r="D23" s="3296"/>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07" t="s">
        <v>53</v>
      </c>
      <c r="B15" s="3308" t="s">
        <v>846</v>
      </c>
      <c r="C15" s="3304"/>
    </row>
    <row r="16" spans="1:7" ht="14.25">
      <c r="A16" s="3307"/>
      <c r="B16" s="3305" t="s">
        <v>54</v>
      </c>
      <c r="C16" s="1168" t="s">
        <v>53</v>
      </c>
    </row>
    <row r="17" spans="1:3" ht="14.25">
      <c r="A17" s="3307"/>
      <c r="B17" s="3305"/>
      <c r="C17" s="1168" t="s">
        <v>55</v>
      </c>
    </row>
    <row r="18" spans="1:3" ht="14.25">
      <c r="A18" s="3307"/>
      <c r="B18" s="3305"/>
      <c r="C18" s="1168" t="s">
        <v>56</v>
      </c>
    </row>
    <row r="19" spans="1:3" ht="14.25">
      <c r="A19" s="3307"/>
      <c r="B19" s="3303" t="s">
        <v>57</v>
      </c>
      <c r="C19" s="3304"/>
    </row>
    <row r="20" spans="1:3" ht="14.25">
      <c r="A20" s="1169" t="s">
        <v>58</v>
      </c>
      <c r="B20" s="1170"/>
      <c r="C20" s="1171"/>
    </row>
    <row r="21" spans="1:3" ht="14.25">
      <c r="A21" s="3306" t="s">
        <v>59</v>
      </c>
      <c r="B21" s="3303" t="s">
        <v>60</v>
      </c>
      <c r="C21" s="3304"/>
    </row>
    <row r="22" spans="1:3" ht="14.25">
      <c r="A22" s="3306"/>
      <c r="B22" s="3303" t="s">
        <v>61</v>
      </c>
      <c r="C22" s="3304"/>
    </row>
    <row r="23" spans="1:3" ht="14.25">
      <c r="A23" s="3306"/>
      <c r="B23" s="3303" t="s">
        <v>62</v>
      </c>
      <c r="C23" s="3304"/>
    </row>
    <row r="24" spans="1:3" ht="14.25">
      <c r="A24" s="3306"/>
      <c r="B24" s="3309" t="s">
        <v>63</v>
      </c>
      <c r="C24" s="1172" t="s">
        <v>837</v>
      </c>
    </row>
    <row r="25" spans="1:3" ht="14.25">
      <c r="A25" s="3306"/>
      <c r="B25" s="3310"/>
      <c r="C25" s="1172" t="s">
        <v>838</v>
      </c>
    </row>
    <row r="26" spans="1:3" ht="14.25">
      <c r="A26" s="3306"/>
      <c r="B26" s="3310"/>
      <c r="C26" s="1172" t="s">
        <v>839</v>
      </c>
    </row>
    <row r="27" spans="1:3" ht="14.25">
      <c r="A27" s="3306"/>
      <c r="B27" s="3310"/>
      <c r="C27" s="1172" t="s">
        <v>840</v>
      </c>
    </row>
    <row r="28" spans="1:3" ht="14.25">
      <c r="A28" s="3306"/>
      <c r="B28" s="3310"/>
      <c r="C28" s="1172" t="s">
        <v>841</v>
      </c>
    </row>
    <row r="29" spans="1:3" ht="14.25">
      <c r="A29" s="3306"/>
      <c r="B29" s="3310"/>
      <c r="C29" s="1172" t="s">
        <v>842</v>
      </c>
    </row>
    <row r="30" spans="1:3" ht="14.25">
      <c r="A30" s="3306"/>
      <c r="B30" s="3310"/>
      <c r="C30" s="1172" t="s">
        <v>843</v>
      </c>
    </row>
    <row r="31" spans="1:3" ht="14.25">
      <c r="A31" s="3306"/>
      <c r="B31" s="3310"/>
      <c r="C31" s="1172" t="s">
        <v>844</v>
      </c>
    </row>
    <row r="32" spans="1:3" ht="14.25">
      <c r="A32" s="3306"/>
      <c r="B32" s="3310"/>
      <c r="C32" s="1172" t="s">
        <v>1646</v>
      </c>
    </row>
    <row r="33" spans="1:3" ht="14.25">
      <c r="A33" s="3306"/>
      <c r="B33" s="3300" t="s">
        <v>1652</v>
      </c>
      <c r="C33" s="1172" t="s">
        <v>1647</v>
      </c>
    </row>
    <row r="34" spans="1:3" ht="14.25">
      <c r="A34" s="3306"/>
      <c r="B34" s="3301"/>
      <c r="C34" s="1177" t="s">
        <v>1648</v>
      </c>
    </row>
    <row r="35" spans="1:3" ht="14.25">
      <c r="A35" s="3306"/>
      <c r="B35" s="3301"/>
      <c r="C35" s="1178" t="s">
        <v>1649</v>
      </c>
    </row>
    <row r="36" spans="1:3" ht="14.25">
      <c r="A36" s="3306"/>
      <c r="B36" s="3301"/>
      <c r="C36" s="1178" t="s">
        <v>1650</v>
      </c>
    </row>
    <row r="37" spans="1:3" ht="14.25">
      <c r="A37" s="3306"/>
      <c r="B37" s="330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43712</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2574</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311" t="s">
        <v>1926</v>
      </c>
      <c r="B25" s="3311"/>
      <c r="C25" s="3311"/>
      <c r="D25" s="3311"/>
      <c r="E25" s="3311"/>
      <c r="F25" s="3311"/>
      <c r="G25" s="3311"/>
    </row>
    <row r="26" spans="1:7" ht="20.25" customHeight="1">
      <c r="A26" s="3312" t="s">
        <v>1927</v>
      </c>
      <c r="B26" s="3312"/>
      <c r="C26" s="3312"/>
      <c r="D26" s="3312" t="s">
        <v>1928</v>
      </c>
      <c r="E26" s="3312"/>
      <c r="F26" s="3312"/>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2993</v>
      </c>
      <c r="F29" s="3145">
        <v>43646</v>
      </c>
    </row>
    <row r="30" spans="1:7" ht="20.25" customHeight="1">
      <c r="C30" s="3147"/>
      <c r="D30" s="3147"/>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313"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1753"/>
      <c r="E53" s="1753"/>
    </row>
    <row r="54" spans="1:5">
      <c r="A54" s="3313"/>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313"/>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313"/>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313"/>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地图</vt:lpstr>
      <vt:lpstr>土地比较法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2019-09-04T06:21:35Z</dcterms:modified>
</cp:coreProperties>
</file>