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30" windowWidth="19320" windowHeight="13590" tabRatio="875" firstSheet="12"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9"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0.6）"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1）" sheetId="75" state="hidden" r:id="rId42"/>
    <sheet name="不动产比较法-住宅（1.7）" sheetId="76" state="hidden" r:id="rId43"/>
    <sheet name="Sheet3" sheetId="70"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'不动产比较法-住宅（0.6）'!$A$1:$L$49</definedName>
    <definedName name="_xlnm._FilterDatabase" localSheetId="41" hidden="1">'不动产比较法-住宅（1）'!$A$1:$L$49</definedName>
    <definedName name="_xlnm._FilterDatabase" localSheetId="42" hidden="1">'不动产比较法-住宅（1.7）'!$A$1:$L$49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'不动产比较法-住宅（1）'!$B$88:$M$88</definedName>
    <definedName name="住宅朝向" localSheetId="42">'不动产比较法-住宅（1.7）'!$B$88:$M$88</definedName>
    <definedName name="住宅朝向">'不动产比较法-住宅（0.6）'!$B$88:$M$88</definedName>
    <definedName name="住宅房型" localSheetId="41">'不动产比较法-住宅（1）'!$B$118:$M$118</definedName>
    <definedName name="住宅房型" localSheetId="42">'不动产比较法-住宅（1.7）'!$B$118:$M$118</definedName>
    <definedName name="住宅房型">'不动产比较法-住宅（0.6）'!$B$118:$M$118</definedName>
    <definedName name="住宅公共部分装修" localSheetId="41">'不动产比较法-住宅（1）'!$B$109:$M$109</definedName>
    <definedName name="住宅公共部分装修" localSheetId="42">'不动产比较法-住宅（1.7）'!$B$109:$M$109</definedName>
    <definedName name="住宅公共部分装修">'不动产比较法-住宅（0.6）'!$B$109:$M$109</definedName>
    <definedName name="住宅基础设施水平" localSheetId="41">'不动产比较法-住宅（1）'!$B$116:$M$116</definedName>
    <definedName name="住宅基础设施水平" localSheetId="42">'不动产比较法-住宅（1.7）'!$B$116:$M$116</definedName>
    <definedName name="住宅基础设施水平">'不动产比较法-住宅（0.6）'!$B$116:$M$116</definedName>
    <definedName name="住宅建筑结构" localSheetId="41">'不动产比较法-住宅（1）'!$B$105:$M$105</definedName>
    <definedName name="住宅建筑结构" localSheetId="42">'不动产比较法-住宅（1.7）'!$B$105:$M$105</definedName>
    <definedName name="住宅建筑结构">'不动产比较法-住宅（0.6）'!$B$105:$M$105</definedName>
    <definedName name="住宅建筑类型" localSheetId="41">'不动产比较法-住宅（1）'!$B$100:$M$100</definedName>
    <definedName name="住宅建筑类型" localSheetId="42">'不动产比较法-住宅（1.7）'!$B$100:$M$100</definedName>
    <definedName name="住宅建筑类型">'不动产比较法-住宅（0.6）'!$B$100:$M$100</definedName>
    <definedName name="住宅建筑品质" localSheetId="41">'不动产比较法-住宅（1）'!$B$107:$M$107</definedName>
    <definedName name="住宅建筑品质" localSheetId="42">'不动产比较法-住宅（1.7）'!$B$107:$M$107</definedName>
    <definedName name="住宅建筑品质">'不动产比较法-住宅（0.6）'!$B$107:$M$107</definedName>
    <definedName name="住宅交易情况" localSheetId="41">'不动产比较法-住宅（1）'!$A$61:$M$61</definedName>
    <definedName name="住宅交易情况" localSheetId="42">'不动产比较法-住宅（1.7）'!$A$61:$M$61</definedName>
    <definedName name="住宅交易情况">'不动产比较法-住宅（0.6）'!$A$61:$M$61</definedName>
    <definedName name="住宅楼层" localSheetId="41">'不动产比较法-住宅（1）'!$B$86:$M$86</definedName>
    <definedName name="住宅楼层" localSheetId="42">'不动产比较法-住宅（1.7）'!$B$86:$M$86</definedName>
    <definedName name="住宅楼层">'不动产比较法-住宅（0.6）'!$B$86:$M$86</definedName>
    <definedName name="住宅内部装修" localSheetId="41">'不动产比较法-住宅（1）'!$B$122:$M$122</definedName>
    <definedName name="住宅内部装修" localSheetId="42">'不动产比较法-住宅（1.7）'!$B$122:$M$122</definedName>
    <definedName name="住宅内部装修">'不动产比较法-住宅（0.6）'!$B$122:$M$122</definedName>
    <definedName name="住宅物业管理" localSheetId="41">'不动产比较法-住宅（1）'!$B$114:$M$114</definedName>
    <definedName name="住宅物业管理" localSheetId="42">'不动产比较法-住宅（1.7）'!$B$114:$M$114</definedName>
    <definedName name="住宅物业管理">'不动产比较法-住宅（0.6）'!$B$114:$M$114</definedName>
    <definedName name="住宅用途" localSheetId="41">'不动产比较法-住宅（1）'!$B$63:$M$63</definedName>
    <definedName name="住宅用途" localSheetId="42">'不动产比较法-住宅（1.7）'!$B$63:$M$63</definedName>
    <definedName name="住宅用途">'不动产比较法-住宅（0.6）'!$B$63:$M$63</definedName>
    <definedName name="住宅主力户型面积" localSheetId="41">'不动产比较法-住宅（1）'!$B$120:$M$120</definedName>
    <definedName name="住宅主力户型面积" localSheetId="42">'不动产比较法-住宅（1.7）'!$B$120:$M$120</definedName>
    <definedName name="住宅主力户型面积">'不动产比较法-住宅（0.6）'!$B$120:$M$120</definedName>
    <definedName name="注册房地产估价师">估价师及机构信息!$A$3:$A$24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20" i="66" l="1"/>
  <c r="C19" i="66"/>
  <c r="C18" i="66"/>
  <c r="C17" i="66"/>
  <c r="C16" i="66"/>
  <c r="C15" i="66"/>
  <c r="B20" i="66"/>
  <c r="B19" i="66"/>
  <c r="B18" i="66"/>
  <c r="B17" i="66"/>
  <c r="B16" i="66"/>
  <c r="B15" i="66"/>
  <c r="D17" i="66" l="1"/>
  <c r="D19" i="66" l="1"/>
  <c r="D18" i="66" l="1"/>
  <c r="D20" i="66" l="1"/>
  <c r="D16" i="66" l="1"/>
  <c r="D15" i="66" l="1"/>
  <c r="I48" i="39" l="1"/>
  <c r="G48" i="39"/>
  <c r="E48" i="39"/>
  <c r="I47" i="21"/>
  <c r="G47" i="21"/>
  <c r="E47" i="21"/>
  <c r="P11" i="69" l="1"/>
  <c r="G15" i="66" l="1"/>
  <c r="J140" i="76"/>
  <c r="C145" i="76"/>
  <c r="K139" i="76" s="1"/>
  <c r="J142"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c r="F110" i="76" s="1"/>
  <c r="G110" i="76" s="1"/>
  <c r="H110" i="76" s="1"/>
  <c r="I110" i="76" s="1"/>
  <c r="J110" i="76" s="1"/>
  <c r="K110" i="76" s="1"/>
  <c r="L110" i="76" s="1"/>
  <c r="M110" i="76" s="1"/>
  <c r="D108" i="76"/>
  <c r="E108" i="76"/>
  <c r="F108" i="76" s="1"/>
  <c r="G108" i="76" s="1"/>
  <c r="H108" i="76" s="1"/>
  <c r="I108" i="76" s="1"/>
  <c r="J108" i="76" s="1"/>
  <c r="K108" i="76" s="1"/>
  <c r="L108" i="76" s="1"/>
  <c r="M108" i="76" s="1"/>
  <c r="D106" i="76"/>
  <c r="E106" i="76"/>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c r="F89" i="76" s="1"/>
  <c r="G89" i="76" s="1"/>
  <c r="H89" i="76" s="1"/>
  <c r="I89" i="76" s="1"/>
  <c r="J89" i="76" s="1"/>
  <c r="K89" i="76" s="1"/>
  <c r="L89" i="76" s="1"/>
  <c r="M89" i="76" s="1"/>
  <c r="M87" i="76"/>
  <c r="L87" i="76"/>
  <c r="K87" i="76"/>
  <c r="J87" i="76"/>
  <c r="I87" i="76"/>
  <c r="H87" i="76"/>
  <c r="G87" i="76"/>
  <c r="F87" i="76"/>
  <c r="E87" i="76"/>
  <c r="D87" i="76"/>
  <c r="D85" i="76"/>
  <c r="E85" i="76"/>
  <c r="F85" i="76" s="1"/>
  <c r="G85" i="76" s="1"/>
  <c r="D83" i="76"/>
  <c r="E83" i="76"/>
  <c r="F83" i="76" s="1"/>
  <c r="G83" i="76" s="1"/>
  <c r="D81" i="76"/>
  <c r="E81" i="76"/>
  <c r="F81" i="76" s="1"/>
  <c r="D79" i="76"/>
  <c r="E79" i="76"/>
  <c r="F79" i="76" s="1"/>
  <c r="G79" i="76" s="1"/>
  <c r="D77" i="76"/>
  <c r="E77" i="76"/>
  <c r="F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c r="F66" i="76" s="1"/>
  <c r="G66" i="76" s="1"/>
  <c r="H66" i="76" s="1"/>
  <c r="I66" i="76" s="1"/>
  <c r="C63" i="76"/>
  <c r="D3" i="4"/>
  <c r="B2" i="1" s="1"/>
  <c r="C7" i="76" s="1"/>
  <c r="C58" i="76" s="1"/>
  <c r="D58" i="76" s="1"/>
  <c r="E58" i="76" s="1"/>
  <c r="F58" i="76" s="1"/>
  <c r="G58" i="76" s="1"/>
  <c r="H58" i="76" s="1"/>
  <c r="I58" i="76" s="1"/>
  <c r="J58" i="76" s="1"/>
  <c r="K58" i="76" s="1"/>
  <c r="L58" i="76" s="1"/>
  <c r="M58" i="76" s="1"/>
  <c r="N58" i="76" s="1"/>
  <c r="O58" i="76" s="1"/>
  <c r="I47" i="76"/>
  <c r="E47" i="76"/>
  <c r="I54" i="76"/>
  <c r="J54" i="76" s="1"/>
  <c r="G47" i="76"/>
  <c r="G54" i="76" s="1"/>
  <c r="H54" i="76" s="1"/>
  <c r="V47" i="76"/>
  <c r="I7" i="76"/>
  <c r="J7" i="76" s="1"/>
  <c r="AC7" i="76" s="1"/>
  <c r="J8" i="76"/>
  <c r="AC8" i="76" s="1"/>
  <c r="J9" i="76"/>
  <c r="AC9" i="76" s="1"/>
  <c r="J10" i="76"/>
  <c r="AC10" i="76" s="1"/>
  <c r="I11" i="76"/>
  <c r="J11" i="76" s="1"/>
  <c r="AC11" i="76" s="1"/>
  <c r="J12" i="76"/>
  <c r="AC12" i="76"/>
  <c r="J13" i="76"/>
  <c r="AC13" i="76"/>
  <c r="J14" i="76"/>
  <c r="AC14" i="76"/>
  <c r="J17" i="76"/>
  <c r="AC17" i="76"/>
  <c r="J21" i="76"/>
  <c r="AC21" i="76"/>
  <c r="J23" i="76"/>
  <c r="AC23" i="76" s="1"/>
  <c r="J25" i="76"/>
  <c r="AC25" i="76" s="1"/>
  <c r="J26" i="76"/>
  <c r="AC26" i="76" s="1"/>
  <c r="J27" i="76"/>
  <c r="AC27" i="76" s="1"/>
  <c r="J28" i="76"/>
  <c r="AC28" i="76" s="1"/>
  <c r="J29" i="76"/>
  <c r="AC29" i="76" s="1"/>
  <c r="J30" i="76"/>
  <c r="AC30" i="76" s="1"/>
  <c r="J31" i="76"/>
  <c r="AC31" i="76" s="1"/>
  <c r="J32" i="76"/>
  <c r="AC32" i="76"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J34" i="76"/>
  <c r="AC34" i="76"/>
  <c r="J35" i="76"/>
  <c r="AC35" i="76"/>
  <c r="J36" i="76"/>
  <c r="AC36" i="76"/>
  <c r="J37" i="76"/>
  <c r="AC37" i="76"/>
  <c r="J38" i="76"/>
  <c r="AC38" i="76"/>
  <c r="J39" i="76"/>
  <c r="AC39" i="76"/>
  <c r="J40" i="76"/>
  <c r="AC40" i="76"/>
  <c r="J41" i="76"/>
  <c r="AC41" i="76" s="1"/>
  <c r="J42" i="76"/>
  <c r="AC42" i="76" s="1"/>
  <c r="J43" i="76"/>
  <c r="AC43" i="76" s="1"/>
  <c r="J44" i="76"/>
  <c r="AC44" i="76" s="1"/>
  <c r="J45" i="76"/>
  <c r="AC45" i="76" s="1"/>
  <c r="J46" i="76"/>
  <c r="AC46" i="76" s="1"/>
  <c r="R47" i="76"/>
  <c r="F7" i="76"/>
  <c r="AA7" i="76" s="1"/>
  <c r="F8" i="76"/>
  <c r="AA8" i="76"/>
  <c r="F9" i="76"/>
  <c r="AA9" i="76"/>
  <c r="F10" i="76"/>
  <c r="AA10" i="76"/>
  <c r="F11" i="76"/>
  <c r="AA11" i="76"/>
  <c r="F12" i="76"/>
  <c r="AA12" i="76"/>
  <c r="F13" i="76"/>
  <c r="AA13" i="76"/>
  <c r="F14" i="76"/>
  <c r="AA14" i="76"/>
  <c r="F15" i="76"/>
  <c r="AA15" i="76"/>
  <c r="F17" i="76"/>
  <c r="AA17" i="76" s="1"/>
  <c r="F19" i="76"/>
  <c r="AA19" i="76" s="1"/>
  <c r="F21" i="76"/>
  <c r="AA21" i="76" s="1"/>
  <c r="F23" i="76"/>
  <c r="AA23" i="76" s="1"/>
  <c r="F25" i="76"/>
  <c r="AA25" i="76" s="1"/>
  <c r="F26" i="76"/>
  <c r="AA26" i="76" s="1"/>
  <c r="F27" i="76"/>
  <c r="AA27" i="76" s="1"/>
  <c r="F28" i="76"/>
  <c r="AA28" i="76" s="1"/>
  <c r="F29" i="76"/>
  <c r="AA29" i="76" s="1"/>
  <c r="F30" i="76"/>
  <c r="AA30" i="76" s="1"/>
  <c r="F31" i="76"/>
  <c r="AA31" i="76" s="1"/>
  <c r="F32" i="76"/>
  <c r="AA32" i="76" s="1"/>
  <c r="F34" i="76"/>
  <c r="AA34" i="76" s="1"/>
  <c r="F35" i="76"/>
  <c r="AA35" i="76" s="1"/>
  <c r="F36" i="76"/>
  <c r="AA36" i="76" s="1"/>
  <c r="F37" i="76"/>
  <c r="AA37" i="76" s="1"/>
  <c r="F38" i="76"/>
  <c r="AA38" i="76" s="1"/>
  <c r="F39" i="76"/>
  <c r="AA39" i="76" s="1"/>
  <c r="F40" i="76"/>
  <c r="AA40" i="76" s="1"/>
  <c r="F41" i="76"/>
  <c r="AA41" i="76" s="1"/>
  <c r="F42" i="76"/>
  <c r="AA42" i="76" s="1"/>
  <c r="F43" i="76"/>
  <c r="AA43" i="76" s="1"/>
  <c r="F44" i="76"/>
  <c r="AA44" i="76" s="1"/>
  <c r="F45" i="76"/>
  <c r="AA45" i="76" s="1"/>
  <c r="F46" i="76"/>
  <c r="AA46" i="76" s="1"/>
  <c r="T47" i="76"/>
  <c r="G7" i="76"/>
  <c r="H7" i="76"/>
  <c r="AB7" i="76" s="1"/>
  <c r="H8" i="76"/>
  <c r="AB8" i="76" s="1"/>
  <c r="H9" i="76"/>
  <c r="AB9" i="76" s="1"/>
  <c r="H10" i="76"/>
  <c r="AB10" i="76" s="1"/>
  <c r="H11" i="76"/>
  <c r="AB11" i="76" s="1"/>
  <c r="H12" i="76"/>
  <c r="AB12" i="76" s="1"/>
  <c r="H13" i="76"/>
  <c r="AB13" i="76" s="1"/>
  <c r="H14" i="76"/>
  <c r="AB14" i="76" s="1"/>
  <c r="H15" i="76"/>
  <c r="AB15" i="76" s="1"/>
  <c r="H17" i="76"/>
  <c r="AB17" i="76" s="1"/>
  <c r="H19" i="76"/>
  <c r="AB19" i="76" s="1"/>
  <c r="H21" i="76"/>
  <c r="AB21" i="76" s="1"/>
  <c r="H23" i="76"/>
  <c r="AB23" i="76" s="1"/>
  <c r="H25" i="76"/>
  <c r="AB25" i="76" s="1"/>
  <c r="H26" i="76"/>
  <c r="AB26" i="76" s="1"/>
  <c r="H27" i="76"/>
  <c r="AB27" i="76" s="1"/>
  <c r="H28" i="76"/>
  <c r="AB28" i="76" s="1"/>
  <c r="H29" i="76"/>
  <c r="AB29" i="76" s="1"/>
  <c r="H30" i="76"/>
  <c r="AB30" i="76" s="1"/>
  <c r="H31" i="76"/>
  <c r="AB31" i="76" s="1"/>
  <c r="H32" i="76"/>
  <c r="AB32" i="76" s="1"/>
  <c r="H34" i="76"/>
  <c r="AB34" i="76" s="1"/>
  <c r="H35" i="76"/>
  <c r="AB35" i="76" s="1"/>
  <c r="H36" i="76"/>
  <c r="AB36" i="76" s="1"/>
  <c r="H37" i="76"/>
  <c r="AB37" i="76" s="1"/>
  <c r="H38" i="76"/>
  <c r="AB38" i="76" s="1"/>
  <c r="H39" i="76"/>
  <c r="AB39" i="76" s="1"/>
  <c r="H40" i="76"/>
  <c r="AB40" i="76" s="1"/>
  <c r="H41" i="76"/>
  <c r="AB41" i="76" s="1"/>
  <c r="H42" i="76"/>
  <c r="AB42" i="76" s="1"/>
  <c r="H43" i="76"/>
  <c r="AB43" i="76" s="1"/>
  <c r="H44" i="76"/>
  <c r="AB44" i="76" s="1"/>
  <c r="H45" i="76"/>
  <c r="AB45" i="76" s="1"/>
  <c r="H46" i="76"/>
  <c r="AB46" i="76" s="1"/>
  <c r="P49" i="76"/>
  <c r="P48" i="76"/>
  <c r="P47" i="76"/>
  <c r="Q46" i="76"/>
  <c r="Z46" i="76"/>
  <c r="W46" i="76"/>
  <c r="U46" i="76"/>
  <c r="Q45" i="76"/>
  <c r="Z45" i="76" s="1"/>
  <c r="W45" i="76"/>
  <c r="S45" i="76"/>
  <c r="Q44" i="76"/>
  <c r="Z44" i="76"/>
  <c r="W44" i="76"/>
  <c r="U44" i="76"/>
  <c r="Q43" i="76"/>
  <c r="Z43" i="76" s="1"/>
  <c r="W43" i="76"/>
  <c r="S43" i="76"/>
  <c r="Q42" i="76"/>
  <c r="Z42" i="76"/>
  <c r="W42" i="76"/>
  <c r="U42" i="76"/>
  <c r="Q41" i="76"/>
  <c r="Z41" i="76" s="1"/>
  <c r="W41" i="76"/>
  <c r="S41" i="76"/>
  <c r="Q40" i="76"/>
  <c r="Z40" i="76"/>
  <c r="W40" i="76"/>
  <c r="U40" i="76"/>
  <c r="Q39" i="76"/>
  <c r="Z39" i="76" s="1"/>
  <c r="W39" i="76"/>
  <c r="S39" i="76"/>
  <c r="Q38" i="76"/>
  <c r="Z38" i="76"/>
  <c r="W38" i="76"/>
  <c r="U38" i="76"/>
  <c r="Q37" i="76"/>
  <c r="Z37" i="76" s="1"/>
  <c r="W37" i="76"/>
  <c r="S37" i="76"/>
  <c r="Q36" i="76"/>
  <c r="Z36" i="76"/>
  <c r="W36" i="76"/>
  <c r="U36" i="76"/>
  <c r="Q35" i="76"/>
  <c r="Z35" i="76" s="1"/>
  <c r="W35" i="76"/>
  <c r="S35" i="76"/>
  <c r="Q34" i="76"/>
  <c r="Z34" i="76"/>
  <c r="W34" i="76"/>
  <c r="U34" i="76"/>
  <c r="Q33" i="76"/>
  <c r="Z33" i="76" s="1"/>
  <c r="Q32" i="76"/>
  <c r="Z32" i="76" s="1"/>
  <c r="W32" i="76"/>
  <c r="S32" i="76"/>
  <c r="Q31" i="76"/>
  <c r="Z31" i="76"/>
  <c r="W31" i="76"/>
  <c r="U31" i="76"/>
  <c r="Q30" i="76"/>
  <c r="Z30" i="76" s="1"/>
  <c r="W30" i="76"/>
  <c r="S30" i="76"/>
  <c r="Q29" i="76"/>
  <c r="Z29" i="76"/>
  <c r="W29" i="76"/>
  <c r="U29" i="76"/>
  <c r="Q28" i="76"/>
  <c r="Z28" i="76" s="1"/>
  <c r="W28" i="76"/>
  <c r="S28" i="76"/>
  <c r="Q27" i="76"/>
  <c r="Z27" i="76"/>
  <c r="W27" i="76"/>
  <c r="U27" i="76"/>
  <c r="Q26" i="76"/>
  <c r="Z26" i="76" s="1"/>
  <c r="W26" i="76"/>
  <c r="S26" i="76"/>
  <c r="Q25" i="76"/>
  <c r="Z25" i="76"/>
  <c r="W25" i="76"/>
  <c r="U25" i="76"/>
  <c r="Q23" i="76"/>
  <c r="Z23" i="76" s="1"/>
  <c r="W23" i="76"/>
  <c r="S23" i="76"/>
  <c r="C23" i="76"/>
  <c r="Q21" i="76"/>
  <c r="Z21" i="76" s="1"/>
  <c r="W21" i="76"/>
  <c r="S21" i="76"/>
  <c r="C21" i="76"/>
  <c r="Q19" i="76"/>
  <c r="Z19" i="76" s="1"/>
  <c r="S19" i="76"/>
  <c r="C19" i="76"/>
  <c r="Q17" i="76"/>
  <c r="Z17" i="76" s="1"/>
  <c r="W17" i="76"/>
  <c r="S17" i="76"/>
  <c r="C17" i="76"/>
  <c r="Q15" i="76"/>
  <c r="Z15" i="76" s="1"/>
  <c r="S15" i="76"/>
  <c r="C15" i="76"/>
  <c r="Q14" i="76"/>
  <c r="Z14" i="76" s="1"/>
  <c r="W14" i="76"/>
  <c r="S14" i="76"/>
  <c r="Q13" i="76"/>
  <c r="Z13" i="76"/>
  <c r="W13" i="76"/>
  <c r="U13" i="76"/>
  <c r="S13" i="76"/>
  <c r="Q12" i="76"/>
  <c r="Z12" i="76" s="1"/>
  <c r="W12" i="76"/>
  <c r="S12" i="76"/>
  <c r="Q11" i="76"/>
  <c r="Z11" i="76"/>
  <c r="W11" i="76"/>
  <c r="U11" i="76"/>
  <c r="S11" i="76"/>
  <c r="Q10" i="76"/>
  <c r="Z10" i="76" s="1"/>
  <c r="W10" i="76"/>
  <c r="S10" i="76"/>
  <c r="Q9" i="76"/>
  <c r="Z9" i="76"/>
  <c r="W9" i="76"/>
  <c r="U9" i="76"/>
  <c r="S9" i="76"/>
  <c r="W8" i="76"/>
  <c r="S8" i="76"/>
  <c r="W7" i="76"/>
  <c r="U7" i="76"/>
  <c r="I6" i="76"/>
  <c r="F19" i="6"/>
  <c r="E19" i="6"/>
  <c r="D3" i="76" s="1"/>
  <c r="J140" i="75"/>
  <c r="K145" i="75" s="1"/>
  <c r="C145" i="75"/>
  <c r="K139" i="75"/>
  <c r="K144" i="75"/>
  <c r="J142" i="75"/>
  <c r="B130" i="75"/>
  <c r="J46" i="75" s="1"/>
  <c r="B128" i="75"/>
  <c r="B126" i="75"/>
  <c r="J44" i="75" s="1"/>
  <c r="D125" i="75"/>
  <c r="E125" i="75"/>
  <c r="F125" i="75" s="1"/>
  <c r="G125" i="75" s="1"/>
  <c r="D123" i="75"/>
  <c r="E123" i="75"/>
  <c r="F123" i="75" s="1"/>
  <c r="G123" i="75" s="1"/>
  <c r="H123" i="75" s="1"/>
  <c r="I123" i="75" s="1"/>
  <c r="J123" i="75" s="1"/>
  <c r="K123" i="75" s="1"/>
  <c r="L123" i="75" s="1"/>
  <c r="M123" i="75" s="1"/>
  <c r="D119" i="75"/>
  <c r="E119" i="75"/>
  <c r="F119" i="75" s="1"/>
  <c r="G119" i="75" s="1"/>
  <c r="H119" i="75" s="1"/>
  <c r="I119" i="75" s="1"/>
  <c r="J119" i="75" s="1"/>
  <c r="K119" i="75" s="1"/>
  <c r="L119" i="75" s="1"/>
  <c r="M119" i="75" s="1"/>
  <c r="D117" i="75"/>
  <c r="E117" i="75"/>
  <c r="F117" i="75" s="1"/>
  <c r="G117" i="75" s="1"/>
  <c r="D115" i="75"/>
  <c r="E115" i="75"/>
  <c r="F115" i="75" s="1"/>
  <c r="G115" i="75" s="1"/>
  <c r="H115" i="75" s="1"/>
  <c r="I115" i="75" s="1"/>
  <c r="J115" i="75" s="1"/>
  <c r="K115" i="75" s="1"/>
  <c r="L115" i="75" s="1"/>
  <c r="M115" i="75" s="1"/>
  <c r="D113" i="75"/>
  <c r="E113" i="75"/>
  <c r="F113" i="75" s="1"/>
  <c r="G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c r="F101" i="75" s="1"/>
  <c r="B98" i="75"/>
  <c r="B96" i="75"/>
  <c r="J30" i="75" s="1"/>
  <c r="B94" i="75"/>
  <c r="B92" i="75"/>
  <c r="J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D83" i="75"/>
  <c r="E83" i="75" s="1"/>
  <c r="F83" i="75" s="1"/>
  <c r="G83" i="75" s="1"/>
  <c r="D81" i="75"/>
  <c r="E81" i="75" s="1"/>
  <c r="F81" i="75" s="1"/>
  <c r="D79" i="75"/>
  <c r="E79" i="75" s="1"/>
  <c r="D77" i="75"/>
  <c r="E77" i="75" s="1"/>
  <c r="F77" i="75" s="1"/>
  <c r="B74" i="75"/>
  <c r="J14" i="75" s="1"/>
  <c r="B72" i="75"/>
  <c r="B70" i="75"/>
  <c r="J12" i="75" s="1"/>
  <c r="D69" i="75"/>
  <c r="E69" i="75"/>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C7" i="75"/>
  <c r="C58" i="75" s="1"/>
  <c r="D58" i="75" s="1"/>
  <c r="I47" i="75"/>
  <c r="E47" i="75"/>
  <c r="I54" i="75" s="1"/>
  <c r="J54" i="75" s="1"/>
  <c r="G47" i="75"/>
  <c r="G54" i="75"/>
  <c r="H54" i="75" s="1"/>
  <c r="E54" i="75"/>
  <c r="F54" i="75" s="1"/>
  <c r="V47" i="75"/>
  <c r="I7" i="75"/>
  <c r="J8" i="75"/>
  <c r="AC8" i="75" s="1"/>
  <c r="J9" i="75"/>
  <c r="AC9" i="75" s="1"/>
  <c r="J10" i="75"/>
  <c r="AC10" i="75" s="1"/>
  <c r="I11" i="75"/>
  <c r="J11" i="75" s="1"/>
  <c r="J13" i="75"/>
  <c r="AC13" i="75"/>
  <c r="J25" i="75"/>
  <c r="AC25" i="75"/>
  <c r="J26" i="75"/>
  <c r="AC26" i="75"/>
  <c r="J27" i="75"/>
  <c r="AC27" i="75"/>
  <c r="J29" i="75"/>
  <c r="AC29" i="75"/>
  <c r="J31" i="75"/>
  <c r="AC31" i="75"/>
  <c r="J34" i="75"/>
  <c r="AC34" i="75"/>
  <c r="J36" i="75"/>
  <c r="AC36" i="75"/>
  <c r="J38" i="75"/>
  <c r="AC38" i="75"/>
  <c r="J39" i="75"/>
  <c r="AC39" i="75"/>
  <c r="J40" i="75"/>
  <c r="AC40" i="75"/>
  <c r="J41" i="75"/>
  <c r="AC41" i="75"/>
  <c r="J42" i="75"/>
  <c r="AC42" i="75"/>
  <c r="J43" i="75"/>
  <c r="AC43" i="75"/>
  <c r="J45" i="75"/>
  <c r="AC45" i="75"/>
  <c r="F8" i="75"/>
  <c r="AA8" i="75" s="1"/>
  <c r="F9" i="75"/>
  <c r="AA9" i="75" s="1"/>
  <c r="F10" i="75"/>
  <c r="AA10" i="75" s="1"/>
  <c r="F11" i="75"/>
  <c r="AA11" i="75" s="1"/>
  <c r="F12" i="75"/>
  <c r="AA12" i="75" s="1"/>
  <c r="F13" i="75"/>
  <c r="AA13" i="75" s="1"/>
  <c r="F14" i="75"/>
  <c r="AA14" i="75" s="1"/>
  <c r="F21" i="75"/>
  <c r="AA21" i="75" s="1"/>
  <c r="F23" i="75"/>
  <c r="AA23" i="75" s="1"/>
  <c r="F25" i="75"/>
  <c r="AA25" i="75" s="1"/>
  <c r="F26" i="75"/>
  <c r="AA26" i="75" s="1"/>
  <c r="F27" i="75"/>
  <c r="AA27" i="75" s="1"/>
  <c r="F28" i="75"/>
  <c r="AA28" i="75" s="1"/>
  <c r="F29" i="75"/>
  <c r="AA29" i="75" s="1"/>
  <c r="F30" i="75"/>
  <c r="AA30" i="75" s="1"/>
  <c r="F31" i="75"/>
  <c r="AA31" i="75" s="1"/>
  <c r="F34" i="75"/>
  <c r="AA34" i="75" s="1"/>
  <c r="F35" i="75"/>
  <c r="AA35" i="75" s="1"/>
  <c r="F36" i="75"/>
  <c r="AA36" i="75" s="1"/>
  <c r="F38" i="75"/>
  <c r="AA38" i="75" s="1"/>
  <c r="F39" i="75"/>
  <c r="AA39" i="75" s="1"/>
  <c r="F40" i="75"/>
  <c r="AA40" i="75" s="1"/>
  <c r="F41" i="75"/>
  <c r="AA41" i="75" s="1"/>
  <c r="F42" i="75"/>
  <c r="AA42" i="75" s="1"/>
  <c r="F43" i="75"/>
  <c r="AA43" i="75" s="1"/>
  <c r="F44" i="75"/>
  <c r="AA44" i="75" s="1"/>
  <c r="F45" i="75"/>
  <c r="AA45" i="75" s="1"/>
  <c r="F46" i="75"/>
  <c r="AA46" i="75" s="1"/>
  <c r="T47" i="75"/>
  <c r="G7" i="75"/>
  <c r="H8" i="75"/>
  <c r="AB8" i="75" s="1"/>
  <c r="H9" i="75"/>
  <c r="AB9" i="75" s="1"/>
  <c r="H10" i="75"/>
  <c r="AB10" i="75" s="1"/>
  <c r="H11" i="75"/>
  <c r="AB11" i="75" s="1"/>
  <c r="H12" i="75"/>
  <c r="AB12" i="75" s="1"/>
  <c r="H13" i="75"/>
  <c r="AB13" i="75" s="1"/>
  <c r="H14" i="75"/>
  <c r="AB14" i="75" s="1"/>
  <c r="H21" i="75"/>
  <c r="AB21" i="75" s="1"/>
  <c r="H25" i="75"/>
  <c r="AB25" i="75" s="1"/>
  <c r="H26" i="75"/>
  <c r="AB26" i="75" s="1"/>
  <c r="H27" i="75"/>
  <c r="AB27" i="75" s="1"/>
  <c r="H28" i="75"/>
  <c r="AB28" i="75" s="1"/>
  <c r="H29" i="75"/>
  <c r="AB29" i="75" s="1"/>
  <c r="H30" i="75"/>
  <c r="AB30" i="75" s="1"/>
  <c r="H31" i="75"/>
  <c r="AB31" i="75" s="1"/>
  <c r="H32" i="75"/>
  <c r="AB32" i="75" s="1"/>
  <c r="H34" i="75"/>
  <c r="AB34" i="75" s="1"/>
  <c r="H35" i="75"/>
  <c r="AB35" i="75" s="1"/>
  <c r="H36" i="75"/>
  <c r="AB36" i="75" s="1"/>
  <c r="H38" i="75"/>
  <c r="AB38" i="75" s="1"/>
  <c r="H39" i="75"/>
  <c r="AB39" i="75" s="1"/>
  <c r="H40" i="75"/>
  <c r="AB40" i="75" s="1"/>
  <c r="H41" i="75"/>
  <c r="AB41" i="75" s="1"/>
  <c r="H42" i="75"/>
  <c r="AB42" i="75" s="1"/>
  <c r="H43" i="75"/>
  <c r="AB43" i="75" s="1"/>
  <c r="H44" i="75"/>
  <c r="AB44" i="75" s="1"/>
  <c r="H45" i="75"/>
  <c r="AB45" i="75" s="1"/>
  <c r="H46" i="75"/>
  <c r="AB46" i="75" s="1"/>
  <c r="P49" i="75"/>
  <c r="P48" i="75"/>
  <c r="P47" i="75"/>
  <c r="Q46" i="75"/>
  <c r="Z46" i="75"/>
  <c r="U46" i="75"/>
  <c r="Q45" i="75"/>
  <c r="Z45" i="75" s="1"/>
  <c r="W45" i="75"/>
  <c r="S45" i="75"/>
  <c r="Q44" i="75"/>
  <c r="Z44" i="75"/>
  <c r="U44" i="75"/>
  <c r="Q43" i="75"/>
  <c r="Z43" i="75" s="1"/>
  <c r="W43" i="75"/>
  <c r="S43" i="75"/>
  <c r="Q42" i="75"/>
  <c r="Z42" i="75"/>
  <c r="W42" i="75"/>
  <c r="U42" i="75"/>
  <c r="Q41" i="75"/>
  <c r="Z41" i="75" s="1"/>
  <c r="W41" i="75"/>
  <c r="S41" i="75"/>
  <c r="Q40" i="75"/>
  <c r="Z40" i="75"/>
  <c r="W40" i="75"/>
  <c r="U40" i="75"/>
  <c r="Q39" i="75"/>
  <c r="Z39" i="75" s="1"/>
  <c r="W39" i="75"/>
  <c r="S39" i="75"/>
  <c r="Q38" i="75"/>
  <c r="Z38" i="75"/>
  <c r="W38" i="75"/>
  <c r="U38" i="75"/>
  <c r="Q37" i="75"/>
  <c r="Z37" i="75" s="1"/>
  <c r="Q36" i="75"/>
  <c r="Z36" i="75"/>
  <c r="W36" i="75"/>
  <c r="U36" i="75"/>
  <c r="Q35" i="75"/>
  <c r="Z35" i="75" s="1"/>
  <c r="S35" i="75"/>
  <c r="Q34" i="75"/>
  <c r="Z34" i="75"/>
  <c r="W34" i="75"/>
  <c r="U34" i="75"/>
  <c r="Q33" i="75"/>
  <c r="Z33" i="75" s="1"/>
  <c r="Q32" i="75"/>
  <c r="Z32" i="75" s="1"/>
  <c r="Q31" i="75"/>
  <c r="Z31" i="75"/>
  <c r="W31" i="75"/>
  <c r="U31" i="75"/>
  <c r="Q30" i="75"/>
  <c r="Z30" i="75" s="1"/>
  <c r="S30" i="75"/>
  <c r="Q29" i="75"/>
  <c r="Z29" i="75"/>
  <c r="W29" i="75"/>
  <c r="U29" i="75"/>
  <c r="Q28" i="75"/>
  <c r="Z28" i="75" s="1"/>
  <c r="S28" i="75"/>
  <c r="Q27" i="75"/>
  <c r="Z27" i="75"/>
  <c r="W27" i="75"/>
  <c r="U27" i="75"/>
  <c r="Q26" i="75"/>
  <c r="Z26" i="75" s="1"/>
  <c r="W26" i="75"/>
  <c r="S26" i="75"/>
  <c r="Q25" i="75"/>
  <c r="Z25" i="75"/>
  <c r="W25" i="75"/>
  <c r="U25" i="75"/>
  <c r="Q23" i="75"/>
  <c r="Z23" i="75" s="1"/>
  <c r="S23" i="75"/>
  <c r="C23" i="75"/>
  <c r="Q21" i="75"/>
  <c r="Z21" i="75" s="1"/>
  <c r="S21" i="75"/>
  <c r="C21" i="75"/>
  <c r="Q19" i="75"/>
  <c r="Z19" i="75" s="1"/>
  <c r="C19" i="75"/>
  <c r="Q17" i="75"/>
  <c r="Z17" i="75" s="1"/>
  <c r="C17" i="75"/>
  <c r="Q15" i="75"/>
  <c r="Z15" i="75" s="1"/>
  <c r="C15" i="75"/>
  <c r="Q14" i="75"/>
  <c r="Z14" i="75" s="1"/>
  <c r="S14" i="75"/>
  <c r="Q13" i="75"/>
  <c r="Z13" i="75"/>
  <c r="W13" i="75"/>
  <c r="U13" i="75"/>
  <c r="Q12" i="75"/>
  <c r="Z12" i="75" s="1"/>
  <c r="S12" i="75"/>
  <c r="Q11" i="75"/>
  <c r="Z11" i="75"/>
  <c r="U11" i="75"/>
  <c r="Q10" i="75"/>
  <c r="Z10" i="75" s="1"/>
  <c r="W10" i="75"/>
  <c r="S10" i="75"/>
  <c r="Q9" i="75"/>
  <c r="Z9" i="75"/>
  <c r="U9" i="75"/>
  <c r="W8" i="75"/>
  <c r="S8" i="75"/>
  <c r="I6" i="75"/>
  <c r="I6" i="21"/>
  <c r="G17" i="66"/>
  <c r="G18" i="66"/>
  <c r="G19" i="66"/>
  <c r="G20" i="66"/>
  <c r="G16" i="66"/>
  <c r="I11" i="21"/>
  <c r="I7" i="21"/>
  <c r="G7" i="21"/>
  <c r="BB10" i="3"/>
  <c r="BB5" i="3"/>
  <c r="BC10" i="3"/>
  <c r="BD10" i="3"/>
  <c r="BE10" i="3"/>
  <c r="BF10" i="3"/>
  <c r="BG10" i="3"/>
  <c r="BH10" i="3"/>
  <c r="BI10" i="3"/>
  <c r="BJ10" i="3"/>
  <c r="BK10" i="3"/>
  <c r="BC5" i="3"/>
  <c r="BD5" i="3"/>
  <c r="BE5" i="3"/>
  <c r="BF5" i="3"/>
  <c r="BG5" i="3"/>
  <c r="BH5" i="3"/>
  <c r="BI5" i="3"/>
  <c r="BJ5" i="3"/>
  <c r="BK5" i="3"/>
  <c r="BQ5" i="3"/>
  <c r="BS5" i="3"/>
  <c r="F28" i="6" s="1"/>
  <c r="F30" i="6" s="1"/>
  <c r="BM5" i="3"/>
  <c r="BO5" i="3"/>
  <c r="F29" i="6"/>
  <c r="H13" i="3"/>
  <c r="AC13" i="3"/>
  <c r="G13" i="3"/>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E20" i="6"/>
  <c r="E21" i="6"/>
  <c r="E22" i="6"/>
  <c r="E23" i="6"/>
  <c r="E24" i="6"/>
  <c r="E25" i="6"/>
  <c r="E26" i="6"/>
  <c r="BR5" i="3"/>
  <c r="BT5" i="3"/>
  <c r="G28" i="6"/>
  <c r="E28" i="6" s="1"/>
  <c r="BN5" i="3"/>
  <c r="BP5" i="3"/>
  <c r="G29" i="6"/>
  <c r="E29" i="6" s="1"/>
  <c r="D82" i="39"/>
  <c r="E82" i="39" s="1"/>
  <c r="D19" i="4"/>
  <c r="C12" i="39" s="1"/>
  <c r="I40" i="39"/>
  <c r="G40" i="39"/>
  <c r="E40" i="39"/>
  <c r="D73" i="39"/>
  <c r="E73" i="39" s="1"/>
  <c r="F73" i="39" s="1"/>
  <c r="G73" i="39" s="1"/>
  <c r="H73" i="39" s="1"/>
  <c r="I73" i="39" s="1"/>
  <c r="J73" i="39" s="1"/>
  <c r="K73" i="39" s="1"/>
  <c r="L73" i="39" s="1"/>
  <c r="M73" i="39" s="1"/>
  <c r="N73" i="39" s="1"/>
  <c r="D77" i="39"/>
  <c r="C77" i="39"/>
  <c r="I9" i="39"/>
  <c r="G9" i="39"/>
  <c r="E9" i="39"/>
  <c r="I7" i="39"/>
  <c r="G7" i="39"/>
  <c r="E7" i="39"/>
  <c r="E22" i="4"/>
  <c r="E21" i="4"/>
  <c r="B7" i="4"/>
  <c r="B5" i="4"/>
  <c r="D7" i="59"/>
  <c r="AH5" i="59"/>
  <c r="AG5" i="59"/>
  <c r="AE5" i="59"/>
  <c r="AF5" i="59" s="1"/>
  <c r="AD5" i="59"/>
  <c r="Q5" i="59"/>
  <c r="P5" i="59"/>
  <c r="O5" i="59"/>
  <c r="N5" i="59"/>
  <c r="I3" i="59"/>
  <c r="L3" i="59"/>
  <c r="AH3" i="59" s="1"/>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s="1"/>
  <c r="C56" i="10"/>
  <c r="C55" i="10"/>
  <c r="C54" i="10"/>
  <c r="A26" i="64" s="1"/>
  <c r="B49" i="63"/>
  <c r="B44" i="63"/>
  <c r="B40" i="63"/>
  <c r="B30" i="63"/>
  <c r="B27" i="63"/>
  <c r="B25" i="63"/>
  <c r="A11" i="51"/>
  <c r="A28"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s="1"/>
  <c r="E5" i="54"/>
  <c r="B32" i="63" s="1"/>
  <c r="R2" i="54"/>
  <c r="B24" i="63" s="1"/>
  <c r="B19" i="63"/>
  <c r="B49" i="50"/>
  <c r="B5" i="63"/>
  <c r="B40" i="50"/>
  <c r="B3" i="63"/>
  <c r="B67" i="63"/>
  <c r="I19" i="46"/>
  <c r="Q10" i="59"/>
  <c r="P10" i="59"/>
  <c r="O10" i="59"/>
  <c r="N10" i="59"/>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Q48" i="59" s="1"/>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AA20" i="59" s="1"/>
  <c r="O20" i="59"/>
  <c r="Y20" i="59" s="1"/>
  <c r="Z20" i="59" s="1"/>
  <c r="N20" i="59"/>
  <c r="X20" i="59" s="1"/>
  <c r="Q19" i="59"/>
  <c r="F20" i="59" s="1"/>
  <c r="F21" i="59" s="1"/>
  <c r="F22" i="59" s="1"/>
  <c r="V22" i="59" s="1"/>
  <c r="P19" i="59"/>
  <c r="O19" i="59"/>
  <c r="Y19" i="59" s="1"/>
  <c r="Z19" i="59" s="1"/>
  <c r="N19" i="59"/>
  <c r="D19" i="59"/>
  <c r="Q18" i="59"/>
  <c r="AB18" i="59"/>
  <c r="P18" i="59"/>
  <c r="AA18" i="59"/>
  <c r="O18" i="59"/>
  <c r="Y18" i="59"/>
  <c r="Z18" i="59" s="1"/>
  <c r="N18" i="59"/>
  <c r="X18" i="59" s="1"/>
  <c r="Q17" i="59"/>
  <c r="AB17" i="59" s="1"/>
  <c r="P17" i="59"/>
  <c r="AA17" i="59" s="1"/>
  <c r="O17" i="59"/>
  <c r="Y17" i="59" s="1"/>
  <c r="Z17" i="59" s="1"/>
  <c r="N17" i="59"/>
  <c r="X17" i="59"/>
  <c r="Q16" i="59"/>
  <c r="AB16" i="59"/>
  <c r="P16" i="59"/>
  <c r="AA16" i="59"/>
  <c r="O16" i="59"/>
  <c r="Y16" i="59"/>
  <c r="Z16" i="59" s="1"/>
  <c r="N16" i="59"/>
  <c r="X16" i="59" s="1"/>
  <c r="Q15" i="59"/>
  <c r="F16" i="59" s="1"/>
  <c r="F17" i="59" s="1"/>
  <c r="F18" i="59" s="1"/>
  <c r="V18" i="59" s="1"/>
  <c r="P15" i="59"/>
  <c r="O15" i="59"/>
  <c r="Y15" i="59" s="1"/>
  <c r="Z15" i="59" s="1"/>
  <c r="N15" i="59"/>
  <c r="D15" i="59"/>
  <c r="Q14" i="59"/>
  <c r="AB14" i="59"/>
  <c r="P14" i="59"/>
  <c r="AA14" i="59"/>
  <c r="O14" i="59"/>
  <c r="Y14" i="59"/>
  <c r="Z14" i="59" s="1"/>
  <c r="N14" i="59"/>
  <c r="X14" i="59" s="1"/>
  <c r="Q13" i="59"/>
  <c r="AB13" i="59" s="1"/>
  <c r="P13" i="59"/>
  <c r="AA13" i="59" s="1"/>
  <c r="O13" i="59"/>
  <c r="Y13" i="59" s="1"/>
  <c r="Z13" i="59" s="1"/>
  <c r="N13" i="59"/>
  <c r="X13" i="59"/>
  <c r="Q12" i="59"/>
  <c r="AB12" i="59"/>
  <c r="P12" i="59"/>
  <c r="AA12" i="59"/>
  <c r="O12" i="59"/>
  <c r="Y12" i="59"/>
  <c r="Z12" i="59" s="1"/>
  <c r="N12" i="59"/>
  <c r="X12" i="59" s="1"/>
  <c r="Q11" i="59"/>
  <c r="AB11" i="59" s="1"/>
  <c r="P11" i="59"/>
  <c r="AA11" i="59"/>
  <c r="O11" i="59"/>
  <c r="N11" i="59"/>
  <c r="X5" i="59" s="1"/>
  <c r="D11" i="59"/>
  <c r="C16" i="59"/>
  <c r="C17" i="59" s="1"/>
  <c r="AB15" i="59"/>
  <c r="B20" i="59"/>
  <c r="B21" i="59"/>
  <c r="B22" i="59" s="1"/>
  <c r="S22" i="59" s="1"/>
  <c r="E20" i="59"/>
  <c r="E21" i="59" s="1"/>
  <c r="E22" i="59" s="1"/>
  <c r="U22" i="59" s="1"/>
  <c r="AA19" i="59"/>
  <c r="B10" i="59"/>
  <c r="X6" i="59"/>
  <c r="E10" i="59"/>
  <c r="E9" i="59" s="1"/>
  <c r="E8" i="59" s="1"/>
  <c r="AA5" i="59"/>
  <c r="X11" i="59"/>
  <c r="C12" i="59"/>
  <c r="Y11" i="59"/>
  <c r="Z11" i="59" s="1"/>
  <c r="F12" i="59"/>
  <c r="B16" i="59"/>
  <c r="B17" i="59" s="1"/>
  <c r="B18" i="59" s="1"/>
  <c r="S18" i="59" s="1"/>
  <c r="X15" i="59"/>
  <c r="E16" i="59"/>
  <c r="E17" i="59"/>
  <c r="E18" i="59" s="1"/>
  <c r="U18" i="59" s="1"/>
  <c r="C20" i="59"/>
  <c r="D20" i="59" s="1"/>
  <c r="AB19" i="59"/>
  <c r="C10" i="59"/>
  <c r="Y6" i="59"/>
  <c r="Z6" i="59" s="1"/>
  <c r="Y5" i="59"/>
  <c r="Z5" i="59" s="1"/>
  <c r="F10" i="59"/>
  <c r="F9" i="59" s="1"/>
  <c r="F8" i="59" s="1"/>
  <c r="AB5" i="59"/>
  <c r="X7" i="59"/>
  <c r="X9" i="59"/>
  <c r="AA3" i="59"/>
  <c r="AA8" i="59"/>
  <c r="AA10" i="59"/>
  <c r="AB3" i="59"/>
  <c r="AB8" i="59"/>
  <c r="E12" i="59"/>
  <c r="E13" i="59"/>
  <c r="E14" i="59" s="1"/>
  <c r="U14" i="59" s="1"/>
  <c r="B33" i="59"/>
  <c r="B34" i="59"/>
  <c r="S34" i="59" s="1"/>
  <c r="E33" i="59"/>
  <c r="E34" i="59" s="1"/>
  <c r="U34" i="59" s="1"/>
  <c r="S50" i="59"/>
  <c r="AA21" i="59"/>
  <c r="F13" i="59"/>
  <c r="F14" i="59" s="1"/>
  <c r="V14" i="59" s="1"/>
  <c r="F25" i="59"/>
  <c r="F26" i="59"/>
  <c r="V26" i="59" s="1"/>
  <c r="F37" i="59"/>
  <c r="F38" i="59"/>
  <c r="V38" i="59" s="1"/>
  <c r="F45" i="59"/>
  <c r="F46" i="59"/>
  <c r="V46" i="59" s="1"/>
  <c r="C13" i="59"/>
  <c r="C14" i="59" s="1"/>
  <c r="D12" i="59"/>
  <c r="C21" i="59"/>
  <c r="C22" i="59" s="1"/>
  <c r="C29" i="59"/>
  <c r="D29" i="59" s="1"/>
  <c r="D28" i="59"/>
  <c r="C33" i="59"/>
  <c r="D32" i="59"/>
  <c r="C41" i="59"/>
  <c r="D40" i="59"/>
  <c r="D16" i="59"/>
  <c r="E48" i="59"/>
  <c r="N49" i="59"/>
  <c r="B48" i="59"/>
  <c r="Q49" i="59"/>
  <c r="T50" i="59"/>
  <c r="O50" i="59"/>
  <c r="D50" i="59"/>
  <c r="C49" i="59"/>
  <c r="O49" i="59" s="1"/>
  <c r="P50" i="59"/>
  <c r="U50" i="59"/>
  <c r="Q50" i="59"/>
  <c r="C53" i="59"/>
  <c r="D53" i="59" s="1"/>
  <c r="E53" i="59"/>
  <c r="E52" i="59"/>
  <c r="D54" i="59"/>
  <c r="C57" i="59"/>
  <c r="C56" i="59" s="1"/>
  <c r="D56" i="59" s="1"/>
  <c r="E57" i="59"/>
  <c r="E56" i="59"/>
  <c r="D58" i="59"/>
  <c r="C61" i="59"/>
  <c r="C60" i="59" s="1"/>
  <c r="D60" i="59" s="1"/>
  <c r="E61" i="59"/>
  <c r="E60" i="59"/>
  <c r="D62" i="59"/>
  <c r="C65" i="59"/>
  <c r="D65" i="59" s="1"/>
  <c r="C69" i="59"/>
  <c r="U16" i="4"/>
  <c r="S16" i="4"/>
  <c r="Q16" i="4"/>
  <c r="O16" i="4"/>
  <c r="M16" i="4"/>
  <c r="N16" i="4" s="1"/>
  <c r="K16" i="4"/>
  <c r="V10" i="59"/>
  <c r="F6" i="59"/>
  <c r="U10" i="59"/>
  <c r="E6" i="59"/>
  <c r="D10" i="59"/>
  <c r="T10" i="59"/>
  <c r="C9" i="59"/>
  <c r="D9" i="59" s="1"/>
  <c r="S10" i="59"/>
  <c r="B9" i="59"/>
  <c r="B8" i="59" s="1"/>
  <c r="B6" i="59"/>
  <c r="B5" i="59" s="1"/>
  <c r="P47" i="59"/>
  <c r="P48" i="59"/>
  <c r="D69" i="59"/>
  <c r="C68" i="59"/>
  <c r="D68" i="59" s="1"/>
  <c r="D61" i="59"/>
  <c r="C52" i="59"/>
  <c r="D52" i="59" s="1"/>
  <c r="C48" i="59"/>
  <c r="D48" i="59" s="1"/>
  <c r="D49" i="59"/>
  <c r="C64" i="59"/>
  <c r="D64" i="59" s="1"/>
  <c r="D57" i="59"/>
  <c r="N47" i="59"/>
  <c r="N48" i="59"/>
  <c r="D41" i="59"/>
  <c r="C42" i="59"/>
  <c r="D42" i="59" s="1"/>
  <c r="C34" i="59"/>
  <c r="D33" i="59"/>
  <c r="D21" i="59"/>
  <c r="D13" i="59"/>
  <c r="L16" i="4"/>
  <c r="E5" i="59"/>
  <c r="U6" i="59"/>
  <c r="F5" i="59"/>
  <c r="V6" i="59"/>
  <c r="S6" i="59"/>
  <c r="C8" i="59"/>
  <c r="D8" i="59" s="1"/>
  <c r="T42" i="59"/>
  <c r="T34" i="59"/>
  <c r="D34" i="59"/>
  <c r="O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21" i="37"/>
  <c r="S31" i="39"/>
  <c r="C31" i="39"/>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D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C42" i="1"/>
  <c r="A12" i="1"/>
  <c r="R12" i="1"/>
  <c r="A13" i="1"/>
  <c r="B13" i="1"/>
  <c r="E13" i="1" s="1"/>
  <c r="A7" i="1"/>
  <c r="A8" i="1"/>
  <c r="K8" i="1" s="1"/>
  <c r="A9" i="1"/>
  <c r="A10" i="1"/>
  <c r="R10" i="1" s="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D38" i="4"/>
  <c r="C39" i="4" s="1"/>
  <c r="C35" i="4"/>
  <c r="E16" i="12"/>
  <c r="F14" i="12"/>
  <c r="F15" i="12"/>
  <c r="F17" i="12"/>
  <c r="E19" i="12"/>
  <c r="E21" i="12"/>
  <c r="E22" i="12"/>
  <c r="F23" i="12"/>
  <c r="F24" i="12"/>
  <c r="F25" i="12"/>
  <c r="C43" i="9"/>
  <c r="K47" i="9"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s="1"/>
  <c r="B22" i="1"/>
  <c r="C2" i="65" s="1"/>
  <c r="I1" i="65" s="1"/>
  <c r="B23" i="1"/>
  <c r="BC11" i="3"/>
  <c r="BD11" i="3"/>
  <c r="C11" i="11"/>
  <c r="C10" i="11" s="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H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s="1"/>
  <c r="D81" i="21"/>
  <c r="E81" i="21" s="1"/>
  <c r="F81" i="21" s="1"/>
  <c r="D77" i="21"/>
  <c r="E77" i="21" s="1"/>
  <c r="F77" i="21" s="1"/>
  <c r="B130" i="21"/>
  <c r="B128" i="21"/>
  <c r="B126" i="21"/>
  <c r="B98" i="21"/>
  <c r="B96" i="21"/>
  <c r="H30" i="21"/>
  <c r="B94" i="21"/>
  <c r="B92" i="21"/>
  <c r="F28" i="21" s="1"/>
  <c r="B90" i="21"/>
  <c r="B74" i="21"/>
  <c r="J1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L5" i="3"/>
  <c r="M5" i="3"/>
  <c r="N5" i="3"/>
  <c r="O5" i="3"/>
  <c r="P5" i="3"/>
  <c r="Q5" i="3"/>
  <c r="R5" i="3"/>
  <c r="S5" i="3"/>
  <c r="T5" i="3"/>
  <c r="U5" i="3"/>
  <c r="V5" i="3"/>
  <c r="W5" i="3"/>
  <c r="X5" i="3"/>
  <c r="Y5" i="3"/>
  <c r="Z5" i="3"/>
  <c r="AA5" i="3"/>
  <c r="AB5" i="3"/>
  <c r="F5" i="3"/>
  <c r="G27" i="6"/>
  <c r="F34" i="21"/>
  <c r="AA34" i="21" s="1"/>
  <c r="H34" i="21"/>
  <c r="U34" i="21" s="1"/>
  <c r="H38" i="21"/>
  <c r="AB38"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24" i="35"/>
  <c r="S31" i="35"/>
  <c r="W31" i="35"/>
  <c r="U34"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36" i="39"/>
  <c r="F11" i="21"/>
  <c r="S11" i="21" s="1"/>
  <c r="AC35" i="21"/>
  <c r="C29" i="39"/>
  <c r="C23" i="39"/>
  <c r="U36" i="39"/>
  <c r="S42" i="39"/>
  <c r="H32" i="33"/>
  <c r="AB32" i="33" s="1"/>
  <c r="H11" i="21"/>
  <c r="U11" i="21" s="1"/>
  <c r="J11" i="21"/>
  <c r="W11" i="21" s="1"/>
  <c r="F100" i="40"/>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F14" i="21"/>
  <c r="AA14" i="21"/>
  <c r="H28" i="21"/>
  <c r="AB28" i="21"/>
  <c r="J28" i="21"/>
  <c r="AC28" i="21"/>
  <c r="F30" i="21"/>
  <c r="S30" i="21"/>
  <c r="J44" i="21"/>
  <c r="AC44" i="21"/>
  <c r="H44" i="21"/>
  <c r="F44" i="21"/>
  <c r="AA44" i="21" s="1"/>
  <c r="H46" i="21"/>
  <c r="AB46" i="21" s="1"/>
  <c r="J46" i="21"/>
  <c r="W46" i="21" s="1"/>
  <c r="F46" i="21"/>
  <c r="H26" i="33"/>
  <c r="U26" i="33"/>
  <c r="H28" i="33"/>
  <c r="F28" i="33"/>
  <c r="AA28" i="33" s="1"/>
  <c r="J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31" i="21"/>
  <c r="AB13" i="21"/>
  <c r="U36" i="37"/>
  <c r="AC13" i="36"/>
  <c r="AB31" i="33"/>
  <c r="AA27" i="3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123" i="33"/>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AB43" i="33"/>
  <c r="D3" i="21"/>
  <c r="AC33" i="36"/>
  <c r="AC23" i="37"/>
  <c r="S27"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c r="W36" i="40"/>
  <c r="F90" i="40"/>
  <c r="G90" i="40" s="1"/>
  <c r="J21" i="40"/>
  <c r="AC21" i="40"/>
  <c r="S27" i="31"/>
  <c r="J57" i="39"/>
  <c r="H13" i="40"/>
  <c r="U13" i="40" s="1"/>
  <c r="H12" i="48"/>
  <c r="I4" i="4"/>
  <c r="K141" i="21"/>
  <c r="K143" i="21"/>
  <c r="K144" i="21"/>
  <c r="I59" i="40"/>
  <c r="C59" i="40"/>
  <c r="I60" i="40"/>
  <c r="C60" i="40"/>
  <c r="H7" i="48"/>
  <c r="H113" i="46"/>
  <c r="H17" i="46"/>
  <c r="F33" i="46"/>
  <c r="F35" i="46"/>
  <c r="F37" i="46"/>
  <c r="H16" i="48"/>
  <c r="H9" i="48"/>
  <c r="H8" i="48"/>
  <c r="C12" i="46"/>
  <c r="AB16" i="35"/>
  <c r="AB15" i="37"/>
  <c r="AA13" i="40"/>
  <c r="E78" i="40"/>
  <c r="F78" i="40"/>
  <c r="G78" i="40" s="1"/>
  <c r="H78" i="40" s="1"/>
  <c r="I78" i="40" s="1"/>
  <c r="J78" i="40" s="1"/>
  <c r="K78" i="40" s="1"/>
  <c r="L78" i="40" s="1"/>
  <c r="M78" i="40" s="1"/>
  <c r="R16" i="4"/>
  <c r="P16" i="4"/>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c r="G103" i="37"/>
  <c r="H103" i="37"/>
  <c r="I103" i="37" s="1"/>
  <c r="J103" i="37" s="1"/>
  <c r="K103" i="37" s="1"/>
  <c r="L103" i="37" s="1"/>
  <c r="M103" i="37" s="1"/>
  <c r="H35" i="37"/>
  <c r="AB35" i="37" s="1"/>
  <c r="S26" i="21"/>
  <c r="AB12" i="21"/>
  <c r="H32" i="21"/>
  <c r="U32" i="21" s="1"/>
  <c r="AB26" i="21"/>
  <c r="U26" i="21"/>
  <c r="W9" i="21"/>
  <c r="AC5" i="3"/>
  <c r="F17" i="21"/>
  <c r="S17" i="21"/>
  <c r="H17" i="21"/>
  <c r="AB17" i="21"/>
  <c r="J17" i="21"/>
  <c r="AC1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G100" i="40"/>
  <c r="J30" i="40"/>
  <c r="AC30" i="40" s="1"/>
  <c r="F38" i="40"/>
  <c r="AA38" i="40" s="1"/>
  <c r="AA36" i="34"/>
  <c r="U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B41" i="1"/>
  <c r="J42" i="40"/>
  <c r="AC42" i="40" s="1"/>
  <c r="J40" i="40"/>
  <c r="AC40" i="40" s="1"/>
  <c r="J34" i="40"/>
  <c r="AC34" i="40" s="1"/>
  <c r="H16" i="40"/>
  <c r="AB16" i="40" s="1"/>
  <c r="H14" i="40"/>
  <c r="U14" i="40" s="1"/>
  <c r="F32" i="40"/>
  <c r="AA32" i="40" s="1"/>
  <c r="M1" i="46"/>
  <c r="M6" i="46"/>
  <c r="M10" i="46"/>
  <c r="N2" i="46"/>
  <c r="N5" i="46"/>
  <c r="F58" i="46"/>
  <c r="F47" i="46"/>
  <c r="H49" i="46" s="1"/>
  <c r="N7" i="46"/>
  <c r="M7" i="46"/>
  <c r="M11" i="46"/>
  <c r="N3" i="46"/>
  <c r="N6" i="46"/>
  <c r="N10" i="46"/>
  <c r="H47" i="46"/>
  <c r="J13" i="40"/>
  <c r="W13" i="40"/>
  <c r="F34" i="44"/>
  <c r="F27" i="43"/>
  <c r="F66" i="9"/>
  <c r="P72" i="9" s="1"/>
  <c r="F71" i="9"/>
  <c r="F72" i="9"/>
  <c r="AC14" i="40"/>
  <c r="AC47" i="39"/>
  <c r="S47" i="39"/>
  <c r="U37" i="34"/>
  <c r="AC41" i="40"/>
  <c r="W41" i="40"/>
  <c r="U41" i="40"/>
  <c r="J23" i="40"/>
  <c r="AC23" i="40"/>
  <c r="F23" i="40"/>
  <c r="S23" i="40"/>
  <c r="AC15" i="40"/>
  <c r="W15" i="40"/>
  <c r="U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W34" i="40"/>
  <c r="AB34" i="40"/>
  <c r="AB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K9" i="1"/>
  <c r="M9" i="1" s="1"/>
  <c r="B7" i="1"/>
  <c r="E7" i="1" s="1"/>
  <c r="K7" i="1"/>
  <c r="M7" i="1" s="1"/>
  <c r="C20" i="43"/>
  <c r="U46" i="21"/>
  <c r="H43" i="21"/>
  <c r="AB43" i="21" s="1"/>
  <c r="F43" i="21"/>
  <c r="J30" i="21"/>
  <c r="U28" i="21"/>
  <c r="U27" i="39"/>
  <c r="AC40" i="21"/>
  <c r="U42" i="21"/>
  <c r="AB10" i="21"/>
  <c r="S10" i="21"/>
  <c r="U9" i="21"/>
  <c r="U17" i="21"/>
  <c r="U40" i="21"/>
  <c r="AB36" i="21"/>
  <c r="AA38" i="21"/>
  <c r="AA36" i="21"/>
  <c r="U39" i="21"/>
  <c r="U38" i="21"/>
  <c r="S35" i="21"/>
  <c r="AA40" i="21"/>
  <c r="AB29" i="39"/>
  <c r="W27" i="39"/>
  <c r="AB25" i="39"/>
  <c r="W14" i="21"/>
  <c r="AC14" i="21"/>
  <c r="H14" i="21"/>
  <c r="J12" i="21"/>
  <c r="A14" i="55"/>
  <c r="B65" i="63" s="1"/>
  <c r="A2" i="55"/>
  <c r="B55" i="63"/>
  <c r="A11" i="55"/>
  <c r="B62" i="63"/>
  <c r="C70" i="39"/>
  <c r="W14" i="39"/>
  <c r="AC33" i="39"/>
  <c r="AA46" i="33"/>
  <c r="S46" i="33"/>
  <c r="J17" i="40"/>
  <c r="F86" i="40"/>
  <c r="G86" i="40"/>
  <c r="AB32" i="40"/>
  <c r="W35" i="40"/>
  <c r="AB14" i="40"/>
  <c r="U31" i="37"/>
  <c r="S45" i="21"/>
  <c r="W31" i="34"/>
  <c r="AB28" i="36"/>
  <c r="W28" i="33"/>
  <c r="AC28" i="33"/>
  <c r="AA46" i="21"/>
  <c r="S46" i="21"/>
  <c r="U44" i="21"/>
  <c r="AB44" i="21"/>
  <c r="U30" i="21"/>
  <c r="AB30" i="21"/>
  <c r="A30" i="64"/>
  <c r="A30" i="51"/>
  <c r="W42" i="21"/>
  <c r="F9" i="33"/>
  <c r="AA9" i="33"/>
  <c r="J12" i="35"/>
  <c r="J36" i="35"/>
  <c r="F26" i="37"/>
  <c r="AA26" i="37"/>
  <c r="C18" i="9"/>
  <c r="I21" i="57"/>
  <c r="D1" i="57" s="1"/>
  <c r="E10" i="57" s="1"/>
  <c r="F6" i="1"/>
  <c r="AP6" i="1"/>
  <c r="G11" i="1"/>
  <c r="M22" i="44"/>
  <c r="F32" i="15"/>
  <c r="F59" i="15"/>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S42" i="21"/>
  <c r="W28" i="21"/>
  <c r="AC46" i="21"/>
  <c r="AC26" i="21"/>
  <c r="J23" i="21"/>
  <c r="W23" i="21" s="1"/>
  <c r="F23" i="21"/>
  <c r="AA17" i="21"/>
  <c r="W17" i="21"/>
  <c r="AB11" i="21"/>
  <c r="W13" i="21"/>
  <c r="AA11" i="21"/>
  <c r="AC21" i="21"/>
  <c r="W21" i="21"/>
  <c r="W44"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B45" i="46"/>
  <c r="E58" i="46"/>
  <c r="A4" i="64"/>
  <c r="A4" i="51"/>
  <c r="C51" i="10"/>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C48" i="35"/>
  <c r="D48" i="35"/>
  <c r="C52" i="37"/>
  <c r="D52" i="37"/>
  <c r="C67" i="40"/>
  <c r="D65" i="40"/>
  <c r="P24" i="46"/>
  <c r="B68" i="40"/>
  <c r="P25" i="46"/>
  <c r="P23" i="46"/>
  <c r="P21" i="46"/>
  <c r="P22" i="46"/>
  <c r="C72" i="39"/>
  <c r="D70" i="39"/>
  <c r="O19" i="46"/>
  <c r="K17" i="4"/>
  <c r="A22" i="51"/>
  <c r="B16" i="63" s="1"/>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P12" i="1"/>
  <c r="G1" i="15"/>
  <c r="F66" i="36"/>
  <c r="G66" i="36" s="1"/>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U43" i="21"/>
  <c r="S43" i="21"/>
  <c r="AA43" i="21"/>
  <c r="AC30" i="21"/>
  <c r="W30" i="21"/>
  <c r="AC23" i="21"/>
  <c r="W12" i="21"/>
  <c r="AC12" i="21"/>
  <c r="U14" i="21"/>
  <c r="AB14" i="21"/>
  <c r="B73" i="39"/>
  <c r="W12" i="35"/>
  <c r="AC12" i="35"/>
  <c r="C16" i="46"/>
  <c r="C5" i="46"/>
  <c r="AC36" i="35"/>
  <c r="W36" i="35"/>
  <c r="G6" i="1"/>
  <c r="J53" i="15"/>
  <c r="F1" i="15"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AT6" i="3"/>
  <c r="E12" i="6"/>
  <c r="E64" i="39" s="1"/>
  <c r="G30" i="6"/>
  <c r="G31" i="6" s="1"/>
  <c r="E14" i="6"/>
  <c r="E61" i="40" s="1"/>
  <c r="E10" i="6"/>
  <c r="E15" i="6"/>
  <c r="E67" i="39" s="1"/>
  <c r="E13" i="6"/>
  <c r="E60" i="40" s="1"/>
  <c r="E11" i="6"/>
  <c r="H70" i="46"/>
  <c r="H72" i="46"/>
  <c r="A9" i="64"/>
  <c r="A9" i="51"/>
  <c r="B9" i="63"/>
  <c r="A25" i="51"/>
  <c r="B18" i="63"/>
  <c r="A3" i="55"/>
  <c r="B56" i="63"/>
  <c r="E52" i="37"/>
  <c r="F52" i="37"/>
  <c r="G52" i="37" s="1"/>
  <c r="E48" i="35"/>
  <c r="F48" i="35" s="1"/>
  <c r="D72" i="39"/>
  <c r="E70" i="39"/>
  <c r="D67" i="40"/>
  <c r="E65" i="40"/>
  <c r="G39" i="46"/>
  <c r="I39" i="46" s="1"/>
  <c r="E4" i="4"/>
  <c r="C4" i="4"/>
  <c r="J18" i="36"/>
  <c r="W18" i="36" s="1"/>
  <c r="AE8" i="1"/>
  <c r="AE7" i="1"/>
  <c r="AE6" i="1"/>
  <c r="F33" i="44"/>
  <c r="M19" i="44"/>
  <c r="M17" i="15"/>
  <c r="AC18" i="36"/>
  <c r="AG6" i="1"/>
  <c r="L20" i="6"/>
  <c r="E58" i="40"/>
  <c r="E63" i="39"/>
  <c r="K14" i="1"/>
  <c r="M14" i="1" s="1"/>
  <c r="O14" i="1" s="1"/>
  <c r="E30" i="6"/>
  <c r="L19" i="6"/>
  <c r="L27" i="6" s="1"/>
  <c r="K15" i="1"/>
  <c r="E62" i="40"/>
  <c r="B21" i="55"/>
  <c r="B72" i="63" s="1"/>
  <c r="B20" i="55"/>
  <c r="B70" i="63" s="1"/>
  <c r="E67" i="40"/>
  <c r="F65" i="40"/>
  <c r="F67" i="40" s="1"/>
  <c r="E72" i="39"/>
  <c r="F70" i="39"/>
  <c r="F72" i="39" s="1"/>
  <c r="Q53" i="15"/>
  <c r="F31" i="15"/>
  <c r="F58" i="15"/>
  <c r="S7" i="1"/>
  <c r="S8" i="1"/>
  <c r="S9" i="1"/>
  <c r="G70" i="39"/>
  <c r="H70" i="39" s="1"/>
  <c r="G65" i="40"/>
  <c r="H65" i="40" s="1"/>
  <c r="G67" i="40"/>
  <c r="R9" i="1"/>
  <c r="R7" i="1"/>
  <c r="R8" i="1"/>
  <c r="C45" i="9"/>
  <c r="H14" i="66" s="1"/>
  <c r="B7" i="66" s="1"/>
  <c r="K31" i="9"/>
  <c r="K32" i="9" s="1"/>
  <c r="N76" i="9"/>
  <c r="C46" i="9"/>
  <c r="K33" i="9"/>
  <c r="O41" i="9"/>
  <c r="I14" i="66"/>
  <c r="B8" i="66" s="1"/>
  <c r="K34" i="9"/>
  <c r="R8" i="54"/>
  <c r="B54" i="63"/>
  <c r="F40" i="44"/>
  <c r="L48" i="44"/>
  <c r="M28" i="15"/>
  <c r="L47" i="15"/>
  <c r="F8" i="67"/>
  <c r="I5" i="65"/>
  <c r="I6" i="65"/>
  <c r="F38" i="15"/>
  <c r="F43" i="15"/>
  <c r="J7" i="65"/>
  <c r="F9" i="44"/>
  <c r="I7" i="65"/>
  <c r="F6" i="15"/>
  <c r="J36" i="15"/>
  <c r="F9" i="67"/>
  <c r="F18" i="44"/>
  <c r="F41" i="15"/>
  <c r="N3" i="65"/>
  <c r="M25" i="44"/>
  <c r="B8" i="67"/>
  <c r="I3" i="65"/>
  <c r="M26" i="44"/>
  <c r="L49" i="44"/>
  <c r="M9" i="15"/>
  <c r="F45" i="44"/>
  <c r="M6" i="15"/>
  <c r="M30" i="44"/>
  <c r="F36" i="15"/>
  <c r="F38" i="44"/>
  <c r="B14" i="67"/>
  <c r="F35" i="15"/>
  <c r="F7" i="15"/>
  <c r="B11" i="67"/>
  <c r="E8" i="67"/>
  <c r="B9" i="67"/>
  <c r="F10" i="67"/>
  <c r="F8" i="44"/>
  <c r="B12" i="67"/>
  <c r="F26" i="15"/>
  <c r="M23" i="15"/>
  <c r="J4" i="65"/>
  <c r="M24" i="44"/>
  <c r="N7" i="65"/>
  <c r="M27" i="15"/>
  <c r="F16" i="15"/>
  <c r="N5" i="65"/>
  <c r="M11" i="44"/>
  <c r="F13" i="67"/>
  <c r="M28" i="44"/>
  <c r="J6" i="65"/>
  <c r="F37" i="15"/>
  <c r="F40" i="15"/>
  <c r="M29" i="44"/>
  <c r="F9" i="15"/>
  <c r="M23" i="44"/>
  <c r="J3" i="65"/>
  <c r="N4" i="65"/>
  <c r="B13" i="67"/>
  <c r="F13" i="15"/>
  <c r="F14" i="67"/>
  <c r="M21" i="15"/>
  <c r="I4" i="65"/>
  <c r="M24" i="15"/>
  <c r="F12" i="67"/>
  <c r="E13" i="67"/>
  <c r="M29" i="15"/>
  <c r="E9" i="67"/>
  <c r="F10" i="44"/>
  <c r="M31" i="44"/>
  <c r="F43" i="44"/>
  <c r="F11" i="67"/>
  <c r="F37" i="44"/>
  <c r="E14" i="67"/>
  <c r="M26" i="15"/>
  <c r="L48" i="15"/>
  <c r="J15" i="15"/>
  <c r="M10" i="44"/>
  <c r="J5" i="65"/>
  <c r="F39" i="44"/>
  <c r="J17" i="44"/>
  <c r="B10" i="67"/>
  <c r="F46" i="44"/>
  <c r="E10" i="67"/>
  <c r="E11" i="67"/>
  <c r="N6" i="65"/>
  <c r="F42" i="15"/>
  <c r="M8" i="44"/>
  <c r="C19" i="44"/>
  <c r="M22" i="15"/>
  <c r="F8" i="15"/>
  <c r="F28" i="44"/>
  <c r="F11" i="44"/>
  <c r="E12" i="67"/>
  <c r="F15" i="44"/>
  <c r="M8" i="15"/>
  <c r="AC38" i="21" l="1"/>
  <c r="F15" i="21"/>
  <c r="J15" i="21"/>
  <c r="S21" i="21"/>
  <c r="AC11" i="21"/>
  <c r="H23" i="21"/>
  <c r="F85" i="21"/>
  <c r="G85" i="21" s="1"/>
  <c r="F126" i="39"/>
  <c r="G126" i="39" s="1"/>
  <c r="H126" i="39" s="1"/>
  <c r="I126" i="39" s="1"/>
  <c r="J126" i="39" s="1"/>
  <c r="K126" i="39" s="1"/>
  <c r="L126" i="39" s="1"/>
  <c r="M126" i="39" s="1"/>
  <c r="F43" i="39"/>
  <c r="J43" i="39"/>
  <c r="W43" i="39" s="1"/>
  <c r="H43" i="39"/>
  <c r="AC43" i="39"/>
  <c r="M8" i="1"/>
  <c r="O8" i="1" s="1"/>
  <c r="P8" i="1" s="1"/>
  <c r="Q16" i="1"/>
  <c r="F18" i="11" s="1"/>
  <c r="C18" i="11" s="1"/>
  <c r="S7" i="76"/>
  <c r="G72" i="39"/>
  <c r="B11" i="52"/>
  <c r="AB32" i="21"/>
  <c r="E7" i="52"/>
  <c r="F7" i="36"/>
  <c r="E46" i="36"/>
  <c r="F46" i="36" s="1"/>
  <c r="G46" i="36" s="1"/>
  <c r="H46" i="36" s="1"/>
  <c r="I46" i="36" s="1"/>
  <c r="J46" i="36" s="1"/>
  <c r="K46" i="36" s="1"/>
  <c r="L46" i="36" s="1"/>
  <c r="M46" i="36" s="1"/>
  <c r="N46" i="36" s="1"/>
  <c r="O46" i="36" s="1"/>
  <c r="H7" i="36"/>
  <c r="J7" i="36"/>
  <c r="S15" i="21"/>
  <c r="AA15" i="21"/>
  <c r="AA29" i="39"/>
  <c r="S29" i="39"/>
  <c r="D58" i="21"/>
  <c r="E58" i="21" s="1"/>
  <c r="F58" i="21" s="1"/>
  <c r="G58" i="21" s="1"/>
  <c r="H58" i="21" s="1"/>
  <c r="I58" i="21" s="1"/>
  <c r="J58" i="21" s="1"/>
  <c r="K58" i="21" s="1"/>
  <c r="L58" i="21" s="1"/>
  <c r="M58" i="21" s="1"/>
  <c r="N58" i="21" s="1"/>
  <c r="O58" i="21" s="1"/>
  <c r="H7" i="21"/>
  <c r="AA12" i="21"/>
  <c r="S12" i="21"/>
  <c r="S9" i="21"/>
  <c r="AA9" i="21"/>
  <c r="E58" i="33"/>
  <c r="F58" i="33" s="1"/>
  <c r="G58" i="33" s="1"/>
  <c r="H58" i="33" s="1"/>
  <c r="I58" i="33" s="1"/>
  <c r="J58" i="33" s="1"/>
  <c r="K58" i="33" s="1"/>
  <c r="L58" i="33" s="1"/>
  <c r="M58" i="33" s="1"/>
  <c r="N58" i="33" s="1"/>
  <c r="O58" i="33" s="1"/>
  <c r="F7" i="33"/>
  <c r="H7" i="33"/>
  <c r="AC9" i="33"/>
  <c r="W9" i="33"/>
  <c r="AA28" i="34"/>
  <c r="S28" i="34"/>
  <c r="AA31" i="33"/>
  <c r="S31" i="33"/>
  <c r="U45" i="33"/>
  <c r="AB45" i="33"/>
  <c r="AC23" i="35"/>
  <c r="W23" i="35"/>
  <c r="AB36" i="35"/>
  <c r="U36" i="35"/>
  <c r="AB23" i="36"/>
  <c r="U23" i="36"/>
  <c r="I70" i="39"/>
  <c r="H72" i="39"/>
  <c r="H52" i="37"/>
  <c r="I52" i="37" s="1"/>
  <c r="J52" i="37" s="1"/>
  <c r="K52" i="37" s="1"/>
  <c r="L52" i="37" s="1"/>
  <c r="M52" i="37" s="1"/>
  <c r="N52" i="37" s="1"/>
  <c r="O52" i="37" s="1"/>
  <c r="I65" i="40"/>
  <c r="H67" i="40"/>
  <c r="G48" i="35"/>
  <c r="H48" i="35" s="1"/>
  <c r="I48" i="35" s="1"/>
  <c r="J48" i="35" s="1"/>
  <c r="K48" i="35" s="1"/>
  <c r="L48" i="35" s="1"/>
  <c r="M48" i="35" s="1"/>
  <c r="N48" i="35" s="1"/>
  <c r="O48" i="35" s="1"/>
  <c r="H7" i="35"/>
  <c r="E59" i="34"/>
  <c r="F59" i="34" s="1"/>
  <c r="G59" i="34" s="1"/>
  <c r="H59" i="34" s="1"/>
  <c r="I59" i="34" s="1"/>
  <c r="J59" i="34" s="1"/>
  <c r="K59" i="34" s="1"/>
  <c r="L59" i="34" s="1"/>
  <c r="M59" i="34" s="1"/>
  <c r="N59" i="34" s="1"/>
  <c r="O59" i="34" s="1"/>
  <c r="J7" i="34"/>
  <c r="AA23" i="39"/>
  <c r="S23" i="39"/>
  <c r="AA28" i="21"/>
  <c r="S28" i="21"/>
  <c r="G81" i="21"/>
  <c r="F19" i="21"/>
  <c r="H19" i="21"/>
  <c r="J19" i="21"/>
  <c r="G101" i="21"/>
  <c r="H101" i="21" s="1"/>
  <c r="I101" i="21" s="1"/>
  <c r="J101" i="21" s="1"/>
  <c r="K101" i="21" s="1"/>
  <c r="L101" i="21" s="1"/>
  <c r="M101" i="21" s="1"/>
  <c r="F32" i="21"/>
  <c r="AA32" i="21" s="1"/>
  <c r="J32" i="21"/>
  <c r="H113" i="21"/>
  <c r="H37" i="21"/>
  <c r="F37" i="21"/>
  <c r="J37" i="21"/>
  <c r="AB27" i="33"/>
  <c r="U27" i="33"/>
  <c r="AC27" i="34"/>
  <c r="W27" i="34"/>
  <c r="O40" i="9"/>
  <c r="R7" i="54" s="1"/>
  <c r="B52" i="63" s="1"/>
  <c r="F7" i="37"/>
  <c r="H7" i="37"/>
  <c r="F7" i="35"/>
  <c r="H16" i="1"/>
  <c r="S10" i="35"/>
  <c r="AC41" i="34"/>
  <c r="W8" i="21"/>
  <c r="H9" i="33"/>
  <c r="H25" i="37"/>
  <c r="J25" i="37"/>
  <c r="F25" i="37"/>
  <c r="T22" i="59"/>
  <c r="D22" i="59"/>
  <c r="T14" i="59"/>
  <c r="D14" i="59"/>
  <c r="D17" i="59"/>
  <c r="C18" i="59"/>
  <c r="C25" i="59"/>
  <c r="D24" i="59"/>
  <c r="D36" i="59"/>
  <c r="C37" i="59"/>
  <c r="D44" i="59"/>
  <c r="C45" i="59"/>
  <c r="F82" i="39"/>
  <c r="E81" i="39" s="1"/>
  <c r="H15" i="21"/>
  <c r="G77" i="21"/>
  <c r="U16" i="40"/>
  <c r="AB16" i="39"/>
  <c r="S33" i="40"/>
  <c r="W40" i="40"/>
  <c r="G103" i="39"/>
  <c r="B21" i="63"/>
  <c r="N4" i="63"/>
  <c r="B54" i="46"/>
  <c r="C27" i="40"/>
  <c r="S27" i="40"/>
  <c r="S21" i="34"/>
  <c r="S18" i="35"/>
  <c r="AB9" i="59"/>
  <c r="AB7" i="59"/>
  <c r="AB10" i="59"/>
  <c r="Y3" i="59"/>
  <c r="Z3" i="59" s="1"/>
  <c r="Y10" i="59"/>
  <c r="Z10" i="59" s="1"/>
  <c r="Y9" i="59"/>
  <c r="Z9" i="59" s="1"/>
  <c r="Y8" i="59"/>
  <c r="Z8" i="59" s="1"/>
  <c r="Y7" i="59"/>
  <c r="Z7" i="59" s="1"/>
  <c r="AA9" i="59"/>
  <c r="AA7" i="59"/>
  <c r="X10" i="59"/>
  <c r="X8" i="59"/>
  <c r="X3" i="59"/>
  <c r="AB6" i="59"/>
  <c r="AA15" i="59"/>
  <c r="B12" i="59"/>
  <c r="B13" i="59" s="1"/>
  <c r="B14" i="59" s="1"/>
  <c r="S14" i="59" s="1"/>
  <c r="AA6" i="59"/>
  <c r="X19" i="59"/>
  <c r="Q47" i="59"/>
  <c r="AA12" i="46"/>
  <c r="AE12" i="46"/>
  <c r="AI12" i="46"/>
  <c r="E58" i="75"/>
  <c r="F58" i="75" s="1"/>
  <c r="G58" i="75" s="1"/>
  <c r="H58" i="75" s="1"/>
  <c r="I58" i="75" s="1"/>
  <c r="J58" i="75" s="1"/>
  <c r="K58" i="75" s="1"/>
  <c r="L58" i="75" s="1"/>
  <c r="M58" i="75" s="1"/>
  <c r="N58" i="75" s="1"/>
  <c r="O58" i="75" s="1"/>
  <c r="F7" i="75"/>
  <c r="F15" i="75"/>
  <c r="H15" i="75"/>
  <c r="G77" i="75"/>
  <c r="J15" i="75"/>
  <c r="F19" i="75"/>
  <c r="H19" i="75"/>
  <c r="G81" i="75"/>
  <c r="J19" i="75"/>
  <c r="F85" i="75"/>
  <c r="G85" i="75" s="1"/>
  <c r="H23" i="75"/>
  <c r="AC11" i="75"/>
  <c r="W11" i="75"/>
  <c r="AC12" i="75"/>
  <c r="W12" i="75"/>
  <c r="AC14" i="75"/>
  <c r="W14" i="75"/>
  <c r="F79" i="75"/>
  <c r="G79" i="75" s="1"/>
  <c r="F17" i="75"/>
  <c r="H17" i="75"/>
  <c r="J17" i="75"/>
  <c r="AC28" i="75"/>
  <c r="W28" i="75"/>
  <c r="AC30" i="75"/>
  <c r="W30" i="75"/>
  <c r="G101" i="75"/>
  <c r="H101" i="75" s="1"/>
  <c r="I101" i="75" s="1"/>
  <c r="J101" i="75" s="1"/>
  <c r="K101" i="75" s="1"/>
  <c r="L101" i="75" s="1"/>
  <c r="M101" i="75" s="1"/>
  <c r="F32" i="75"/>
  <c r="J32" i="75"/>
  <c r="F37" i="75"/>
  <c r="H37" i="75"/>
  <c r="H113" i="75"/>
  <c r="J37" i="75"/>
  <c r="AC44" i="75"/>
  <c r="W44" i="75"/>
  <c r="AC46" i="75"/>
  <c r="W46" i="75"/>
  <c r="D3" i="75"/>
  <c r="U8" i="75"/>
  <c r="S9" i="75"/>
  <c r="W9" i="75"/>
  <c r="U10" i="75"/>
  <c r="S11" i="75"/>
  <c r="U12" i="75"/>
  <c r="S13" i="75"/>
  <c r="U14" i="75"/>
  <c r="U21" i="75"/>
  <c r="S25" i="75"/>
  <c r="U26" i="75"/>
  <c r="S27" i="75"/>
  <c r="U28" i="75"/>
  <c r="S29" i="75"/>
  <c r="U30" i="75"/>
  <c r="S31" i="75"/>
  <c r="U32" i="75"/>
  <c r="S34" i="75"/>
  <c r="U35" i="75"/>
  <c r="S36" i="75"/>
  <c r="S38" i="75"/>
  <c r="U39" i="75"/>
  <c r="S40" i="75"/>
  <c r="U41" i="75"/>
  <c r="S42" i="75"/>
  <c r="U43" i="75"/>
  <c r="S44" i="75"/>
  <c r="U45" i="75"/>
  <c r="S46" i="75"/>
  <c r="R47" i="75"/>
  <c r="J35" i="75"/>
  <c r="J23" i="75"/>
  <c r="J21" i="75"/>
  <c r="K141" i="75"/>
  <c r="K143" i="75"/>
  <c r="U8" i="76"/>
  <c r="U10" i="76"/>
  <c r="U12" i="76"/>
  <c r="U14" i="76"/>
  <c r="U15" i="76"/>
  <c r="U17" i="76"/>
  <c r="U19" i="76"/>
  <c r="U21" i="76"/>
  <c r="U23" i="76"/>
  <c r="S25" i="76"/>
  <c r="U26" i="76"/>
  <c r="S27" i="76"/>
  <c r="U28" i="76"/>
  <c r="S29" i="76"/>
  <c r="U30" i="76"/>
  <c r="S31" i="76"/>
  <c r="U32" i="76"/>
  <c r="S34" i="76"/>
  <c r="U35" i="76"/>
  <c r="S36" i="76"/>
  <c r="U37" i="76"/>
  <c r="S38" i="76"/>
  <c r="U39" i="76"/>
  <c r="S40" i="76"/>
  <c r="U41" i="76"/>
  <c r="S42" i="76"/>
  <c r="U43" i="76"/>
  <c r="S44" i="76"/>
  <c r="U45" i="76"/>
  <c r="S46" i="76"/>
  <c r="BL446" i="3"/>
  <c r="AZ446" i="3" s="1"/>
  <c r="BA445" i="3"/>
  <c r="AZ445" i="3" s="1"/>
  <c r="BL442" i="3"/>
  <c r="AZ442" i="3" s="1"/>
  <c r="BA441" i="3"/>
  <c r="AZ441" i="3" s="1"/>
  <c r="E8" i="6"/>
  <c r="BL448" i="3"/>
  <c r="AZ448" i="3" s="1"/>
  <c r="BA447" i="3"/>
  <c r="AZ447" i="3" s="1"/>
  <c r="BL444" i="3"/>
  <c r="AZ444" i="3" s="1"/>
  <c r="BA443" i="3"/>
  <c r="AZ443" i="3" s="1"/>
  <c r="BL440" i="3"/>
  <c r="AZ440" i="3" s="1"/>
  <c r="BA439" i="3"/>
  <c r="AZ439"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0" i="3"/>
  <c r="AZ200" i="3" s="1"/>
  <c r="BA199" i="3"/>
  <c r="AZ199" i="3" s="1"/>
  <c r="BL192" i="3"/>
  <c r="AZ192" i="3"/>
  <c r="BA191" i="3"/>
  <c r="AZ191" i="3" s="1"/>
  <c r="BL184" i="3"/>
  <c r="AZ184" i="3" s="1"/>
  <c r="BA183" i="3"/>
  <c r="AZ183" i="3" s="1"/>
  <c r="BL176" i="3"/>
  <c r="AZ176" i="3"/>
  <c r="BA175" i="3"/>
  <c r="AZ175" i="3" s="1"/>
  <c r="BL168" i="3"/>
  <c r="AZ168" i="3" s="1"/>
  <c r="BA167" i="3"/>
  <c r="AZ167"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196" i="3"/>
  <c r="AZ196" i="3"/>
  <c r="BA195" i="3"/>
  <c r="AZ195" i="3" s="1"/>
  <c r="BL188" i="3"/>
  <c r="AZ188" i="3" s="1"/>
  <c r="BA187" i="3"/>
  <c r="AZ187" i="3" s="1"/>
  <c r="BL180" i="3"/>
  <c r="AZ180" i="3"/>
  <c r="BA179" i="3"/>
  <c r="AZ179" i="3" s="1"/>
  <c r="BL172" i="3"/>
  <c r="AZ172" i="3" s="1"/>
  <c r="BA171" i="3"/>
  <c r="AZ171" i="3" s="1"/>
  <c r="BL164" i="3"/>
  <c r="AZ164" i="3"/>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2" i="3"/>
  <c r="AZ122" i="3" s="1"/>
  <c r="BA121" i="3"/>
  <c r="AZ121" i="3" s="1"/>
  <c r="BL114" i="3"/>
  <c r="AZ114" i="3"/>
  <c r="BA113" i="3"/>
  <c r="AZ113" i="3" s="1"/>
  <c r="BL106" i="3"/>
  <c r="AZ106" i="3" s="1"/>
  <c r="BA105" i="3"/>
  <c r="AZ105" i="3" s="1"/>
  <c r="BL98" i="3"/>
  <c r="AZ98" i="3"/>
  <c r="BA97" i="3"/>
  <c r="AZ97" i="3" s="1"/>
  <c r="BL90" i="3"/>
  <c r="AZ90" i="3" s="1"/>
  <c r="BA89" i="3"/>
  <c r="AZ89" i="3" s="1"/>
  <c r="BL82" i="3"/>
  <c r="AZ82" i="3"/>
  <c r="BA81" i="3"/>
  <c r="AZ81" i="3" s="1"/>
  <c r="BL74" i="3"/>
  <c r="AZ74" i="3" s="1"/>
  <c r="BA73" i="3"/>
  <c r="AZ73" i="3" s="1"/>
  <c r="BL66" i="3"/>
  <c r="AZ66" i="3"/>
  <c r="BA65" i="3"/>
  <c r="AZ65" i="3" s="1"/>
  <c r="BL58" i="3"/>
  <c r="AZ58" i="3" s="1"/>
  <c r="BA57" i="3"/>
  <c r="AZ57" i="3" s="1"/>
  <c r="BL50" i="3"/>
  <c r="AZ50" i="3"/>
  <c r="BA49" i="3"/>
  <c r="AZ49" i="3" s="1"/>
  <c r="BL42" i="3"/>
  <c r="AZ42" i="3" s="1"/>
  <c r="BA41" i="3"/>
  <c r="AZ41" i="3" s="1"/>
  <c r="BL34" i="3"/>
  <c r="AZ34" i="3"/>
  <c r="BA33" i="3"/>
  <c r="AZ33" i="3" s="1"/>
  <c r="BL26" i="3"/>
  <c r="AZ26" i="3" s="1"/>
  <c r="BA25" i="3"/>
  <c r="AZ25" i="3" s="1"/>
  <c r="BL18" i="3"/>
  <c r="AZ18" i="3"/>
  <c r="BA17" i="3"/>
  <c r="AZ17"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L126" i="3"/>
  <c r="AZ126" i="3" s="1"/>
  <c r="BA125" i="3"/>
  <c r="AZ125" i="3" s="1"/>
  <c r="BL118" i="3"/>
  <c r="AZ118" i="3"/>
  <c r="BA117" i="3"/>
  <c r="AZ117" i="3" s="1"/>
  <c r="BL110" i="3"/>
  <c r="AZ110" i="3" s="1"/>
  <c r="BA109" i="3"/>
  <c r="AZ109" i="3" s="1"/>
  <c r="BL102" i="3"/>
  <c r="AZ102" i="3"/>
  <c r="BA101" i="3"/>
  <c r="AZ101" i="3" s="1"/>
  <c r="BL94" i="3"/>
  <c r="AZ94" i="3" s="1"/>
  <c r="BA93" i="3"/>
  <c r="AZ93" i="3" s="1"/>
  <c r="BL86" i="3"/>
  <c r="AZ86" i="3"/>
  <c r="BA85" i="3"/>
  <c r="AZ85" i="3" s="1"/>
  <c r="BL78" i="3"/>
  <c r="AZ78" i="3" s="1"/>
  <c r="BA77" i="3"/>
  <c r="AZ77" i="3" s="1"/>
  <c r="BL70" i="3"/>
  <c r="AZ70" i="3"/>
  <c r="BA69" i="3"/>
  <c r="AZ69" i="3" s="1"/>
  <c r="BL62" i="3"/>
  <c r="AZ62" i="3" s="1"/>
  <c r="BA61" i="3"/>
  <c r="AZ61" i="3" s="1"/>
  <c r="BL54" i="3"/>
  <c r="AZ54" i="3"/>
  <c r="BA53" i="3"/>
  <c r="AZ53" i="3" s="1"/>
  <c r="BL46" i="3"/>
  <c r="AZ46" i="3" s="1"/>
  <c r="BA45" i="3"/>
  <c r="AZ45" i="3" s="1"/>
  <c r="BL38" i="3"/>
  <c r="AZ38" i="3"/>
  <c r="BA37" i="3"/>
  <c r="AZ37" i="3" s="1"/>
  <c r="BL30" i="3"/>
  <c r="AZ30" i="3" s="1"/>
  <c r="BA29" i="3"/>
  <c r="AZ29" i="3" s="1"/>
  <c r="BL22" i="3"/>
  <c r="AZ22" i="3"/>
  <c r="BA21" i="3"/>
  <c r="AZ21" i="3" s="1"/>
  <c r="BL13" i="3"/>
  <c r="AZ13"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A16" i="3"/>
  <c r="AZ16" i="3" s="1"/>
  <c r="BL15" i="3"/>
  <c r="AZ15" i="3" s="1"/>
  <c r="BA14" i="3"/>
  <c r="G77" i="76"/>
  <c r="J15" i="76"/>
  <c r="G81" i="76"/>
  <c r="J19" i="76"/>
  <c r="K145" i="76"/>
  <c r="K143" i="76"/>
  <c r="K141" i="76"/>
  <c r="K144" i="76"/>
  <c r="E54" i="76"/>
  <c r="F54" i="76" s="1"/>
  <c r="B22" i="52"/>
  <c r="E4" i="52"/>
  <c r="B5" i="52"/>
  <c r="B14" i="52"/>
  <c r="E16" i="52"/>
  <c r="E8" i="52"/>
  <c r="B13" i="52"/>
  <c r="E21" i="52"/>
  <c r="E6" i="52"/>
  <c r="S32" i="21"/>
  <c r="E66" i="39"/>
  <c r="E59" i="40"/>
  <c r="K16" i="1"/>
  <c r="E65" i="39"/>
  <c r="D21" i="12"/>
  <c r="C21" i="12" s="1"/>
  <c r="O7" i="1"/>
  <c r="P7" i="1" s="1"/>
  <c r="M16" i="1"/>
  <c r="N16" i="1" s="1"/>
  <c r="C29" i="43" s="1"/>
  <c r="O11" i="1"/>
  <c r="P11" i="1" s="1"/>
  <c r="O9" i="1"/>
  <c r="P9" i="1" s="1"/>
  <c r="F27" i="6"/>
  <c r="F31" i="6" s="1"/>
  <c r="E53" i="40"/>
  <c r="E58" i="39"/>
  <c r="E16" i="6"/>
  <c r="P14" i="1"/>
  <c r="AP16" i="1"/>
  <c r="F22" i="11" s="1"/>
  <c r="G16" i="1"/>
  <c r="O6" i="1"/>
  <c r="P6" i="1" s="1"/>
  <c r="O10" i="1"/>
  <c r="O13" i="1"/>
  <c r="P13" i="1" s="1"/>
  <c r="D23" i="15"/>
  <c r="C15" i="12"/>
  <c r="E5" i="52"/>
  <c r="B6" i="52"/>
  <c r="B16" i="52"/>
  <c r="B23" i="52"/>
  <c r="E10" i="52"/>
  <c r="E9" i="52"/>
  <c r="B8" i="52"/>
  <c r="B4" i="52"/>
  <c r="B9" i="52"/>
  <c r="B10" i="52"/>
  <c r="B7" i="52"/>
  <c r="E11" i="52"/>
  <c r="J22" i="44"/>
  <c r="C36" i="44"/>
  <c r="C34" i="15"/>
  <c r="F62" i="15"/>
  <c r="C61" i="15" s="1"/>
  <c r="J20" i="15"/>
  <c r="F70" i="15"/>
  <c r="F50" i="15"/>
  <c r="F65" i="15"/>
  <c r="F68" i="15"/>
  <c r="L60" i="44"/>
  <c r="L59" i="44"/>
  <c r="F63" i="15"/>
  <c r="C8" i="44"/>
  <c r="J54" i="44"/>
  <c r="J58" i="44"/>
  <c r="J56" i="44" s="1"/>
  <c r="J59" i="44" s="1"/>
  <c r="Q52" i="44" s="1"/>
  <c r="L57" i="44"/>
  <c r="I55" i="44"/>
  <c r="J60" i="44"/>
  <c r="J61" i="44"/>
  <c r="Q50" i="44" s="1"/>
  <c r="C4" i="65"/>
  <c r="B39" i="1" s="1"/>
  <c r="E20" i="46"/>
  <c r="C6" i="15"/>
  <c r="F64" i="15"/>
  <c r="Q72" i="15"/>
  <c r="M9" i="44"/>
  <c r="J8" i="44" s="1"/>
  <c r="Q73" i="44"/>
  <c r="F67" i="15"/>
  <c r="I54" i="15"/>
  <c r="J57" i="15"/>
  <c r="J55" i="15" s="1"/>
  <c r="J58" i="15" s="1"/>
  <c r="Q51" i="15" s="1"/>
  <c r="L56" i="15"/>
  <c r="J59" i="15"/>
  <c r="J60" i="15"/>
  <c r="Q49" i="15" s="1"/>
  <c r="C29" i="44"/>
  <c r="L58" i="15"/>
  <c r="L59" i="15"/>
  <c r="C27" i="15"/>
  <c r="F49" i="15"/>
  <c r="M7" i="15"/>
  <c r="J6" i="15" s="1"/>
  <c r="J1" i="65"/>
  <c r="C18" i="44"/>
  <c r="C16" i="15"/>
  <c r="C17" i="15"/>
  <c r="E2" i="65"/>
  <c r="E3" i="65"/>
  <c r="W15" i="21" l="1"/>
  <c r="AC15" i="21"/>
  <c r="U23" i="21"/>
  <c r="AB23" i="21"/>
  <c r="F33" i="12"/>
  <c r="C34" i="12" s="1"/>
  <c r="D33" i="12" s="1"/>
  <c r="F24" i="43"/>
  <c r="C26" i="43" s="1"/>
  <c r="D24" i="43" s="1"/>
  <c r="U43" i="39"/>
  <c r="AB43" i="39"/>
  <c r="AA43" i="39"/>
  <c r="S43" i="39"/>
  <c r="J7" i="35"/>
  <c r="J7" i="37"/>
  <c r="F7" i="21"/>
  <c r="B40" i="1"/>
  <c r="F24" i="15" s="1"/>
  <c r="C24" i="15" s="1"/>
  <c r="E68" i="39"/>
  <c r="AC21" i="75"/>
  <c r="W21" i="75"/>
  <c r="AC35" i="75"/>
  <c r="W35" i="75"/>
  <c r="S37" i="75"/>
  <c r="AA37" i="75"/>
  <c r="S32" i="75"/>
  <c r="AA32" i="75"/>
  <c r="AC17" i="75"/>
  <c r="W17" i="75"/>
  <c r="S17" i="75"/>
  <c r="AA17" i="75"/>
  <c r="AB23" i="75"/>
  <c r="U23" i="75"/>
  <c r="AC19" i="75"/>
  <c r="W19" i="75"/>
  <c r="AB19" i="75"/>
  <c r="U19" i="75"/>
  <c r="AC15" i="75"/>
  <c r="W15" i="75"/>
  <c r="AB15" i="75"/>
  <c r="U15" i="75"/>
  <c r="H7" i="75"/>
  <c r="J7" i="75"/>
  <c r="D45" i="59"/>
  <c r="C46" i="59"/>
  <c r="D37" i="59"/>
  <c r="C38" i="59"/>
  <c r="T18" i="59"/>
  <c r="D18" i="59"/>
  <c r="M20" i="46" s="1"/>
  <c r="C19" i="46" s="1"/>
  <c r="W25" i="37"/>
  <c r="AC25" i="37"/>
  <c r="AB9" i="33"/>
  <c r="U9" i="33"/>
  <c r="S7" i="37"/>
  <c r="AA7" i="37"/>
  <c r="R42" i="37" s="1"/>
  <c r="S37" i="21"/>
  <c r="AA37" i="21"/>
  <c r="W19" i="21"/>
  <c r="AC19" i="21"/>
  <c r="AA19" i="21"/>
  <c r="S19" i="21"/>
  <c r="H7" i="34"/>
  <c r="F7" i="34"/>
  <c r="AB7" i="35"/>
  <c r="T38" i="35" s="1"/>
  <c r="G38" i="35" s="1"/>
  <c r="U7" i="35"/>
  <c r="AB7" i="33"/>
  <c r="T48" i="33" s="1"/>
  <c r="G48" i="33" s="1"/>
  <c r="U7" i="33"/>
  <c r="J7" i="33"/>
  <c r="U7" i="21"/>
  <c r="AB7" i="21"/>
  <c r="J7" i="21"/>
  <c r="W7" i="36"/>
  <c r="AC7" i="36"/>
  <c r="V36" i="36" s="1"/>
  <c r="I36" i="36" s="1"/>
  <c r="AC19" i="76"/>
  <c r="W19" i="76"/>
  <c r="AC15" i="76"/>
  <c r="W15" i="76"/>
  <c r="AZ14" i="3"/>
  <c r="AZ5" i="3" s="1"/>
  <c r="E3" i="6" s="1"/>
  <c r="BA5" i="3"/>
  <c r="E27" i="6" s="1"/>
  <c r="BL5" i="3"/>
  <c r="AC23" i="75"/>
  <c r="W23" i="75"/>
  <c r="AC37" i="75"/>
  <c r="W37" i="75"/>
  <c r="AB37" i="75"/>
  <c r="U37" i="75"/>
  <c r="AC32" i="75"/>
  <c r="W32" i="75"/>
  <c r="AB17" i="75"/>
  <c r="U17" i="75"/>
  <c r="S19" i="75"/>
  <c r="AA19" i="75"/>
  <c r="S15" i="75"/>
  <c r="AA15" i="75"/>
  <c r="AA7" i="75"/>
  <c r="S7" i="75"/>
  <c r="U15" i="21"/>
  <c r="AB15" i="21"/>
  <c r="G82" i="39"/>
  <c r="F81" i="39" s="1"/>
  <c r="D25" i="59"/>
  <c r="C26" i="59"/>
  <c r="AA25" i="37"/>
  <c r="S25" i="37"/>
  <c r="U25" i="37"/>
  <c r="AB25" i="37"/>
  <c r="AA7" i="35"/>
  <c r="R38" i="35" s="1"/>
  <c r="S7" i="35"/>
  <c r="U7" i="37"/>
  <c r="AB7" i="37"/>
  <c r="T42" i="37" s="1"/>
  <c r="G42" i="37" s="1"/>
  <c r="W37" i="21"/>
  <c r="AC37" i="21"/>
  <c r="AB37" i="21"/>
  <c r="U37" i="21"/>
  <c r="AC32" i="21"/>
  <c r="W32" i="21"/>
  <c r="AB19" i="21"/>
  <c r="U19" i="21"/>
  <c r="W7" i="34"/>
  <c r="AC7" i="34"/>
  <c r="V49" i="34" s="1"/>
  <c r="I49" i="34" s="1"/>
  <c r="AC7" i="35"/>
  <c r="V38" i="35" s="1"/>
  <c r="I38" i="35" s="1"/>
  <c r="W7" i="35"/>
  <c r="J65" i="40"/>
  <c r="I67" i="40"/>
  <c r="W7" i="37"/>
  <c r="AC7" i="37"/>
  <c r="V42" i="37" s="1"/>
  <c r="I42" i="37" s="1"/>
  <c r="J70" i="39"/>
  <c r="I72" i="39"/>
  <c r="AA7" i="33"/>
  <c r="R48" i="33" s="1"/>
  <c r="S7" i="33"/>
  <c r="S7" i="21"/>
  <c r="AA7" i="21"/>
  <c r="AB7" i="36"/>
  <c r="T36" i="36" s="1"/>
  <c r="G36" i="36" s="1"/>
  <c r="U7" i="36"/>
  <c r="AA7" i="36"/>
  <c r="R36" i="36" s="1"/>
  <c r="S7" i="36"/>
  <c r="L16" i="1"/>
  <c r="C13" i="43"/>
  <c r="J12" i="40"/>
  <c r="F12" i="39"/>
  <c r="J12" i="39"/>
  <c r="H12" i="40"/>
  <c r="H12" i="39"/>
  <c r="F12" i="40"/>
  <c r="O16" i="1"/>
  <c r="P10" i="1"/>
  <c r="P16" i="1" s="1"/>
  <c r="C13" i="12" s="1"/>
  <c r="L47" i="44"/>
  <c r="F17" i="11"/>
  <c r="C17" i="11" s="1"/>
  <c r="C19" i="11" s="1"/>
  <c r="Q74" i="15"/>
  <c r="Q61" i="15"/>
  <c r="F11" i="15"/>
  <c r="F13" i="44"/>
  <c r="C12" i="44" s="1"/>
  <c r="C7" i="44" s="1"/>
  <c r="M11" i="15"/>
  <c r="J10" i="15" s="1"/>
  <c r="J5" i="15" s="1"/>
  <c r="M13" i="44"/>
  <c r="J12" i="44" s="1"/>
  <c r="J7" i="44" s="1"/>
  <c r="Q62" i="15"/>
  <c r="Q75" i="15"/>
  <c r="L46" i="15"/>
  <c r="O17" i="46"/>
  <c r="M17" i="46"/>
  <c r="P17" i="46"/>
  <c r="N17" i="46"/>
  <c r="Q54" i="44"/>
  <c r="F1" i="44"/>
  <c r="Q63" i="44"/>
  <c r="Q76" i="44"/>
  <c r="Q75" i="44"/>
  <c r="Q62" i="44"/>
  <c r="C48" i="15"/>
  <c r="F26" i="12" l="1"/>
  <c r="C27" i="12" s="1"/>
  <c r="D26" i="12" s="1"/>
  <c r="C32" i="12" s="1"/>
  <c r="D30" i="12" s="1"/>
  <c r="F21" i="43"/>
  <c r="F26" i="44"/>
  <c r="C26" i="44" s="1"/>
  <c r="C33" i="75"/>
  <c r="D10" i="11"/>
  <c r="D46" i="9"/>
  <c r="C21" i="4"/>
  <c r="O5" i="54" s="1"/>
  <c r="B45" i="63" s="1"/>
  <c r="L38" i="9"/>
  <c r="B14" i="66" s="1"/>
  <c r="B1" i="66" s="1"/>
  <c r="C33" i="76"/>
  <c r="D16" i="12"/>
  <c r="D45" i="9"/>
  <c r="D16" i="43"/>
  <c r="C16" i="43" s="1"/>
  <c r="E6" i="6"/>
  <c r="C33" i="21"/>
  <c r="C35" i="46"/>
  <c r="C33" i="46"/>
  <c r="C36" i="46"/>
  <c r="C34" i="46"/>
  <c r="C38" i="46"/>
  <c r="C39" i="46"/>
  <c r="E39" i="46" s="1"/>
  <c r="T13" i="46"/>
  <c r="V13" i="46" s="1"/>
  <c r="T9" i="46"/>
  <c r="V9" i="46" s="1"/>
  <c r="T14" i="46"/>
  <c r="V14" i="46" s="1"/>
  <c r="T10" i="46"/>
  <c r="V10" i="46" s="1"/>
  <c r="T8" i="46"/>
  <c r="V8" i="46" s="1"/>
  <c r="C37" i="46"/>
  <c r="T15" i="46"/>
  <c r="V15" i="46" s="1"/>
  <c r="T11" i="46"/>
  <c r="V11" i="46" s="1"/>
  <c r="T16" i="46"/>
  <c r="V16" i="46" s="1"/>
  <c r="T12" i="46"/>
  <c r="V12" i="46" s="1"/>
  <c r="I46" i="37"/>
  <c r="J46" i="37" s="1"/>
  <c r="I53" i="34"/>
  <c r="J53" i="34" s="1"/>
  <c r="G47" i="37"/>
  <c r="H47" i="37" s="1"/>
  <c r="G46" i="37"/>
  <c r="H46" i="37" s="1"/>
  <c r="T26" i="59"/>
  <c r="D26" i="59"/>
  <c r="AC7" i="33"/>
  <c r="V48" i="33" s="1"/>
  <c r="I48" i="33" s="1"/>
  <c r="G53" i="33" s="1"/>
  <c r="H53" i="33" s="1"/>
  <c r="W7" i="33"/>
  <c r="G52" i="33"/>
  <c r="H52" i="33" s="1"/>
  <c r="G43" i="35"/>
  <c r="H43" i="35" s="1"/>
  <c r="G42" i="35"/>
  <c r="H42" i="35" s="1"/>
  <c r="AB7" i="34"/>
  <c r="T49" i="34" s="1"/>
  <c r="G49" i="34" s="1"/>
  <c r="U7" i="34"/>
  <c r="T38" i="59"/>
  <c r="D38" i="59"/>
  <c r="T46" i="59"/>
  <c r="D46" i="59"/>
  <c r="AC7" i="75"/>
  <c r="W7" i="75"/>
  <c r="E36" i="36"/>
  <c r="I41" i="36" s="1"/>
  <c r="J41" i="36" s="1"/>
  <c r="R37" i="36"/>
  <c r="G40" i="36"/>
  <c r="H40" i="36" s="1"/>
  <c r="G41" i="36"/>
  <c r="H41" i="36" s="1"/>
  <c r="R49" i="33"/>
  <c r="E48" i="33"/>
  <c r="K70" i="39"/>
  <c r="J72" i="39"/>
  <c r="K65" i="40"/>
  <c r="J67" i="40"/>
  <c r="I42" i="35"/>
  <c r="J42" i="35" s="1"/>
  <c r="R39" i="35"/>
  <c r="E38" i="35"/>
  <c r="H82" i="39"/>
  <c r="G81" i="39"/>
  <c r="K20" i="6"/>
  <c r="M20" i="6" s="1"/>
  <c r="I20" i="6" s="1"/>
  <c r="S20" i="6" s="1"/>
  <c r="K26" i="6"/>
  <c r="M26" i="6" s="1"/>
  <c r="I26" i="6" s="1"/>
  <c r="S26" i="6" s="1"/>
  <c r="K22" i="6"/>
  <c r="M22" i="6" s="1"/>
  <c r="I22" i="6" s="1"/>
  <c r="S22" i="6" s="1"/>
  <c r="K25" i="6"/>
  <c r="M25" i="6" s="1"/>
  <c r="I25" i="6" s="1"/>
  <c r="S25" i="6" s="1"/>
  <c r="K19" i="6"/>
  <c r="E31" i="6"/>
  <c r="K24" i="6"/>
  <c r="M24" i="6" s="1"/>
  <c r="I24" i="6" s="1"/>
  <c r="S24" i="6" s="1"/>
  <c r="K23" i="6"/>
  <c r="M23" i="6" s="1"/>
  <c r="I23" i="6" s="1"/>
  <c r="S23" i="6" s="1"/>
  <c r="K21" i="6"/>
  <c r="M21" i="6" s="1"/>
  <c r="I21" i="6" s="1"/>
  <c r="S21" i="6" s="1"/>
  <c r="I40" i="36"/>
  <c r="J40" i="36" s="1"/>
  <c r="AC7" i="21"/>
  <c r="W7" i="21"/>
  <c r="S7" i="34"/>
  <c r="AA7" i="34"/>
  <c r="R49" i="34" s="1"/>
  <c r="R43" i="37"/>
  <c r="E42" i="37"/>
  <c r="U7" i="75"/>
  <c r="AB7" i="75"/>
  <c r="U12" i="39"/>
  <c r="AB12" i="39"/>
  <c r="AC12" i="39"/>
  <c r="W12" i="39"/>
  <c r="W12" i="40"/>
  <c r="AC12" i="40"/>
  <c r="AA12" i="40"/>
  <c r="S12" i="40"/>
  <c r="AB12" i="40"/>
  <c r="U12" i="40"/>
  <c r="AA12" i="39"/>
  <c r="S12" i="39"/>
  <c r="C17" i="43"/>
  <c r="C14" i="43"/>
  <c r="C17" i="12"/>
  <c r="C14" i="12"/>
  <c r="J26" i="44"/>
  <c r="J28" i="44"/>
  <c r="J31" i="44" s="1"/>
  <c r="J20" i="44"/>
  <c r="C40" i="44"/>
  <c r="C34" i="44"/>
  <c r="C23" i="43"/>
  <c r="D21" i="43" s="1"/>
  <c r="J18" i="15"/>
  <c r="J24" i="15"/>
  <c r="J26" i="15"/>
  <c r="J29" i="15" s="1"/>
  <c r="C20" i="11"/>
  <c r="C21" i="11" s="1"/>
  <c r="C22" i="11" s="1"/>
  <c r="C23" i="11" s="1"/>
  <c r="B2" i="11" s="1"/>
  <c r="C10" i="15"/>
  <c r="C5" i="15" s="1"/>
  <c r="C52" i="15"/>
  <c r="C47" i="15" s="1"/>
  <c r="L52" i="44"/>
  <c r="C18" i="43" l="1"/>
  <c r="C19" i="43" s="1"/>
  <c r="C25" i="43" s="1"/>
  <c r="C24" i="43" s="1"/>
  <c r="E46" i="37"/>
  <c r="F46" i="37" s="1"/>
  <c r="E47" i="37"/>
  <c r="F47" i="37" s="1"/>
  <c r="R50" i="34"/>
  <c r="E49" i="34"/>
  <c r="K27" i="6"/>
  <c r="M19" i="6"/>
  <c r="S6" i="1"/>
  <c r="S16" i="1" s="1"/>
  <c r="T6" i="1" s="1"/>
  <c r="I82" i="39"/>
  <c r="H81" i="39" s="1"/>
  <c r="C39" i="35"/>
  <c r="B3" i="35" s="1"/>
  <c r="B2" i="35" s="1"/>
  <c r="C38" i="35"/>
  <c r="K67" i="40"/>
  <c r="L65" i="40"/>
  <c r="K72" i="39"/>
  <c r="L70" i="39"/>
  <c r="C48" i="33"/>
  <c r="C49" i="33"/>
  <c r="B3" i="33" s="1"/>
  <c r="B2" i="33" s="1"/>
  <c r="E41" i="36"/>
  <c r="F41" i="36" s="1"/>
  <c r="E40" i="36"/>
  <c r="F40" i="36" s="1"/>
  <c r="G38" i="46"/>
  <c r="I38" i="46" s="1"/>
  <c r="E38" i="46"/>
  <c r="E36" i="46"/>
  <c r="G36" i="46"/>
  <c r="I36" i="46" s="1"/>
  <c r="E35" i="46"/>
  <c r="G35" i="46"/>
  <c r="I35" i="46" s="1"/>
  <c r="D13" i="11"/>
  <c r="C13" i="11" s="1"/>
  <c r="D22" i="12"/>
  <c r="C22" i="12" s="1"/>
  <c r="C20" i="12" s="1"/>
  <c r="F33" i="76"/>
  <c r="J33" i="76"/>
  <c r="H33" i="76"/>
  <c r="C43" i="37"/>
  <c r="B3" i="37" s="1"/>
  <c r="B2" i="37" s="1"/>
  <c r="C42" i="37"/>
  <c r="E43" i="35"/>
  <c r="F43" i="35" s="1"/>
  <c r="E42" i="35"/>
  <c r="F42" i="35" s="1"/>
  <c r="I43" i="35"/>
  <c r="J43" i="35" s="1"/>
  <c r="E53" i="33"/>
  <c r="F53" i="33" s="1"/>
  <c r="E52" i="33"/>
  <c r="F52" i="33" s="1"/>
  <c r="C37" i="36"/>
  <c r="B3" i="36" s="1"/>
  <c r="B2" i="36" s="1"/>
  <c r="C36" i="36"/>
  <c r="G54" i="34"/>
  <c r="H54" i="34" s="1"/>
  <c r="G53" i="34"/>
  <c r="H53" i="34" s="1"/>
  <c r="I53" i="33"/>
  <c r="J53" i="33" s="1"/>
  <c r="I52" i="33"/>
  <c r="J52" i="33" s="1"/>
  <c r="I47" i="37"/>
  <c r="J47" i="37" s="1"/>
  <c r="E37" i="46"/>
  <c r="G37" i="46"/>
  <c r="I37" i="46" s="1"/>
  <c r="E34" i="46"/>
  <c r="G34" i="46"/>
  <c r="I34" i="46" s="1"/>
  <c r="G33" i="46"/>
  <c r="I33" i="46" s="1"/>
  <c r="E33" i="46"/>
  <c r="J33" i="21"/>
  <c r="H33" i="21"/>
  <c r="F33" i="21"/>
  <c r="D19" i="12"/>
  <c r="C19" i="12" s="1"/>
  <c r="C16" i="12"/>
  <c r="C18" i="12" s="1"/>
  <c r="C7" i="66"/>
  <c r="C8" i="66"/>
  <c r="F33" i="75"/>
  <c r="J33" i="75"/>
  <c r="H33" i="75"/>
  <c r="T13" i="1"/>
  <c r="T7" i="1"/>
  <c r="T10" i="1"/>
  <c r="T8" i="1"/>
  <c r="T9" i="1"/>
  <c r="T11" i="1"/>
  <c r="T12" i="1"/>
  <c r="Q69" i="44"/>
  <c r="L58" i="44"/>
  <c r="L61" i="44" s="1"/>
  <c r="C65" i="15"/>
  <c r="C59" i="15"/>
  <c r="B3" i="11"/>
  <c r="Q67" i="44"/>
  <c r="Q49" i="44"/>
  <c r="Q55" i="44" s="1"/>
  <c r="Q58" i="44"/>
  <c r="C38" i="15"/>
  <c r="C32" i="15"/>
  <c r="C14" i="15"/>
  <c r="C16" i="44"/>
  <c r="C22" i="43" l="1"/>
  <c r="C21" i="43" s="1"/>
  <c r="C28" i="43" s="1"/>
  <c r="C30" i="43" s="1"/>
  <c r="C32" i="43" s="1"/>
  <c r="B2" i="43" s="1"/>
  <c r="B3" i="43" s="1"/>
  <c r="C23" i="12"/>
  <c r="AB33" i="75"/>
  <c r="T48" i="75" s="1"/>
  <c r="G48" i="75" s="1"/>
  <c r="U33" i="75"/>
  <c r="AA33" i="75"/>
  <c r="R48" i="75" s="1"/>
  <c r="S33" i="75"/>
  <c r="U33" i="21"/>
  <c r="AB33" i="21"/>
  <c r="T48" i="21" s="1"/>
  <c r="G48" i="21" s="1"/>
  <c r="AB33" i="76"/>
  <c r="T48" i="76" s="1"/>
  <c r="G48" i="76" s="1"/>
  <c r="U33" i="76"/>
  <c r="AA33" i="76"/>
  <c r="R48" i="76" s="1"/>
  <c r="S33" i="76"/>
  <c r="L72" i="39"/>
  <c r="M70" i="39"/>
  <c r="M65" i="40"/>
  <c r="L67" i="40"/>
  <c r="C50" i="34"/>
  <c r="B3" i="34" s="1"/>
  <c r="B2" i="34" s="1"/>
  <c r="C49" i="34"/>
  <c r="AC33" i="75"/>
  <c r="V48" i="75" s="1"/>
  <c r="I48" i="75" s="1"/>
  <c r="W33" i="75"/>
  <c r="S33" i="21"/>
  <c r="AA33" i="21"/>
  <c r="R48" i="21" s="1"/>
  <c r="W33" i="21"/>
  <c r="AC33" i="21"/>
  <c r="V48" i="21" s="1"/>
  <c r="I48" i="21" s="1"/>
  <c r="AC33" i="76"/>
  <c r="V48" i="76" s="1"/>
  <c r="I48" i="76" s="1"/>
  <c r="I52" i="76" s="1"/>
  <c r="J52" i="76" s="1"/>
  <c r="W33" i="76"/>
  <c r="J82" i="39"/>
  <c r="M27" i="6"/>
  <c r="I19" i="6"/>
  <c r="E54" i="34"/>
  <c r="F54" i="34" s="1"/>
  <c r="E53" i="34"/>
  <c r="F53" i="34" s="1"/>
  <c r="I54" i="34"/>
  <c r="J54" i="34" s="1"/>
  <c r="C17" i="44"/>
  <c r="C20" i="44"/>
  <c r="C18" i="15"/>
  <c r="C15" i="15"/>
  <c r="T16" i="1"/>
  <c r="Q59" i="44"/>
  <c r="Q64" i="44" s="1"/>
  <c r="Q68" i="44"/>
  <c r="Q77" i="44" s="1"/>
  <c r="C21" i="44" l="1"/>
  <c r="C22" i="44" s="1"/>
  <c r="C25" i="44" s="1"/>
  <c r="K82" i="39"/>
  <c r="J81" i="39" s="1"/>
  <c r="I52" i="75"/>
  <c r="J52" i="75" s="1"/>
  <c r="N65" i="40"/>
  <c r="N67" i="40" s="1"/>
  <c r="M67" i="40"/>
  <c r="I27" i="6"/>
  <c r="S19" i="6"/>
  <c r="S27" i="6" s="1"/>
  <c r="I81" i="39"/>
  <c r="I52" i="21"/>
  <c r="J52" i="21" s="1"/>
  <c r="R49" i="21"/>
  <c r="E48" i="21"/>
  <c r="I53" i="21" s="1"/>
  <c r="J53" i="21" s="1"/>
  <c r="H9" i="40"/>
  <c r="N70" i="39"/>
  <c r="N72" i="39" s="1"/>
  <c r="M72" i="39"/>
  <c r="G53" i="21"/>
  <c r="H53" i="21" s="1"/>
  <c r="G52" i="21"/>
  <c r="H52" i="21" s="1"/>
  <c r="J9" i="39"/>
  <c r="R49" i="76"/>
  <c r="E48" i="76"/>
  <c r="G52" i="76"/>
  <c r="H52" i="76" s="1"/>
  <c r="G53" i="76"/>
  <c r="H53" i="76" s="1"/>
  <c r="R49" i="75"/>
  <c r="E48" i="75"/>
  <c r="G53" i="75"/>
  <c r="H53" i="75" s="1"/>
  <c r="G52" i="75"/>
  <c r="H52" i="75" s="1"/>
  <c r="C19" i="15"/>
  <c r="C20" i="15" s="1"/>
  <c r="C26" i="15" s="1"/>
  <c r="E53" i="75" l="1"/>
  <c r="F53" i="75" s="1"/>
  <c r="E52" i="75"/>
  <c r="F52" i="75" s="1"/>
  <c r="I53" i="76"/>
  <c r="J53" i="76" s="1"/>
  <c r="E53" i="76"/>
  <c r="F53" i="76" s="1"/>
  <c r="E52" i="76"/>
  <c r="F52" i="76" s="1"/>
  <c r="C49" i="75"/>
  <c r="B3" i="75" s="1"/>
  <c r="B2" i="75" s="1"/>
  <c r="C48" i="75"/>
  <c r="C48" i="76"/>
  <c r="C49" i="76"/>
  <c r="B3" i="76" s="1"/>
  <c r="B2" i="76" s="1"/>
  <c r="AB9" i="40"/>
  <c r="T44" i="40" s="1"/>
  <c r="G44" i="40" s="1"/>
  <c r="U9" i="40"/>
  <c r="C49" i="21"/>
  <c r="B3" i="21" s="1"/>
  <c r="C48" i="21"/>
  <c r="W9" i="39"/>
  <c r="AC9" i="39"/>
  <c r="H9" i="39"/>
  <c r="F9" i="39"/>
  <c r="E53" i="21"/>
  <c r="F53" i="21" s="1"/>
  <c r="E52" i="21"/>
  <c r="F52" i="21" s="1"/>
  <c r="F9" i="40"/>
  <c r="J9" i="40"/>
  <c r="I53" i="75"/>
  <c r="J53" i="75" s="1"/>
  <c r="L82" i="39"/>
  <c r="C28" i="44"/>
  <c r="C31" i="44" s="1"/>
  <c r="J21" i="44" s="1"/>
  <c r="J19" i="44" s="1"/>
  <c r="C23" i="15"/>
  <c r="C29" i="15" s="1"/>
  <c r="J19" i="15" s="1"/>
  <c r="J17" i="15" s="1"/>
  <c r="C35" i="44" l="1"/>
  <c r="C33" i="44" s="1"/>
  <c r="C15" i="44"/>
  <c r="C43" i="44" s="1"/>
  <c r="J14" i="15"/>
  <c r="J13" i="15" s="1"/>
  <c r="J23" i="15" s="1"/>
  <c r="C56" i="15"/>
  <c r="C63" i="15" s="1"/>
  <c r="C13" i="15"/>
  <c r="J35" i="15" s="1"/>
  <c r="M82" i="39"/>
  <c r="M81" i="39" s="1"/>
  <c r="C38" i="44"/>
  <c r="K81" i="39"/>
  <c r="AA9" i="40"/>
  <c r="R44" i="40" s="1"/>
  <c r="S9" i="40"/>
  <c r="AB9" i="39"/>
  <c r="U9" i="39"/>
  <c r="C8" i="12"/>
  <c r="B2" i="21"/>
  <c r="C10" i="12" s="1"/>
  <c r="C6" i="12" s="1"/>
  <c r="G48" i="40"/>
  <c r="H48" i="40" s="1"/>
  <c r="AC9" i="40"/>
  <c r="V44" i="40" s="1"/>
  <c r="I44" i="40" s="1"/>
  <c r="W9" i="40"/>
  <c r="S9" i="39"/>
  <c r="AA9" i="39"/>
  <c r="J16" i="44"/>
  <c r="J15" i="44" s="1"/>
  <c r="J25" i="44" s="1"/>
  <c r="Q51" i="44"/>
  <c r="Q50" i="15"/>
  <c r="C33" i="15"/>
  <c r="C31" i="15" s="1"/>
  <c r="C36" i="15"/>
  <c r="J22" i="15"/>
  <c r="C39" i="44" l="1"/>
  <c r="C32" i="44" s="1"/>
  <c r="C42" i="44" s="1"/>
  <c r="Q71" i="44" s="1"/>
  <c r="Q72" i="44"/>
  <c r="C60" i="15"/>
  <c r="C58" i="15" s="1"/>
  <c r="C55" i="15"/>
  <c r="C64" i="15" s="1"/>
  <c r="Q71" i="15"/>
  <c r="C37" i="15"/>
  <c r="J24" i="44"/>
  <c r="J18" i="44" s="1"/>
  <c r="J27" i="44" s="1"/>
  <c r="I49" i="40"/>
  <c r="J49" i="40" s="1"/>
  <c r="I48" i="40"/>
  <c r="J48" i="40" s="1"/>
  <c r="R45" i="40"/>
  <c r="E44" i="40"/>
  <c r="G49" i="40"/>
  <c r="H49" i="40" s="1"/>
  <c r="C29" i="12"/>
  <c r="C24" i="12"/>
  <c r="L81" i="39"/>
  <c r="C30" i="15"/>
  <c r="C39" i="15" s="1"/>
  <c r="Q70" i="15" s="1"/>
  <c r="J16" i="15"/>
  <c r="J25" i="15" s="1"/>
  <c r="Q70" i="44" l="1"/>
  <c r="C57" i="15"/>
  <c r="C66" i="15" s="1"/>
  <c r="C67" i="15" s="1"/>
  <c r="C70" i="15" s="1"/>
  <c r="Q69" i="15"/>
  <c r="C44" i="44"/>
  <c r="C45" i="44" s="1"/>
  <c r="B2" i="44" s="1"/>
  <c r="B3" i="44" s="1"/>
  <c r="C45" i="40"/>
  <c r="C44" i="40"/>
  <c r="C28" i="12"/>
  <c r="C26" i="12" s="1"/>
  <c r="C31" i="12" s="1"/>
  <c r="C30" i="12" s="1"/>
  <c r="C35" i="12"/>
  <c r="C33" i="12" s="1"/>
  <c r="E48" i="40"/>
  <c r="F48" i="40" s="1"/>
  <c r="E49" i="40"/>
  <c r="F49" i="40" s="1"/>
  <c r="J39" i="15"/>
  <c r="J40" i="15" s="1"/>
  <c r="C40" i="15"/>
  <c r="Q48" i="15" s="1"/>
  <c r="Q54" i="15" s="1"/>
  <c r="L51" i="15"/>
  <c r="Q68" i="15" l="1"/>
  <c r="L57" i="15"/>
  <c r="L60" i="15" s="1"/>
  <c r="Q67" i="15" s="1"/>
  <c r="C36" i="12"/>
  <c r="B2" i="12" s="1"/>
  <c r="B3" i="12" s="1"/>
  <c r="B55" i="40"/>
  <c r="F55" i="40" s="1"/>
  <c r="B57" i="40"/>
  <c r="F57" i="40" s="1"/>
  <c r="B60" i="40"/>
  <c r="F60" i="40" s="1"/>
  <c r="B59" i="40"/>
  <c r="F59" i="40" s="1"/>
  <c r="B62" i="40"/>
  <c r="F62" i="40" s="1"/>
  <c r="B61" i="40"/>
  <c r="F61" i="40" s="1"/>
  <c r="B54" i="40"/>
  <c r="F54" i="40" s="1"/>
  <c r="B53" i="40"/>
  <c r="F53" i="40" s="1"/>
  <c r="B56" i="40"/>
  <c r="F56" i="40" s="1"/>
  <c r="B58" i="40"/>
  <c r="F58" i="40" s="1"/>
  <c r="B2" i="15"/>
  <c r="B3" i="15" s="1"/>
  <c r="C43" i="15"/>
  <c r="Q57" i="15"/>
  <c r="C46" i="15"/>
  <c r="Q66" i="15"/>
  <c r="J42" i="15"/>
  <c r="J43" i="15" s="1"/>
  <c r="I5" i="3"/>
  <c r="I4" i="6"/>
  <c r="G3" i="46" s="1"/>
  <c r="D19" i="9"/>
  <c r="D20" i="9"/>
  <c r="Q76" i="15" l="1"/>
  <c r="Q58" i="15"/>
  <c r="Q63" i="15" s="1"/>
  <c r="L44" i="9"/>
  <c r="G22" i="46"/>
  <c r="H22" i="46"/>
  <c r="N104" i="45"/>
  <c r="Z7" i="46"/>
  <c r="J22" i="46"/>
  <c r="F22" i="46"/>
  <c r="AB11" i="46"/>
  <c r="AB13" i="46" s="1"/>
  <c r="F101" i="46"/>
  <c r="K101" i="46"/>
  <c r="B113" i="46"/>
  <c r="J101" i="46"/>
  <c r="G101" i="46"/>
  <c r="C101" i="46"/>
  <c r="N101" i="46"/>
  <c r="L101" i="46"/>
  <c r="E101" i="46"/>
  <c r="I101" i="46"/>
  <c r="D101" i="46"/>
  <c r="M101" i="46"/>
  <c r="H101" i="46"/>
  <c r="AE11" i="46"/>
  <c r="AE13" i="46" s="1"/>
  <c r="AJ11" i="46"/>
  <c r="AJ13" i="46" s="1"/>
  <c r="AF11" i="46"/>
  <c r="AF13" i="46" s="1"/>
  <c r="AI11" i="46"/>
  <c r="AI13" i="46" s="1"/>
  <c r="AA11" i="46"/>
  <c r="AA13" i="46" s="1"/>
  <c r="AH11" i="46"/>
  <c r="AH13" i="46" s="1"/>
  <c r="AD11" i="46"/>
  <c r="AD13" i="46" s="1"/>
  <c r="Z11" i="46"/>
  <c r="Z13" i="46" s="1"/>
  <c r="Y11" i="46"/>
  <c r="Y13" i="46" s="1"/>
  <c r="AG11" i="46"/>
  <c r="AG13" i="46" s="1"/>
  <c r="AC11" i="46"/>
  <c r="AC13" i="46" s="1"/>
  <c r="E22" i="46"/>
  <c r="C23" i="46"/>
  <c r="C21" i="46" s="1"/>
  <c r="D22" i="46" l="1"/>
  <c r="M109" i="46"/>
  <c r="M102" i="46"/>
  <c r="M103" i="46"/>
  <c r="M105" i="46"/>
  <c r="M107" i="46"/>
  <c r="M104" i="46"/>
  <c r="M106" i="46"/>
  <c r="I103" i="46"/>
  <c r="I104" i="46"/>
  <c r="I109" i="46"/>
  <c r="I107" i="46"/>
  <c r="I105" i="46"/>
  <c r="I102" i="46"/>
  <c r="I106" i="46"/>
  <c r="L109" i="46"/>
  <c r="L107" i="46"/>
  <c r="L105" i="46"/>
  <c r="L104" i="46"/>
  <c r="L106" i="46"/>
  <c r="L102" i="46"/>
  <c r="L103" i="46"/>
  <c r="C107" i="46"/>
  <c r="C102" i="46"/>
  <c r="C104" i="46"/>
  <c r="C109" i="46"/>
  <c r="C105" i="46"/>
  <c r="C103" i="46"/>
  <c r="C106" i="46"/>
  <c r="J109" i="46"/>
  <c r="J102" i="46"/>
  <c r="J105" i="46"/>
  <c r="J107" i="46"/>
  <c r="J103" i="46"/>
  <c r="J106" i="46"/>
  <c r="J104" i="46"/>
  <c r="D118" i="46"/>
  <c r="E118" i="46" s="1"/>
  <c r="F118" i="46" s="1"/>
  <c r="B117" i="46"/>
  <c r="C117" i="46" s="1"/>
  <c r="B118" i="46"/>
  <c r="C118" i="46" s="1"/>
  <c r="I116" i="46"/>
  <c r="J116" i="46" s="1"/>
  <c r="K116" i="46" s="1"/>
  <c r="L116" i="46" s="1"/>
  <c r="M116"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B115" i="46"/>
  <c r="B116" i="46"/>
  <c r="C116" i="46" s="1"/>
  <c r="G118" i="46"/>
  <c r="H118" i="46" s="1"/>
  <c r="I117" i="46"/>
  <c r="J117" i="46" s="1"/>
  <c r="K117" i="46" s="1"/>
  <c r="L117" i="46" s="1"/>
  <c r="M117" i="46" s="1"/>
  <c r="D117" i="46"/>
  <c r="E117" i="46" s="1"/>
  <c r="F117" i="46" s="1"/>
  <c r="G117" i="46" s="1"/>
  <c r="H117" i="46" s="1"/>
  <c r="F109" i="46"/>
  <c r="F104" i="46"/>
  <c r="F103" i="46"/>
  <c r="F106" i="46"/>
  <c r="F107" i="46"/>
  <c r="F105" i="46"/>
  <c r="F102" i="46"/>
  <c r="C29" i="46"/>
  <c r="H103" i="46"/>
  <c r="H107" i="46"/>
  <c r="H106" i="46"/>
  <c r="H109" i="46"/>
  <c r="H102" i="46"/>
  <c r="H105" i="46"/>
  <c r="H104" i="46"/>
  <c r="D107" i="46"/>
  <c r="D105" i="46"/>
  <c r="D109" i="46"/>
  <c r="D103" i="46"/>
  <c r="D106" i="46"/>
  <c r="D104" i="46"/>
  <c r="D102" i="46"/>
  <c r="E102" i="46"/>
  <c r="E107" i="46"/>
  <c r="E105" i="46"/>
  <c r="E109" i="46"/>
  <c r="E103" i="46"/>
  <c r="E106" i="46"/>
  <c r="E104" i="46"/>
  <c r="N106" i="46"/>
  <c r="N107" i="46"/>
  <c r="N104" i="46"/>
  <c r="N105" i="46"/>
  <c r="N103" i="46"/>
  <c r="N102" i="46"/>
  <c r="N109" i="46"/>
  <c r="G102" i="46"/>
  <c r="G105" i="46"/>
  <c r="G106" i="46"/>
  <c r="G107" i="46"/>
  <c r="G103" i="46"/>
  <c r="G109" i="46"/>
  <c r="G104" i="46"/>
  <c r="K109" i="46"/>
  <c r="K102" i="46"/>
  <c r="K107" i="46"/>
  <c r="K105" i="46"/>
  <c r="K104" i="46"/>
  <c r="K106" i="46"/>
  <c r="K103" i="46"/>
  <c r="S7" i="46" l="1"/>
  <c r="T7" i="46" s="1"/>
  <c r="V7" i="46" s="1"/>
  <c r="S2" i="46"/>
  <c r="T2" i="46" s="1"/>
  <c r="V2" i="46" s="1"/>
  <c r="S5" i="46"/>
  <c r="T5" i="46" s="1"/>
  <c r="V5" i="46" s="1"/>
  <c r="S4" i="46"/>
  <c r="T4" i="46" s="1"/>
  <c r="V4" i="46" s="1"/>
  <c r="S6" i="46"/>
  <c r="T6" i="46" s="1"/>
  <c r="V6" i="46" s="1"/>
  <c r="S3" i="46"/>
  <c r="T3" i="46" s="1"/>
  <c r="V3" i="46" s="1"/>
  <c r="C30" i="46"/>
  <c r="E30" i="46" s="1"/>
  <c r="C27" i="46" s="1"/>
  <c r="E29" i="46"/>
  <c r="D113" i="46"/>
  <c r="C115" i="46"/>
  <c r="F7" i="67"/>
  <c r="E4" i="67" l="1"/>
  <c r="C26" i="46"/>
  <c r="H14" i="3"/>
  <c r="H5" i="3" s="1"/>
  <c r="E7" i="67"/>
  <c r="E3" i="67" l="1"/>
  <c r="B2" i="46"/>
  <c r="G14" i="3"/>
  <c r="B7" i="67"/>
  <c r="B2" i="67" l="1"/>
  <c r="G5" i="3"/>
  <c r="B3" i="3" s="1"/>
  <c r="D4" i="46"/>
  <c r="B4" i="46"/>
  <c r="B3" i="46"/>
  <c r="E476" i="3" l="1"/>
  <c r="E395" i="3"/>
  <c r="AN6" i="3"/>
  <c r="E280" i="3"/>
  <c r="E59" i="3"/>
  <c r="E270" i="3"/>
  <c r="E464" i="3"/>
  <c r="E157" i="3"/>
  <c r="E209" i="3"/>
  <c r="E161" i="3"/>
  <c r="E450" i="3"/>
  <c r="E349" i="3"/>
  <c r="E149" i="3"/>
  <c r="E295" i="3"/>
  <c r="E249" i="3"/>
  <c r="E89" i="3"/>
  <c r="E475" i="3"/>
  <c r="E421" i="3"/>
  <c r="E206" i="3"/>
  <c r="E132" i="3"/>
  <c r="E333" i="3"/>
  <c r="E91" i="3"/>
  <c r="E115" i="3"/>
  <c r="E359" i="3"/>
  <c r="E195" i="3"/>
  <c r="E391" i="3"/>
  <c r="E472" i="3"/>
  <c r="E127" i="3"/>
  <c r="E222" i="3"/>
  <c r="E537" i="3"/>
  <c r="E199" i="3"/>
  <c r="E54" i="3"/>
  <c r="E423" i="3"/>
  <c r="E452" i="3"/>
  <c r="E435" i="3"/>
  <c r="E343" i="3"/>
  <c r="E142" i="3"/>
  <c r="E410" i="3"/>
  <c r="E468" i="3"/>
  <c r="E109" i="3"/>
  <c r="E185" i="3"/>
  <c r="E148" i="3"/>
  <c r="AO6" i="3"/>
  <c r="E283" i="3"/>
  <c r="E535" i="3"/>
  <c r="E156" i="3"/>
  <c r="E381" i="3"/>
  <c r="E49" i="3"/>
  <c r="E427" i="3"/>
  <c r="E193" i="3"/>
  <c r="E278" i="3"/>
  <c r="E104" i="3"/>
  <c r="E94" i="3"/>
  <c r="X6" i="3"/>
  <c r="E376" i="3"/>
  <c r="E387" i="3"/>
  <c r="E294" i="3"/>
  <c r="R6" i="3"/>
  <c r="E68" i="3"/>
  <c r="E135" i="3"/>
  <c r="E147" i="3"/>
  <c r="E22" i="3"/>
  <c r="E439" i="3"/>
  <c r="E459" i="3"/>
  <c r="E117" i="3"/>
  <c r="E231" i="3"/>
  <c r="E528" i="3"/>
  <c r="E470" i="3"/>
  <c r="E492" i="3"/>
  <c r="E186" i="3"/>
  <c r="E266" i="3"/>
  <c r="E424" i="3"/>
  <c r="E549" i="3"/>
  <c r="E201" i="3"/>
  <c r="E460" i="3"/>
  <c r="E170" i="3"/>
  <c r="I3" i="6"/>
  <c r="E213" i="3"/>
  <c r="E536" i="3"/>
  <c r="E397" i="3"/>
  <c r="E462" i="3"/>
  <c r="E47" i="3"/>
  <c r="E545" i="3"/>
  <c r="E129" i="3"/>
  <c r="E86" i="3"/>
  <c r="E411" i="3"/>
  <c r="E250" i="3"/>
  <c r="E41" i="3"/>
  <c r="E471" i="3"/>
  <c r="E418" i="3"/>
  <c r="E408" i="3"/>
  <c r="E92" i="3"/>
  <c r="E238" i="3"/>
  <c r="E414" i="3"/>
  <c r="E44" i="3"/>
  <c r="E202" i="3"/>
  <c r="E36" i="3"/>
  <c r="E131" i="3"/>
  <c r="E237" i="3"/>
  <c r="E304" i="3"/>
  <c r="M6" i="3"/>
  <c r="E241" i="3"/>
  <c r="E69" i="3"/>
  <c r="E446" i="3"/>
  <c r="E152" i="3"/>
  <c r="E437" i="3"/>
  <c r="E46" i="3"/>
  <c r="E221" i="3"/>
  <c r="E457" i="3"/>
  <c r="E31" i="3"/>
  <c r="E534" i="3"/>
  <c r="AA6" i="3"/>
  <c r="E311" i="3"/>
  <c r="E388" i="3"/>
  <c r="E21" i="3"/>
  <c r="E125" i="3"/>
  <c r="E64" i="3"/>
  <c r="AH6" i="3"/>
  <c r="E140" i="3"/>
  <c r="P6" i="3"/>
  <c r="E84" i="3"/>
  <c r="AP6" i="3"/>
  <c r="E431" i="3"/>
  <c r="E70" i="3"/>
  <c r="E38" i="3"/>
  <c r="E151" i="3"/>
  <c r="E413" i="3"/>
  <c r="E561" i="3"/>
  <c r="E23" i="3"/>
  <c r="E443" i="3"/>
  <c r="E265" i="3"/>
  <c r="E194" i="3"/>
  <c r="AM6" i="3"/>
  <c r="E78" i="3"/>
  <c r="E337" i="3"/>
  <c r="E390" i="3"/>
  <c r="E158" i="3"/>
  <c r="E296" i="3"/>
  <c r="E321" i="3"/>
  <c r="E187" i="3"/>
  <c r="E253" i="3"/>
  <c r="E225" i="3"/>
  <c r="E297" i="3"/>
  <c r="E192" i="3"/>
  <c r="E114" i="3"/>
  <c r="E348" i="3"/>
  <c r="E93" i="3"/>
  <c r="E394" i="3"/>
  <c r="E55" i="3"/>
  <c r="E282" i="3"/>
  <c r="E570" i="3"/>
  <c r="E375" i="3"/>
  <c r="E409" i="3"/>
  <c r="E83" i="3"/>
  <c r="E124" i="3"/>
  <c r="E263" i="3"/>
  <c r="E428" i="3"/>
  <c r="E165" i="3"/>
  <c r="E100" i="3"/>
  <c r="E404" i="3"/>
  <c r="E374" i="3"/>
  <c r="E30" i="3"/>
  <c r="E490" i="3"/>
  <c r="E218" i="3"/>
  <c r="E442" i="3"/>
  <c r="E110" i="3"/>
  <c r="E63" i="3"/>
  <c r="E174" i="3"/>
  <c r="E482"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299" i="3"/>
  <c r="E103" i="3"/>
  <c r="E200" i="3"/>
  <c r="E62" i="3"/>
  <c r="E389" i="3"/>
  <c r="E230" i="3"/>
  <c r="E143" i="3"/>
  <c r="E441" i="3"/>
  <c r="E367" i="3"/>
  <c r="E415" i="3"/>
  <c r="E80" i="3"/>
  <c r="E313" i="3"/>
  <c r="E53" i="3"/>
  <c r="E405" i="3"/>
  <c r="W6" i="3"/>
  <c r="E190" i="3"/>
  <c r="E420" i="3"/>
  <c r="E233" i="3"/>
  <c r="L6" i="3"/>
  <c r="E429" i="3"/>
  <c r="E116" i="3"/>
  <c r="E372" i="3"/>
  <c r="E465" i="3"/>
  <c r="E154" i="3"/>
  <c r="E243" i="3"/>
  <c r="E309" i="3"/>
  <c r="E448" i="3"/>
  <c r="E74" i="3"/>
  <c r="E121" i="3"/>
  <c r="E224" i="3"/>
  <c r="E123" i="3"/>
  <c r="E66" i="3"/>
  <c r="E76" i="3"/>
  <c r="E24" i="3"/>
  <c r="E271" i="3"/>
  <c r="E508" i="3"/>
  <c r="E493" i="3"/>
  <c r="E108" i="3"/>
  <c r="E81" i="3"/>
  <c r="E277" i="3"/>
  <c r="E215" i="3"/>
  <c r="E82" i="3"/>
  <c r="E164" i="3"/>
  <c r="E99" i="3"/>
  <c r="E262" i="3"/>
  <c r="E101" i="3"/>
  <c r="E274" i="3"/>
  <c r="E32" i="3"/>
  <c r="E547" i="3"/>
  <c r="E447" i="3"/>
  <c r="E33" i="3"/>
  <c r="Q6" i="3"/>
  <c r="E119" i="3"/>
  <c r="E317" i="3"/>
  <c r="E179" i="3"/>
  <c r="E48" i="3"/>
  <c r="E438" i="3"/>
  <c r="E455" i="3"/>
  <c r="E473" i="3"/>
  <c r="N6" i="3"/>
  <c r="E232" i="3"/>
  <c r="E189" i="3"/>
  <c r="E507" i="3"/>
  <c r="E275" i="3"/>
  <c r="E39" i="3"/>
  <c r="E107" i="3"/>
  <c r="E288" i="3"/>
  <c r="E393" i="3"/>
  <c r="E88" i="3"/>
  <c r="E480" i="3"/>
  <c r="E220" i="3"/>
  <c r="E517" i="3"/>
  <c r="E453" i="3"/>
  <c r="AQ6" i="3"/>
  <c r="E162" i="3"/>
  <c r="E235" i="3"/>
  <c r="E229" i="3"/>
  <c r="E120" i="3"/>
  <c r="E191" i="3"/>
  <c r="E555" i="3"/>
  <c r="E355" i="3"/>
  <c r="E499" i="3"/>
  <c r="E558" i="3"/>
  <c r="E173" i="3"/>
  <c r="E436" i="3"/>
  <c r="E260" i="3"/>
  <c r="E327" i="3"/>
  <c r="E548" i="3"/>
  <c r="Z6" i="3"/>
  <c r="E454" i="3"/>
  <c r="E520" i="3"/>
  <c r="AK6" i="3"/>
  <c r="E223" i="3"/>
  <c r="E205" i="3"/>
  <c r="E399" i="3"/>
  <c r="E478" i="3"/>
  <c r="E184"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16" i="3"/>
  <c r="E385" i="3"/>
  <c r="E430" i="3"/>
  <c r="E146" i="3"/>
  <c r="E77" i="3"/>
  <c r="E434" i="3"/>
  <c r="E552" i="3"/>
  <c r="E57" i="3"/>
  <c r="E463" i="3"/>
  <c r="E292" i="3"/>
  <c r="E426" i="3"/>
  <c r="E60" i="3"/>
  <c r="E75" i="3"/>
  <c r="E178" i="3"/>
  <c r="J6" i="3"/>
  <c r="E357"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307" i="3"/>
  <c r="E90" i="3"/>
  <c r="E210" i="3"/>
  <c r="E106" i="3"/>
  <c r="E182" i="3"/>
  <c r="E267" i="3"/>
  <c r="E312" i="3"/>
  <c r="E514" i="3"/>
  <c r="E512" i="3"/>
  <c r="E371" i="3"/>
  <c r="E567" i="3"/>
  <c r="E329" i="3"/>
  <c r="E26" i="3"/>
  <c r="E322" i="3"/>
  <c r="E17" i="3"/>
  <c r="E18" i="3"/>
  <c r="E509" i="3"/>
  <c r="E564" i="3"/>
  <c r="E474" i="3"/>
  <c r="E171" i="3"/>
  <c r="E354" i="3"/>
  <c r="E531" i="3"/>
  <c r="E495" i="3"/>
  <c r="E344" i="3"/>
  <c r="E335" i="3"/>
  <c r="E366" i="3"/>
  <c r="E330" i="3"/>
  <c r="E350" i="3"/>
  <c r="E496" i="3"/>
  <c r="E352" i="3"/>
  <c r="E138" i="3"/>
  <c r="E519" i="3"/>
  <c r="E252" i="3"/>
  <c r="E544" i="3"/>
  <c r="E523" i="3"/>
  <c r="E28"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95" i="3"/>
  <c r="E498" i="3"/>
  <c r="E298" i="3"/>
  <c r="E169" i="3"/>
  <c r="E226" i="3"/>
  <c r="E163" i="3"/>
  <c r="E351" i="3"/>
  <c r="AL6" i="3"/>
  <c r="E368" i="3"/>
  <c r="E510" i="3"/>
  <c r="E504" i="3"/>
  <c r="E406" i="3"/>
  <c r="E244" i="3"/>
  <c r="E137" i="3"/>
  <c r="E301" i="3"/>
  <c r="E484" i="3"/>
  <c r="E356" i="3"/>
  <c r="E392" i="3"/>
  <c r="E373" i="3"/>
  <c r="E360" i="3"/>
  <c r="T6" i="3"/>
  <c r="E144" i="3"/>
  <c r="E219" i="3"/>
  <c r="E506" i="3"/>
  <c r="E571" i="3"/>
  <c r="E497" i="3"/>
  <c r="E566" i="3"/>
  <c r="E553" i="3"/>
  <c r="E273" i="3"/>
  <c r="E563" i="3"/>
  <c r="E112" i="3"/>
  <c r="E268" i="3"/>
  <c r="E175" i="3"/>
  <c r="E565" i="3"/>
  <c r="E503"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32" i="3"/>
  <c r="E153" i="3"/>
  <c r="E339" i="3"/>
  <c r="E361" i="3"/>
  <c r="E315" i="3"/>
  <c r="E323" i="3"/>
  <c r="E159" i="3"/>
  <c r="E501" i="3"/>
  <c r="E384" i="3"/>
  <c r="E310" i="3"/>
  <c r="E487" i="3"/>
  <c r="AB6" i="3"/>
  <c r="S6" i="3"/>
  <c r="E511" i="3"/>
  <c r="E377" i="3"/>
  <c r="E358" i="3"/>
  <c r="E20" i="3"/>
  <c r="E546" i="3"/>
  <c r="E15" i="3"/>
  <c r="E251" i="3"/>
  <c r="E56" i="3"/>
  <c r="E122" i="3"/>
  <c r="E208" i="3"/>
  <c r="E485" i="3"/>
  <c r="E483" i="3"/>
  <c r="E532" i="3"/>
  <c r="E340" i="3"/>
  <c r="E521" i="3"/>
  <c r="E130" i="3"/>
  <c r="E461" i="3"/>
  <c r="E328" i="3"/>
  <c r="E155" i="3"/>
  <c r="E346" i="3"/>
  <c r="E541" i="3"/>
  <c r="E557" i="3"/>
  <c r="E141"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524" i="3"/>
  <c r="E19" i="3"/>
  <c r="E212" i="3"/>
  <c r="E35" i="3"/>
  <c r="E118" i="3"/>
  <c r="E378" i="3"/>
  <c r="E364" i="3"/>
  <c r="E342" i="3"/>
  <c r="E522" i="3"/>
  <c r="E572" i="3"/>
  <c r="E516" i="3"/>
  <c r="E227" i="3"/>
  <c r="E488" i="3"/>
  <c r="E71" i="3"/>
  <c r="E240" i="3"/>
  <c r="E382" i="3"/>
  <c r="E326" i="3"/>
  <c r="E481" i="3"/>
  <c r="E45" i="3"/>
  <c r="E284" i="3"/>
  <c r="E42" i="3"/>
  <c r="E181" i="3"/>
  <c r="E269" i="3"/>
  <c r="E338" i="3"/>
  <c r="E562" i="3"/>
  <c r="E518" i="3"/>
  <c r="E167" i="3"/>
  <c r="E515" i="3"/>
  <c r="E494" i="3"/>
  <c r="E542" i="3"/>
  <c r="E254" i="3"/>
  <c r="E341" i="3"/>
  <c r="E316" i="3"/>
  <c r="E318" i="3"/>
  <c r="E380" i="3"/>
  <c r="AD6" i="3"/>
  <c r="AC6" i="3" s="1"/>
  <c r="I6" i="3"/>
  <c r="H6" i="3" s="1"/>
  <c r="E6" i="3" s="1"/>
  <c r="E13" i="3"/>
  <c r="AY6" i="3"/>
  <c r="E14" i="3"/>
  <c r="B3" i="67"/>
  <c r="B4" i="67"/>
  <c r="AY537" i="3" l="1"/>
  <c r="AY53" i="3"/>
  <c r="AY73" i="3"/>
  <c r="AY74" i="3"/>
  <c r="AY144" i="3"/>
  <c r="AY98" i="3"/>
  <c r="AY13" i="3"/>
  <c r="AY103" i="3"/>
  <c r="AY52" i="3"/>
  <c r="AY204" i="3"/>
  <c r="AY57" i="3"/>
  <c r="AY136" i="3"/>
  <c r="AY262" i="3"/>
  <c r="AY232" i="3"/>
  <c r="AY349" i="3"/>
  <c r="AY448" i="3"/>
  <c r="AY397" i="3"/>
  <c r="AY49" i="3"/>
  <c r="AY149" i="3"/>
  <c r="AY381" i="3"/>
  <c r="AY100" i="3"/>
  <c r="AY47" i="3"/>
  <c r="AY126" i="3"/>
  <c r="BL6" i="3"/>
  <c r="AY191"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30" i="3"/>
  <c r="AY97" i="3"/>
  <c r="AY198" i="3"/>
  <c r="AY77" i="3"/>
  <c r="AY158" i="3"/>
  <c r="AY290" i="3"/>
  <c r="AY443" i="3"/>
  <c r="AY46" i="3"/>
  <c r="AY219" i="3"/>
  <c r="AY569" i="3"/>
  <c r="AY148" i="3"/>
  <c r="AY371" i="3"/>
  <c r="BA6" i="3"/>
  <c r="AY283" i="3"/>
  <c r="AY446" i="3"/>
  <c r="AY380" i="3"/>
  <c r="AY211" i="3"/>
  <c r="AY396" i="3"/>
  <c r="AY221" i="3"/>
  <c r="AY245" i="3"/>
  <c r="AY32" i="3"/>
  <c r="AY456" i="3"/>
  <c r="AY107" i="3"/>
  <c r="AY458" i="3"/>
  <c r="AY152" i="3"/>
  <c r="AY489" i="3"/>
  <c r="AY546" i="3"/>
  <c r="AY242" i="3"/>
  <c r="AY417" i="3"/>
  <c r="AY287" i="3"/>
  <c r="AY163" i="3"/>
  <c r="AY385" i="3"/>
  <c r="AY492" i="3"/>
  <c r="AY15" i="3"/>
  <c r="AY355" i="3"/>
  <c r="AY220" i="3"/>
  <c r="BR6" i="3"/>
  <c r="AY497" i="3"/>
  <c r="AY285" i="3"/>
  <c r="AY404" i="3"/>
  <c r="AY327" i="3"/>
  <c r="AY213" i="3"/>
  <c r="AY486" i="3"/>
  <c r="AY67" i="3"/>
  <c r="AY159" i="3"/>
  <c r="AY105" i="3"/>
  <c r="AY154" i="3"/>
  <c r="AY160"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69" i="3"/>
  <c r="AY26" i="3"/>
  <c r="AY529" i="3"/>
  <c r="AY145" i="3"/>
  <c r="AY248" i="3"/>
  <c r="AY472" i="3"/>
  <c r="AY96" i="3"/>
  <c r="AY233" i="3"/>
  <c r="AY329" i="3"/>
  <c r="AY131" i="3"/>
  <c r="AY206" i="3"/>
  <c r="AY520" i="3"/>
  <c r="AY249" i="3"/>
  <c r="AY453" i="3"/>
  <c r="AY225" i="3"/>
  <c r="AY184" i="3"/>
  <c r="BQ6" i="3"/>
  <c r="AY151" i="3"/>
  <c r="AY360" i="3"/>
  <c r="AY531" i="3"/>
  <c r="AY137" i="3"/>
  <c r="AY565" i="3"/>
  <c r="AY244" i="3"/>
  <c r="BP6" i="3"/>
  <c r="AY399" i="3"/>
  <c r="AY553" i="3"/>
  <c r="AY199" i="3"/>
  <c r="AY480" i="3"/>
  <c r="AY174" i="3"/>
  <c r="AY90" i="3"/>
  <c r="AY351" i="3"/>
  <c r="AY358" i="3"/>
  <c r="AY328" i="3"/>
  <c r="AY344" i="3"/>
  <c r="AY63" i="3"/>
  <c r="AY223" i="3"/>
  <c r="AY71" i="3"/>
  <c r="AY190" i="3"/>
  <c r="AY440" i="3"/>
  <c r="AY235" i="3"/>
  <c r="AY195" i="3"/>
  <c r="AY421" i="3"/>
  <c r="AY37" i="3"/>
  <c r="AY203" i="3"/>
  <c r="AY95" i="3"/>
  <c r="AY150" i="3"/>
  <c r="AY504" i="3"/>
  <c r="AY83" i="3"/>
  <c r="AY182" i="3"/>
  <c r="AY45" i="3"/>
  <c r="AY21" i="3"/>
  <c r="AY92"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87" i="3"/>
  <c r="AY109" i="3"/>
  <c r="AY142" i="3"/>
  <c r="AY34" i="3"/>
  <c r="AY218" i="3"/>
  <c r="AY309" i="3"/>
  <c r="AY392" i="3"/>
  <c r="AY176" i="3"/>
  <c r="AY356" i="3"/>
  <c r="AY44" i="3"/>
  <c r="AY288" i="3"/>
  <c r="AY318" i="3"/>
  <c r="AY147" i="3"/>
  <c r="AY561" i="3"/>
  <c r="AY162" i="3"/>
  <c r="AY22" i="3"/>
  <c r="AY562" i="3"/>
  <c r="AY406" i="3"/>
  <c r="AY303" i="3"/>
  <c r="AY127" i="3"/>
  <c r="AY498" i="3"/>
  <c r="AY518" i="3"/>
  <c r="AY140" i="3"/>
  <c r="AY527" i="3"/>
  <c r="AY461" i="3"/>
  <c r="AY519" i="3"/>
  <c r="AY66" i="3"/>
  <c r="AY325" i="3"/>
  <c r="AY186" i="3"/>
  <c r="BF6" i="3"/>
  <c r="AY222" i="3"/>
  <c r="AY390" i="3"/>
  <c r="AY540" i="3"/>
  <c r="AY484" i="3"/>
  <c r="AY505" i="3"/>
  <c r="AY17" i="3"/>
  <c r="AY563" i="3"/>
  <c r="AY68" i="3"/>
  <c r="AY357" i="3"/>
  <c r="AY133" i="3"/>
  <c r="AY84" i="3"/>
  <c r="AY468" i="3"/>
  <c r="AY80" i="3"/>
  <c r="AY58" i="3"/>
  <c r="AY179" i="3"/>
  <c r="AY64" i="3"/>
  <c r="AY42" i="3"/>
  <c r="AY515"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549" i="3"/>
  <c r="AY88" i="3"/>
  <c r="AY129" i="3"/>
  <c r="AY104" i="3"/>
  <c r="AY259" i="3"/>
  <c r="AY368" i="3"/>
  <c r="AY409" i="3"/>
  <c r="AY171" i="3"/>
  <c r="AY365" i="3"/>
  <c r="AY471" i="3"/>
  <c r="AY138" i="3"/>
  <c r="AY316" i="3"/>
  <c r="AY29" i="3"/>
  <c r="AY367" i="3"/>
  <c r="AY166" i="3"/>
  <c r="AY413" i="3"/>
  <c r="AY319" i="3"/>
  <c r="BT6" i="3"/>
  <c r="AY323" i="3"/>
  <c r="AY370" i="3"/>
  <c r="AY388" i="3"/>
  <c r="AY485" i="3"/>
  <c r="AY112" i="3"/>
  <c r="AY415" i="3"/>
  <c r="AY247" i="3"/>
  <c r="AY503" i="3"/>
  <c r="AY20" i="3"/>
  <c r="AY208" i="3"/>
  <c r="AY78" i="3"/>
  <c r="AY299" i="3"/>
  <c r="AY153" i="3"/>
  <c r="AY447" i="3"/>
  <c r="AY375" i="3"/>
  <c r="AY185" i="3"/>
  <c r="AY559" i="3"/>
  <c r="AY483" i="3"/>
  <c r="AY506" i="3"/>
  <c r="AY108" i="3"/>
  <c r="AY240" i="3"/>
  <c r="AY60" i="3"/>
  <c r="AY475" i="3"/>
  <c r="AY334" i="3"/>
  <c r="AY82" i="3"/>
  <c r="AY41" i="3"/>
  <c r="AY128" i="3"/>
  <c r="AY36" i="3"/>
  <c r="AY246" i="3"/>
  <c r="AY216" i="3"/>
  <c r="AY432" i="3"/>
  <c r="AY28" i="3"/>
  <c r="AY280" i="3"/>
  <c r="AY311" i="3"/>
  <c r="AY172" i="3"/>
  <c r="AY257" i="3"/>
  <c r="BS6" i="3"/>
  <c r="AY254" i="3"/>
  <c r="AY394" i="3"/>
  <c r="AY359" i="3"/>
  <c r="AY282" i="3"/>
  <c r="AY437" i="3"/>
  <c r="AY544" i="3"/>
  <c r="AY493" i="3"/>
  <c r="AY24" i="3"/>
  <c r="AY239"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331" i="3"/>
  <c r="AY270" i="3"/>
  <c r="AY487" i="3"/>
  <c r="AY571" i="3"/>
  <c r="AY509" i="3"/>
  <c r="AY554" i="3"/>
  <c r="AY539" i="3"/>
  <c r="AY532" i="3"/>
  <c r="AY564" i="3"/>
  <c r="AY293" i="3"/>
  <c r="AY386" i="3"/>
  <c r="AY411" i="3"/>
  <c r="AY187" i="3"/>
  <c r="AY271" i="3"/>
  <c r="AY445" i="3"/>
  <c r="AY200" i="3"/>
  <c r="AY335" i="3"/>
  <c r="AY111" i="3"/>
  <c r="AY224" i="3"/>
  <c r="AY85" i="3"/>
  <c r="AY369" i="3"/>
  <c r="AY229" i="3"/>
  <c r="AY430" i="3"/>
  <c r="AY314" i="3"/>
  <c r="AY320" i="3"/>
  <c r="AY268" i="3"/>
  <c r="AY407"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377" i="3"/>
  <c r="BI6" i="3"/>
  <c r="AY164" i="3"/>
  <c r="AY469" i="3"/>
  <c r="AY177" i="3"/>
  <c r="AY263" i="3"/>
  <c r="AY524" i="3"/>
  <c r="AY231" i="3"/>
  <c r="AY300" i="3"/>
  <c r="AY333" i="3"/>
  <c r="AY408" i="3"/>
  <c r="AY117" i="3"/>
  <c r="AY374" i="3"/>
  <c r="AY123" i="3"/>
  <c r="AY183" i="3"/>
  <c r="AY337" i="3"/>
  <c r="AY25" i="3"/>
  <c r="AY341" i="3"/>
  <c r="AY197" i="3"/>
  <c r="AY76" i="3"/>
  <c r="AY321" i="3"/>
  <c r="AY465" i="3"/>
  <c r="BH6" i="3"/>
  <c r="AY86" i="3"/>
  <c r="AY431" i="3"/>
  <c r="AY500"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362" i="3"/>
  <c r="AY205" i="3"/>
  <c r="AY252" i="3"/>
  <c r="BM6" i="3"/>
  <c r="AY260" i="3"/>
  <c r="AY423" i="3"/>
  <c r="AY228" i="3"/>
  <c r="AY18" i="3"/>
  <c r="AY274" i="3"/>
  <c r="AY275" i="3"/>
  <c r="AY556" i="3"/>
  <c r="AY414" i="3"/>
  <c r="AY114" i="3"/>
  <c r="AY304" i="3"/>
  <c r="AY38" i="3"/>
  <c r="AY227" i="3"/>
  <c r="AY558" i="3"/>
  <c r="AY120" i="3"/>
  <c r="AY424" i="3"/>
  <c r="AY266" i="3"/>
  <c r="AY156" i="3"/>
  <c r="AY14" i="3"/>
  <c r="AY378" i="3"/>
  <c r="AY193" i="3"/>
  <c r="AY27" i="3"/>
  <c r="BN6" i="3"/>
  <c r="AY552"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02" i="3"/>
  <c r="AY110" i="3"/>
  <c r="AY298" i="3"/>
  <c r="AY403" i="3"/>
  <c r="AY514" i="3"/>
  <c r="AY454" i="3"/>
  <c r="AY499" i="3"/>
  <c r="AY391" i="3"/>
  <c r="AY507" i="3"/>
  <c r="D3" i="6"/>
  <c r="D13" i="6" l="1"/>
  <c r="D5" i="6"/>
  <c r="H20" i="6"/>
  <c r="D15" i="6"/>
  <c r="E46" i="9"/>
  <c r="B4" i="43"/>
  <c r="B5" i="44"/>
  <c r="H21" i="6"/>
  <c r="H22" i="6"/>
  <c r="H25" i="6"/>
  <c r="H26" i="6"/>
  <c r="F46" i="9"/>
  <c r="B4" i="11"/>
  <c r="B4" i="44"/>
  <c r="D28" i="6"/>
  <c r="D29" i="6"/>
  <c r="H24" i="6"/>
  <c r="D11" i="6"/>
  <c r="D9" i="6"/>
  <c r="F45" i="9"/>
  <c r="B5" i="11"/>
  <c r="B5" i="12"/>
  <c r="D10" i="6"/>
  <c r="D6" i="6"/>
  <c r="D12" i="6"/>
  <c r="D14" i="6"/>
  <c r="E45" i="9"/>
  <c r="H23" i="6"/>
  <c r="B5" i="43"/>
  <c r="C40" i="39"/>
  <c r="E63" i="40"/>
  <c r="F63" i="40" s="1"/>
  <c r="B2" i="40" s="1"/>
  <c r="B27" i="9"/>
  <c r="H19" i="6"/>
  <c r="D8" i="6"/>
  <c r="D25" i="6"/>
  <c r="R25" i="6" s="1"/>
  <c r="D22" i="6"/>
  <c r="D20" i="6"/>
  <c r="R20" i="6" s="1"/>
  <c r="D24" i="6"/>
  <c r="D23" i="6"/>
  <c r="D21" i="6"/>
  <c r="R21" i="6" s="1"/>
  <c r="D26" i="6"/>
  <c r="R26" i="6" s="1"/>
  <c r="C22" i="4"/>
  <c r="K38" i="9"/>
  <c r="C14" i="66" s="1"/>
  <c r="B2" i="66" s="1"/>
  <c r="B4" i="12"/>
  <c r="D19" i="6"/>
  <c r="D21" i="9"/>
  <c r="R23" i="6" l="1"/>
  <c r="H27" i="6"/>
  <c r="D30" i="6"/>
  <c r="A20" i="64"/>
  <c r="N5" i="54"/>
  <c r="B43" i="63" s="1"/>
  <c r="A6" i="64"/>
  <c r="A6" i="51"/>
  <c r="B7" i="63" s="1"/>
  <c r="A20" i="51"/>
  <c r="B15" i="63" s="1"/>
  <c r="R24" i="6"/>
  <c r="R22" i="6"/>
  <c r="D16" i="6"/>
  <c r="D27" i="9"/>
  <c r="D30" i="9" s="1"/>
  <c r="B30" i="9"/>
  <c r="H40" i="39"/>
  <c r="J40" i="39"/>
  <c r="F40" i="39"/>
  <c r="R19" i="6"/>
  <c r="D27" i="6"/>
  <c r="D31" i="6" s="1"/>
  <c r="D8" i="66"/>
  <c r="D7" i="66"/>
  <c r="B3" i="40"/>
  <c r="B5" i="40"/>
  <c r="B4" i="40"/>
  <c r="S40" i="39" l="1"/>
  <c r="AA40" i="39"/>
  <c r="U40" i="39"/>
  <c r="AB40" i="39"/>
  <c r="R27" i="6"/>
  <c r="R6" i="1"/>
  <c r="R16" i="1" s="1"/>
  <c r="W40" i="39"/>
  <c r="AC40" i="39"/>
  <c r="C25" i="9"/>
  <c r="C24" i="9"/>
  <c r="I5" i="6"/>
  <c r="I6" i="6"/>
  <c r="C13" i="39" s="1"/>
  <c r="H13" i="39" l="1"/>
  <c r="J13" i="39"/>
  <c r="F13" i="39"/>
  <c r="S13" i="39" l="1"/>
  <c r="AA13" i="39"/>
  <c r="R49" i="39" s="1"/>
  <c r="W13" i="39"/>
  <c r="AC13" i="39"/>
  <c r="V49" i="39" s="1"/>
  <c r="I49" i="39" s="1"/>
  <c r="AB13" i="39"/>
  <c r="T49" i="39" s="1"/>
  <c r="G49" i="39" s="1"/>
  <c r="U13" i="39"/>
  <c r="I53" i="39" l="1"/>
  <c r="J53" i="39" s="1"/>
  <c r="E49" i="39"/>
  <c r="I54" i="39" s="1"/>
  <c r="J54" i="39" s="1"/>
  <c r="R50" i="39"/>
  <c r="G53" i="39"/>
  <c r="H53" i="39" s="1"/>
  <c r="G54" i="39"/>
  <c r="H54" i="39" s="1"/>
  <c r="C49" i="39" l="1"/>
  <c r="C50" i="39"/>
  <c r="E53" i="39"/>
  <c r="F53" i="39" s="1"/>
  <c r="E54" i="39"/>
  <c r="F54" i="39" s="1"/>
  <c r="B66" i="39" l="1"/>
  <c r="F66" i="39" s="1"/>
  <c r="B64" i="39"/>
  <c r="F64" i="39" s="1"/>
  <c r="B61" i="39"/>
  <c r="F61" i="39" s="1"/>
  <c r="B65" i="39"/>
  <c r="F65" i="39" s="1"/>
  <c r="B59" i="39"/>
  <c r="F59" i="39" s="1"/>
  <c r="B63" i="39"/>
  <c r="F63" i="39" s="1"/>
  <c r="B62" i="39"/>
  <c r="F62" i="39" s="1"/>
  <c r="B60" i="39"/>
  <c r="F60" i="39" s="1"/>
  <c r="B67" i="39"/>
  <c r="F67" i="39" s="1"/>
  <c r="B58" i="39"/>
  <c r="F58" i="39" s="1"/>
  <c r="F68" i="39" l="1"/>
  <c r="B2" i="39" s="1"/>
  <c r="B3" i="39" s="1"/>
  <c r="C19" i="9"/>
  <c r="C20" i="9"/>
  <c r="B4" i="39" l="1"/>
  <c r="L43" i="9"/>
  <c r="G19" i="9"/>
  <c r="D22" i="9"/>
  <c r="B5" i="39"/>
  <c r="G20" i="9"/>
  <c r="C21" i="9"/>
  <c r="G21" i="9" l="1"/>
  <c r="G22" i="9"/>
  <c r="N43" i="9"/>
  <c r="C32" i="9"/>
  <c r="C35" i="9" l="1"/>
  <c r="F42" i="9" s="1"/>
  <c r="O38" i="9"/>
  <c r="K25" i="9" s="1"/>
  <c r="C42" i="9"/>
  <c r="R5" i="54" s="1"/>
  <c r="B48" i="63" s="1"/>
  <c r="C33" i="9"/>
  <c r="C34" i="9"/>
  <c r="E42" i="9" s="1"/>
  <c r="P5" i="54" s="1"/>
  <c r="B46" i="63" s="1"/>
  <c r="O43" i="9"/>
  <c r="K26" i="9" l="1"/>
  <c r="M38" i="9"/>
  <c r="K27" i="9" s="1"/>
  <c r="D42" i="9"/>
  <c r="Q5" i="54" s="1"/>
  <c r="B47" i="63" s="1"/>
  <c r="N38" i="9"/>
  <c r="K28" i="9" s="1"/>
  <c r="N68" i="9"/>
  <c r="D14" i="66"/>
  <c r="E14" i="66" s="1"/>
  <c r="C44" i="9"/>
  <c r="E44" i="9" s="1"/>
  <c r="D63" i="9"/>
  <c r="D70" i="9" s="1"/>
  <c r="F14" i="66" l="1"/>
  <c r="D71" i="9"/>
  <c r="D66" i="9" s="1"/>
  <c r="N72" i="9" s="1"/>
  <c r="C96" i="9"/>
  <c r="C91" i="9" s="1"/>
  <c r="C111" i="9"/>
  <c r="C104" i="9" s="1"/>
  <c r="C82" i="9"/>
  <c r="C81" i="9" s="1"/>
  <c r="C85" i="9" s="1"/>
  <c r="C86" i="9" s="1"/>
  <c r="D72" i="9" s="1"/>
  <c r="C90" i="9"/>
  <c r="C103" i="9"/>
  <c r="D77" i="9"/>
  <c r="N75" i="9" s="1"/>
  <c r="B5" i="66"/>
  <c r="C5" i="66" s="1"/>
  <c r="G14" i="66"/>
  <c r="B6" i="66" s="1"/>
  <c r="C6" i="66" s="1"/>
  <c r="N69" i="9"/>
  <c r="M86" i="9" s="1"/>
  <c r="N86" i="9" s="1"/>
  <c r="F44" i="9"/>
  <c r="O39" i="9"/>
  <c r="R6" i="54" s="1"/>
  <c r="B50" i="63" s="1"/>
  <c r="D44" i="9"/>
  <c r="K29" i="9"/>
  <c r="K30" i="9" s="1"/>
  <c r="M85" i="9" l="1"/>
  <c r="N85" i="9" s="1"/>
  <c r="D6" i="66"/>
  <c r="D5" i="66"/>
  <c r="M83" i="9"/>
  <c r="N83" i="9" s="1"/>
  <c r="M87" i="9"/>
  <c r="N87" i="9" s="1"/>
  <c r="M88" i="9"/>
  <c r="N88" i="9" s="1"/>
  <c r="M84" i="9"/>
  <c r="N84" i="9" s="1"/>
  <c r="C97" i="9"/>
  <c r="C98" i="9" s="1"/>
  <c r="C99" i="9" s="1"/>
  <c r="C113" i="9"/>
  <c r="C114" i="9" s="1"/>
  <c r="E114" i="9" s="1"/>
  <c r="E115" i="9" s="1"/>
  <c r="N89" i="9" l="1"/>
  <c r="O89" i="9" s="1"/>
  <c r="E98" i="9"/>
  <c r="E99" i="9" s="1"/>
  <c r="C115" i="9"/>
  <c r="D76" i="9" s="1"/>
  <c r="D74" i="9" s="1"/>
  <c r="N74" i="9" s="1"/>
  <c r="O77" i="9" s="1"/>
  <c r="Q77"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<sst xmlns="http://schemas.openxmlformats.org/spreadsheetml/2006/main" count="7875" uniqueCount="3150">
  <si>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</si>
  <si>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</si>
  <si>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</si>
  <si>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</si>
  <si>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</si>
  <si>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</si>
  <si>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</si>
  <si>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</si>
  <si>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</si>
  <si>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</si>
  <si>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</si>
  <si>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</si>
  <si>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</si>
  <si>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</si>
  <si>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</si>
  <si>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</si>
  <si>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</si>
  <si>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</si>
  <si>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</si>
  <si>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</si>
  <si>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</si>
  <si>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</si>
  <si>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</si>
  <si>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</si>
  <si>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</si>
  <si>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</si>
  <si>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</si>
  <si>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</si>
  <si>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</si>
  <si>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</si>
  <si>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</si>
  <si>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</si>
  <si>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</si>
  <si>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</si>
  <si>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</si>
  <si>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</si>
  <si>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</si>
  <si>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</si>
  <si>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</si>
  <si>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</si>
  <si>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</si>
  <si>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</si>
  <si>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</si>
  <si>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</si>
  <si>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</si>
  <si>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</si>
  <si>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</si>
  <si>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</si>
  <si>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</si>
  <si>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</si>
  <si>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</si>
  <si>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</si>
  <si>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</si>
  <si>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</si>
  <si>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</si>
  <si>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</si>
  <si>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</si>
  <si>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</si>
  <si>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</si>
  <si>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</si>
  <si>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</si>
  <si>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</si>
  <si>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</si>
  <si>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</si>
  <si>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</si>
  <si>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</si>
  <si>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</si>
  <si>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</si>
  <si>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</si>
  <si>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</si>
  <si>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</si>
  <si>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</si>
  <si>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</si>
  <si>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</si>
  <si>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</si>
  <si>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</si>
  <si>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</si>
  <si>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</si>
  <si>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</si>
  <si>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</si>
  <si>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</si>
  <si>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</si>
  <si>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</si>
  <si>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</si>
  <si>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</si>
  <si>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</si>
  <si>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</si>
  <si>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</si>
  <si>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</si>
  <si>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</si>
  <si>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</si>
  <si>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</si>
  <si>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</si>
  <si>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</si>
  <si>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</si>
  <si>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</si>
  <si>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</si>
  <si>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</si>
  <si>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</si>
  <si>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</si>
  <si>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</si>
  <si>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</si>
  <si>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</si>
  <si>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</si>
  <si>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</si>
  <si>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</si>
  <si>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</si>
  <si>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</si>
  <si>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</si>
  <si>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</si>
  <si>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</si>
  <si>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</si>
  <si>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</si>
  <si>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</si>
  <si>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</si>
  <si>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</si>
  <si>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</si>
  <si>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</si>
  <si>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</si>
  <si>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</si>
  <si>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</si>
  <si>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</si>
  <si>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</si>
  <si>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</si>
  <si>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</si>
  <si>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</si>
  <si>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</si>
  <si>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</si>
  <si>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</si>
  <si>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</si>
  <si>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</si>
  <si>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</si>
  <si>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</si>
  <si>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</si>
  <si>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</si>
  <si>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</si>
  <si>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</si>
  <si>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</si>
  <si>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</si>
  <si>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</si>
  <si>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</si>
  <si>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</si>
  <si>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</si>
  <si>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</si>
  <si>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</si>
  <si>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</si>
  <si>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</si>
  <si>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</si>
  <si>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</si>
  <si>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</si>
  <si>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</si>
  <si>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</si>
  <si>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</si>
  <si>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</si>
  <si>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</si>
  <si>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</si>
  <si>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</si>
  <si>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</si>
  <si>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</si>
  <si>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</si>
  <si>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</si>
  <si>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</si>
  <si>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</si>
  <si>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</si>
  <si>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</si>
  <si>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</si>
  <si>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</si>
  <si>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</si>
  <si>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</si>
  <si>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</si>
  <si>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</si>
  <si>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</si>
  <si>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</si>
  <si>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</si>
  <si>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</si>
  <si>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</si>
  <si>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</si>
  <si>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</si>
  <si>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</si>
  <si>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</si>
  <si>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</si>
  <si>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</si>
  <si>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</si>
  <si>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</si>
  <si>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</si>
  <si>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</si>
  <si>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</si>
  <si>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</si>
  <si>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</si>
  <si>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</si>
  <si>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</si>
  <si>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</si>
  <si>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</si>
  <si>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</si>
  <si>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</si>
  <si>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</si>
  <si>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</si>
  <si>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</si>
  <si>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</si>
  <si>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</si>
  <si>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</si>
  <si>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</si>
  <si>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</si>
  <si>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</si>
  <si>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</si>
  <si>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</si>
  <si>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</si>
  <si>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</si>
  <si>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</si>
  <si>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</si>
  <si>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</si>
  <si>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</si>
  <si>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</si>
  <si>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</si>
  <si>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</si>
  <si>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</si>
  <si>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</si>
  <si>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</si>
  <si>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</si>
  <si>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</si>
  <si>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</si>
  <si>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</si>
  <si>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</si>
  <si>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</si>
  <si>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</si>
  <si>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</si>
  <si>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</si>
  <si>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</si>
  <si>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</si>
  <si>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</si>
  <si>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</si>
  <si>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</si>
  <si>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</si>
  <si>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</si>
  <si>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</si>
  <si>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</si>
  <si>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</si>
  <si>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</si>
  <si>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</si>
  <si>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</si>
  <si>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</si>
  <si>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</si>
  <si>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</si>
  <si>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</si>
  <si>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</si>
  <si>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</si>
  <si>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</si>
  <si>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</si>
  <si>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</si>
  <si>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</si>
  <si>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</si>
  <si>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</si>
  <si>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</si>
  <si>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</si>
  <si>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</si>
  <si>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</si>
  <si>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</si>
  <si>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</si>
  <si>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</si>
  <si>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</si>
  <si>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</si>
  <si>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</si>
  <si>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</si>
  <si>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</si>
  <si>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</si>
  <si>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</si>
  <si>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</si>
  <si>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</si>
  <si>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</si>
  <si>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</si>
  <si>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</si>
  <si>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</si>
  <si>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</si>
  <si>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</si>
  <si>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</si>
  <si>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</si>
  <si>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</si>
  <si>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</si>
  <si>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</si>
  <si>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</si>
  <si>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</si>
  <si>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</si>
  <si>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</si>
  <si>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</si>
  <si>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</si>
  <si>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</si>
  <si>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</si>
  <si>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</si>
  <si>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</si>
  <si>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</si>
  <si>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</si>
  <si>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</si>
  <si>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</si>
  <si>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</si>
  <si>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</si>
  <si>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</si>
  <si>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</si>
  <si>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</si>
  <si>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</si>
  <si>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</si>
  <si>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</si>
  <si>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</si>
  <si>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</si>
  <si>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</si>
  <si>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</si>
  <si>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</si>
  <si>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</si>
  <si>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</si>
  <si>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</si>
  <si>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</si>
  <si>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</si>
  <si>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</si>
  <si>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</si>
  <si>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</si>
  <si>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</si>
  <si>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</si>
  <si>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</si>
  <si>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</si>
  <si>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</si>
  <si>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</si>
  <si>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</si>
  <si>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</si>
  <si>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</si>
  <si>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</si>
  <si>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</si>
  <si>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</si>
  <si>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</si>
  <si>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</si>
  <si>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</si>
  <si>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</si>
  <si>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</si>
  <si>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</si>
  <si>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</si>
  <si>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</si>
  <si>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</si>
  <si>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</si>
  <si>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</si>
  <si>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</si>
  <si>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</si>
  <si>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</si>
  <si>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</si>
  <si>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</si>
  <si>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</si>
  <si>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</si>
  <si>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</si>
  <si>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</si>
  <si>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</si>
  <si>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</si>
  <si>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</si>
  <si>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</si>
  <si>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</si>
  <si>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</si>
  <si>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</si>
  <si>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</si>
  <si>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</si>
  <si>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</si>
  <si>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</si>
  <si>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</si>
  <si>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</si>
  <si>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</si>
  <si>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</si>
  <si>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</si>
  <si>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</si>
  <si>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</si>
  <si>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</si>
  <si>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</si>
  <si>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</si>
  <si>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</si>
  <si>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</si>
  <si>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</si>
  <si>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</si>
  <si>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</si>
  <si>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</si>
  <si>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</si>
  <si>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</si>
  <si>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</si>
  <si>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</si>
  <si>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</si>
  <si>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</si>
  <si>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</si>
  <si>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</si>
  <si>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</si>
  <si>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</si>
  <si>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</si>
  <si>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</si>
  <si>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</si>
  <si>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</si>
  <si>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</si>
  <si>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</si>
  <si>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</si>
  <si>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</si>
  <si>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</si>
  <si>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</si>
  <si>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</si>
  <si>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</si>
  <si>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</si>
  <si>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</si>
  <si>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</si>
  <si>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</si>
  <si>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</si>
  <si>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</si>
  <si>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</si>
  <si>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</si>
  <si>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</si>
  <si>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</si>
  <si>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</si>
  <si>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</si>
  <si>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</si>
  <si>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</si>
  <si>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</si>
  <si>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</si>
  <si>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</si>
  <si>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</si>
  <si>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</si>
  <si>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</si>
  <si>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</si>
  <si>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</si>
  <si>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</si>
  <si>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</si>
  <si>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</si>
  <si>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</si>
  <si>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</si>
  <si>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</si>
  <si>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</si>
  <si>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</si>
  <si>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</si>
  <si>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</si>
  <si>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</si>
  <si>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</si>
  <si>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</si>
  <si>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</si>
  <si>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</si>
  <si>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</si>
  <si>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</si>
  <si>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</si>
  <si>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</si>
  <si>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</si>
  <si>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</si>
  <si>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</si>
  <si>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</si>
  <si>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</si>
  <si>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</si>
  <si>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</si>
  <si>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</si>
  <si>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</si>
  <si>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</si>
  <si>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</si>
  <si>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</si>
  <si>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</si>
  <si>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</si>
  <si>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</si>
  <si>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</si>
  <si>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</si>
  <si>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</si>
  <si>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</si>
  <si>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</si>
  <si>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</si>
  <si>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</si>
  <si>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</si>
  <si>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</si>
  <si>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</si>
  <si>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</si>
  <si>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</si>
  <si>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</si>
  <si>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</si>
  <si>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</si>
  <si>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</si>
  <si>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</si>
  <si>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</si>
  <si>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</si>
  <si>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</si>
  <si>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</si>
  <si>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</si>
  <si>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</si>
  <si>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</si>
  <si>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</si>
  <si>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</si>
  <si>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</si>
  <si>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</si>
  <si>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</si>
  <si>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</si>
  <si>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</si>
  <si>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</si>
  <si>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</si>
  <si>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</si>
  <si>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</si>
  <si>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</si>
  <si>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</si>
  <si>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</si>
  <si>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</si>
  <si>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</si>
  <si>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</si>
  <si>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</si>
  <si>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</si>
  <si>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</si>
  <si>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</si>
  <si>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</si>
  <si>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</si>
  <si>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</si>
  <si>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</si>
  <si>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</si>
  <si>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</si>
  <si>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</si>
  <si>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</si>
  <si>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</si>
  <si>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</si>
  <si>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</si>
  <si>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</si>
  <si>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</si>
  <si>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</si>
  <si>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</si>
  <si>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</si>
  <si>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</si>
  <si>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</si>
  <si>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</si>
  <si>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</si>
  <si>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</si>
  <si>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</si>
  <si>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</si>
  <si>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</si>
  <si>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</si>
  <si>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</si>
  <si>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</si>
  <si>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</si>
  <si>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</si>
  <si>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</si>
  <si>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</si>
  <si>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</si>
  <si>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</si>
  <si>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</si>
  <si>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</si>
  <si>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</si>
  <si>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</si>
  <si>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</si>
  <si>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</si>
  <si>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</si>
  <si>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</si>
  <si>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</si>
  <si>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</si>
  <si>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</si>
  <si>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</si>
  <si>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</si>
  <si>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</si>
  <si>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</si>
  <si>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</si>
  <si>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</si>
  <si>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</si>
  <si>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</si>
  <si>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</si>
  <si>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</si>
  <si>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</si>
  <si>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</si>
  <si>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</si>
  <si>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</si>
  <si>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</si>
  <si>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</si>
  <si>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</si>
  <si>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</si>
  <si>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</si>
  <si>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</si>
  <si>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</si>
  <si>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</si>
  <si>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</si>
  <si>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</si>
  <si>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</si>
  <si>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</si>
  <si>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</si>
  <si>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</si>
  <si>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</si>
  <si>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</si>
  <si>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</si>
  <si>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</si>
  <si>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</si>
  <si>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</si>
  <si>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</si>
  <si>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</si>
  <si>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</si>
  <si>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</si>
  <si>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</si>
  <si>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</si>
  <si>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</si>
  <si>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</si>
  <si>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</si>
  <si>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</si>
  <si>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</si>
  <si>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</si>
  <si>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</si>
  <si>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</si>
  <si>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</si>
  <si>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</si>
  <si>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</si>
  <si>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</si>
  <si>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</si>
  <si>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</si>
  <si>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</si>
  <si>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</si>
  <si>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</si>
  <si>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</si>
  <si>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</si>
  <si>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</si>
  <si>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</si>
  <si>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</si>
  <si>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</si>
  <si>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</si>
  <si>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</si>
  <si>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</si>
  <si>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</si>
  <si>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</si>
  <si>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</si>
  <si>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</si>
  <si>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</si>
  <si>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</si>
  <si>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</si>
  <si>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</si>
  <si>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</si>
  <si>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</si>
  <si>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</si>
  <si>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</si>
  <si>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</si>
  <si>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</si>
  <si>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</si>
  <si>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</si>
  <si>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</si>
  <si>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</si>
  <si>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</si>
  <si>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</si>
  <si>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</si>
  <si>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</si>
  <si>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</si>
  <si>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</si>
  <si>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</si>
  <si>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</si>
  <si>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</si>
  <si>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</si>
  <si>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</si>
  <si>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</si>
  <si>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</si>
  <si>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</si>
  <si>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</si>
  <si>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</si>
  <si>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</si>
  <si>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</si>
  <si>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</si>
  <si>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</si>
  <si>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</si>
  <si>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</si>
  <si>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</si>
  <si>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</si>
  <si>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</si>
  <si>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</si>
  <si>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</si>
  <si>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</si>
  <si>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</si>
  <si>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</si>
  <si>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</si>
  <si>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</si>
  <si>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</si>
  <si>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</si>
  <si>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</si>
  <si>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</si>
  <si>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</si>
  <si>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</si>
  <si>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</si>
  <si>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</si>
  <si>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</si>
  <si>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</si>
  <si>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</si>
  <si>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</si>
  <si>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</si>
  <si>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</si>
  <si>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</si>
  <si>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</si>
  <si>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</si>
  <si>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</si>
  <si>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</si>
  <si>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</si>
  <si>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</si>
  <si>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</si>
  <si>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</si>
  <si>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</si>
  <si>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</si>
  <si>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</si>
  <si>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</si>
  <si>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</si>
  <si>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</si>
  <si>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</si>
  <si>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</si>
  <si>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</si>
  <si>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</si>
  <si>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</si>
  <si>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</si>
  <si>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</si>
  <si>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</si>
  <si>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</si>
  <si>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</si>
  <si>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</si>
  <si>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</si>
  <si>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</si>
  <si>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</si>
  <si>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</si>
  <si>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</si>
  <si>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</si>
  <si>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</si>
  <si>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</si>
  <si>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</si>
  <si>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</si>
  <si>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</si>
  <si>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</si>
  <si>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</si>
  <si>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</si>
  <si>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</si>
  <si>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</si>
  <si>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</si>
  <si>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</si>
  <si>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</si>
  <si>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</si>
  <si>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</si>
  <si>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</si>
  <si>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</si>
  <si>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</si>
  <si>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</si>
  <si>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</si>
  <si>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</si>
  <si>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</si>
  <si>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</si>
  <si>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</si>
  <si>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</si>
  <si>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</si>
  <si>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</si>
  <si>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</si>
  <si>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</si>
  <si>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</si>
  <si>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</si>
  <si>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</si>
  <si>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</si>
  <si>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</si>
  <si>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</si>
  <si>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</si>
  <si>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</si>
  <si>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</si>
  <si>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</si>
  <si>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</si>
  <si>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</si>
  <si>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</si>
  <si>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</si>
  <si>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</si>
  <si>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</si>
  <si>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</si>
  <si>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</si>
  <si>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</si>
  <si>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</si>
  <si>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</si>
  <si>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</si>
  <si>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</si>
  <si>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</si>
  <si>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</si>
  <si>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</si>
  <si>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</si>
  <si>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</si>
  <si>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</si>
  <si>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</si>
  <si>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</si>
  <si>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</si>
  <si>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</si>
  <si>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</si>
  <si>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</si>
  <si>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</si>
  <si>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</si>
  <si>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</si>
  <si>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</si>
  <si>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</si>
  <si>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</si>
  <si>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</si>
  <si>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</si>
  <si>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</si>
  <si>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</si>
  <si>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</si>
  <si>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</si>
  <si>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</si>
  <si>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</si>
  <si>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</si>
  <si>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</si>
  <si>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</si>
  <si>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</si>
  <si>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</si>
  <si>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</si>
  <si>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</si>
  <si>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</si>
  <si>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</si>
  <si>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</si>
  <si>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</si>
  <si>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</si>
  <si>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</si>
  <si>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</si>
  <si>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</si>
  <si>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</si>
  <si>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</si>
  <si>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</si>
  <si>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</si>
  <si>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</si>
  <si>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</si>
  <si>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</si>
  <si>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</si>
  <si>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</si>
  <si>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</si>
  <si>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</si>
  <si>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</si>
  <si>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</si>
  <si>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</si>
  <si>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</si>
  <si>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</si>
  <si>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</si>
  <si>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</si>
  <si>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</si>
  <si>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</si>
  <si>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</si>
  <si>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</si>
  <si>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</si>
  <si>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</si>
  <si>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</si>
  <si>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</si>
  <si>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</si>
  <si>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</si>
  <si>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</si>
  <si>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</si>
  <si>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</si>
  <si>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</si>
  <si>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</si>
  <si>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</si>
  <si>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</si>
  <si>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</si>
  <si>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</si>
  <si>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</si>
  <si>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</si>
  <si>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</si>
  <si>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</si>
  <si>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</si>
  <si>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</si>
  <si>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</si>
  <si>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</si>
  <si>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</si>
  <si>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</si>
  <si>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</si>
  <si>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</si>
  <si>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</si>
  <si>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</si>
  <si>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</si>
  <si>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</si>
  <si>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</si>
  <si>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</si>
  <si>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</si>
  <si>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</si>
  <si>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</si>
  <si>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</si>
  <si>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</si>
  <si>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</si>
  <si>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</si>
  <si>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</si>
  <si>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</si>
  <si>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</si>
  <si>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</si>
  <si>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</si>
  <si>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</si>
  <si>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</si>
  <si>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</si>
  <si>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</si>
  <si>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</si>
  <si>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</si>
  <si>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</si>
  <si>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</si>
  <si>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</si>
  <si>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</si>
  <si>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</si>
  <si>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</si>
  <si>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</si>
  <si>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</si>
  <si>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</si>
  <si>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</si>
  <si>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</si>
  <si>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</si>
  <si>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</si>
  <si>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</si>
  <si>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</si>
  <si>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</si>
  <si>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</si>
  <si>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</si>
  <si>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</si>
  <si>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</si>
  <si>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</si>
  <si>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</si>
  <si>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</si>
  <si>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</si>
  <si>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</si>
  <si>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</si>
  <si>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</si>
  <si>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</si>
  <si>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</si>
  <si>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</si>
  <si>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</si>
  <si>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</si>
  <si>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</si>
  <si>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</si>
  <si>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</si>
  <si>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</si>
  <si>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</si>
  <si>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</si>
  <si>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</si>
  <si>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</si>
  <si>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</si>
  <si>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</si>
  <si>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</si>
  <si>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</si>
  <si>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</si>
  <si>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</si>
  <si>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</si>
  <si>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</si>
  <si>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</si>
  <si>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</si>
  <si>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</si>
  <si>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</si>
  <si>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</si>
  <si>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</si>
  <si>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</si>
  <si>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</si>
  <si>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</si>
  <si>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</si>
  <si>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</si>
  <si>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</si>
  <si>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</si>
  <si>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</si>
  <si>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</si>
  <si>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</si>
  <si>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</si>
  <si>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</si>
  <si>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</si>
  <si>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</si>
  <si>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</si>
  <si>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</si>
  <si>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</si>
  <si>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</si>
  <si>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</si>
  <si>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</si>
  <si>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</si>
  <si>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</si>
  <si>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</si>
  <si>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</si>
  <si>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</si>
  <si>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</si>
  <si>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</si>
  <si>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</si>
  <si>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</si>
  <si>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</si>
  <si>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</si>
  <si>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</si>
  <si>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</si>
  <si>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</si>
  <si>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</si>
  <si>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</si>
  <si>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</si>
  <si>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</si>
  <si>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</si>
  <si>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</si>
  <si>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</si>
  <si>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</si>
  <si>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</si>
  <si>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</si>
  <si>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</si>
  <si>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</si>
  <si>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</si>
  <si>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</si>
  <si>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</si>
  <si>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</si>
  <si>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</si>
  <si>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</si>
  <si>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</si>
  <si>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</si>
  <si>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</si>
  <si>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</si>
  <si>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</si>
  <si>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</si>
  <si>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</si>
  <si>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</si>
  <si>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</si>
  <si>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</si>
  <si>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</si>
  <si>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</si>
  <si>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</si>
  <si>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</si>
  <si>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</si>
  <si>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</si>
  <si>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</si>
  <si>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</si>
  <si>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</si>
  <si>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</si>
  <si>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</si>
  <si>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</si>
  <si>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</si>
  <si>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</si>
  <si>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</si>
  <si>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</si>
  <si>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</si>
  <si>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</si>
  <si>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</si>
  <si>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</si>
  <si>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</si>
  <si>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</si>
  <si>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</si>
  <si>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</si>
  <si>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</si>
  <si>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</si>
  <si>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</si>
  <si>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</si>
  <si>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</si>
  <si>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</si>
  <si>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</si>
  <si>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</si>
  <si>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</si>
  <si>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</si>
  <si>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</si>
  <si>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</si>
  <si>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</si>
  <si>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</si>
  <si>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</si>
  <si>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</si>
  <si>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</si>
  <si>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</si>
  <si>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</si>
  <si>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</si>
  <si>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</si>
  <si>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</si>
  <si>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</si>
  <si>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</si>
  <si>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</si>
  <si>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</si>
  <si>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</si>
  <si>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</si>
  <si>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</si>
  <si>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</si>
  <si>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</si>
  <si>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</si>
  <si>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</si>
  <si>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</si>
  <si>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</si>
  <si>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</si>
  <si>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</si>
  <si>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</si>
  <si>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</si>
  <si>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</si>
  <si>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</si>
  <si>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</si>
  <si>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</si>
  <si>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</si>
  <si>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</si>
  <si>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</si>
  <si>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</si>
  <si>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</si>
  <si>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</si>
  <si>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</si>
  <si>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</si>
  <si>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</si>
  <si>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</si>
  <si>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</si>
  <si>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</si>
  <si>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</si>
  <si>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</si>
  <si>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</si>
  <si>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</si>
  <si>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</si>
  <si>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</si>
  <si>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</si>
  <si>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</si>
  <si>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</si>
  <si>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</si>
  <si>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</si>
  <si>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</si>
  <si>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</si>
  <si>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</si>
  <si>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</si>
  <si>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</si>
  <si>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</si>
  <si>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</si>
  <si>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</si>
  <si>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</si>
  <si>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</si>
  <si>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</si>
  <si>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</si>
  <si>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</si>
  <si>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</si>
  <si>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</si>
  <si>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</si>
  <si>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</si>
  <si>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</si>
  <si>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</si>
  <si>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</si>
  <si>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</si>
  <si>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</si>
  <si>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</si>
  <si>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</si>
  <si>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</si>
  <si>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</si>
  <si>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</si>
  <si>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</si>
  <si>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</si>
  <si>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</si>
  <si>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</si>
  <si>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</si>
  <si>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</si>
  <si>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</si>
  <si>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</si>
  <si>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</si>
  <si>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</si>
  <si>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</si>
  <si>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</si>
  <si>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</si>
  <si>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</si>
  <si>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</si>
  <si>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</si>
  <si>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</si>
  <si>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</si>
  <si>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</si>
  <si>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</si>
  <si>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</si>
  <si>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</si>
  <si>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</si>
  <si>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</si>
  <si>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</si>
  <si>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</si>
  <si>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</si>
  <si>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</si>
  <si>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</si>
  <si>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</si>
  <si>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</si>
  <si>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</si>
  <si>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</si>
  <si>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</si>
  <si>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</si>
  <si>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</si>
  <si>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</si>
  <si>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</si>
  <si>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</si>
  <si>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</si>
  <si>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</si>
  <si>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</si>
  <si>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</si>
  <si>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</si>
  <si>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</si>
  <si>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</si>
  <si>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</si>
  <si>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</si>
  <si>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</si>
  <si>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</si>
  <si>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</si>
  <si>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</si>
  <si>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</si>
  <si>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</si>
  <si>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</si>
  <si>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</si>
  <si>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</si>
  <si>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</si>
  <si>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</si>
  <si>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</si>
  <si>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</si>
  <si>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</si>
  <si>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</si>
  <si>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</si>
  <si>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</si>
  <si>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</si>
  <si>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</si>
  <si>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</si>
  <si>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</si>
  <si>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</si>
  <si>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</si>
  <si>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</si>
  <si>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</si>
  <si>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</si>
  <si>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</si>
  <si>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</si>
  <si>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</si>
  <si>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</si>
  <si>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</si>
  <si>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</si>
  <si>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</si>
  <si>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</si>
  <si>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</si>
  <si>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</si>
  <si>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</si>
  <si>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</si>
  <si>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</si>
  <si>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</si>
  <si>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</si>
  <si>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</si>
  <si>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</si>
  <si>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</si>
  <si>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</si>
  <si>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</si>
  <si>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</si>
  <si>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</si>
  <si>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</si>
  <si>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</si>
  <si>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</si>
  <si>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</si>
  <si>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</si>
  <si>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</si>
  <si>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</si>
  <si>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</si>
  <si>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</si>
  <si>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</si>
  <si>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</si>
  <si>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</si>
  <si>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</si>
  <si>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</si>
  <si>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</si>
  <si>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</si>
  <si>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</si>
  <si>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</si>
  <si>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</si>
  <si>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</si>
  <si>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</si>
  <si>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</si>
  <si>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</si>
  <si>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</si>
  <si>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</si>
  <si>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</si>
  <si>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</si>
  <si>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</si>
  <si>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</si>
  <si>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</si>
  <si>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</si>
  <si>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</si>
  <si>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</si>
  <si>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</si>
  <si>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</si>
  <si>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</si>
  <si>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</si>
  <si>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</si>
  <si>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</si>
  <si>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</si>
  <si>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</si>
  <si>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</si>
  <si>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</si>
  <si>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</si>
  <si>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</si>
  <si>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</si>
  <si>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</si>
  <si>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</si>
  <si>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</si>
  <si>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</si>
  <si>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</si>
  <si>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</si>
  <si>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</si>
  <si>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</si>
  <si>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</si>
  <si>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</si>
  <si>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</si>
  <si>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</si>
  <si>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</si>
  <si>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</si>
  <si>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</si>
  <si>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</si>
  <si>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</si>
  <si>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</si>
  <si>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</si>
  <si>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</si>
  <si>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</si>
  <si>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</si>
  <si>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</si>
  <si>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</si>
  <si>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</si>
  <si>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</si>
  <si>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</si>
  <si>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</si>
  <si>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</si>
  <si>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</si>
  <si>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</si>
  <si>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</si>
  <si>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</si>
  <si>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</si>
  <si>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</si>
  <si>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</si>
  <si>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</si>
  <si>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</si>
  <si>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</si>
  <si>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</si>
  <si>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</si>
  <si>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</si>
  <si>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</si>
  <si>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</si>
  <si>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</si>
  <si>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</si>
  <si>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</si>
  <si>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</si>
  <si>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</si>
  <si>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</si>
  <si>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</si>
  <si>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</si>
  <si>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</si>
  <si>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</si>
  <si>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</si>
  <si>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</si>
  <si>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</si>
  <si>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</si>
  <si>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</si>
  <si>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</si>
  <si>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</si>
  <si>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</si>
  <si>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</si>
  <si>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</si>
  <si>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</si>
  <si>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</si>
  <si>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</si>
  <si>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</si>
  <si>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</si>
  <si>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</si>
  <si>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</si>
  <si>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</si>
  <si>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</si>
  <si>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</si>
  <si>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</si>
  <si>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</si>
  <si>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</si>
  <si>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</si>
  <si>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</si>
  <si>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</si>
  <si>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</si>
  <si>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</si>
  <si>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</si>
  <si>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</si>
  <si>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</si>
  <si>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</si>
  <si>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</si>
  <si>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</si>
  <si>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</si>
  <si>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</si>
  <si>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</si>
  <si>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</si>
  <si>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</si>
  <si>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</si>
  <si>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</si>
  <si>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</si>
  <si>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</si>
  <si>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</si>
  <si>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</si>
  <si>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</si>
  <si>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</si>
  <si>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</si>
  <si>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</si>
  <si>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</si>
  <si>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</si>
  <si>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</si>
  <si>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</si>
  <si>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</si>
  <si>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</si>
  <si>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</si>
  <si>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</si>
  <si>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</si>
  <si>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</si>
  <si>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</si>
  <si>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</si>
  <si>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</si>
  <si>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</si>
  <si>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</si>
  <si>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</si>
  <si>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</si>
  <si>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</si>
  <si>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</si>
  <si>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</si>
  <si>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</si>
  <si>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</si>
  <si>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</si>
  <si>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</si>
  <si>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</si>
  <si>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</si>
  <si>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</si>
  <si>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</si>
  <si>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</si>
  <si>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</si>
  <si>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</si>
  <si>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</si>
  <si>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</si>
  <si>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</si>
  <si>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</si>
  <si>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</si>
  <si>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</si>
  <si>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</si>
  <si>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</si>
  <si>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</si>
  <si>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</si>
  <si>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</si>
  <si>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</si>
  <si>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</si>
  <si>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</si>
  <si>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</si>
  <si>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</si>
  <si>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</si>
  <si>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</si>
  <si>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</si>
  <si>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</si>
  <si>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</si>
  <si>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</si>
  <si>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</si>
  <si>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</si>
  <si>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</si>
  <si>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</si>
  <si>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</si>
  <si>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</si>
  <si>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</si>
  <si>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</si>
  <si>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</si>
  <si>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</si>
  <si>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</si>
  <si>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</si>
  <si>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</si>
  <si>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</si>
  <si>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</si>
  <si>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</si>
  <si>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</si>
  <si>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</si>
  <si>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</si>
  <si>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</si>
  <si>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</si>
  <si>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</si>
  <si>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</si>
  <si>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</si>
  <si>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</si>
  <si>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</si>
  <si>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</si>
  <si>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</si>
  <si>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</si>
  <si>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</si>
  <si>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</si>
  <si>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</si>
  <si>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</si>
  <si>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</si>
  <si>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</si>
  <si>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</si>
  <si>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</si>
  <si>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</si>
  <si>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</si>
  <si>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</si>
  <si>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</si>
  <si>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</si>
  <si>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</si>
  <si>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</si>
  <si>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</si>
  <si>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</si>
  <si>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</si>
  <si>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</si>
  <si>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</si>
  <si>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</si>
  <si>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</si>
  <si>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</si>
  <si>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</si>
  <si>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</si>
  <si>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</si>
  <si>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</si>
  <si>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</si>
  <si>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</si>
  <si>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</si>
  <si>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</si>
  <si>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</si>
  <si>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</si>
  <si>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</si>
  <si>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</si>
  <si>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</si>
  <si>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</si>
  <si>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</si>
  <si>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</si>
  <si>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</si>
  <si>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</si>
  <si>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</si>
  <si>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</si>
  <si>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</si>
  <si>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</si>
  <si>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</si>
  <si>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</si>
  <si>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</si>
  <si>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</si>
  <si>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</si>
  <si>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</si>
  <si>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</si>
  <si>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</si>
  <si>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</si>
  <si>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</si>
  <si>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</si>
  <si>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</si>
  <si>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</si>
  <si>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</si>
  <si>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</si>
  <si>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</si>
  <si>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</si>
  <si>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</si>
  <si>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</si>
  <si>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</si>
  <si>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</si>
  <si>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</si>
  <si>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</si>
  <si>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</si>
  <si>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</si>
  <si>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</si>
  <si>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</si>
  <si>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</si>
  <si>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</si>
  <si>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</si>
  <si>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</si>
  <si>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</si>
  <si>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</si>
  <si>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</si>
  <si>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</si>
  <si>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</si>
  <si>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</si>
  <si>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</si>
  <si>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</si>
  <si>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</si>
  <si>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</si>
  <si>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</si>
  <si>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</si>
  <si>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</si>
  <si>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</si>
  <si>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</si>
  <si>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</si>
  <si>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</si>
  <si>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</si>
  <si>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</si>
  <si>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</si>
  <si>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</si>
  <si>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</si>
  <si>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</si>
  <si>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</si>
  <si>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</si>
  <si>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</si>
  <si>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</si>
  <si>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</si>
  <si>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</si>
  <si>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</si>
  <si>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</si>
  <si>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</si>
  <si>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</si>
  <si>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</si>
  <si>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</si>
  <si>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</si>
  <si>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</si>
  <si>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</si>
  <si>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</si>
  <si>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</si>
  <si>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</si>
  <si>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</si>
  <si>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</si>
  <si>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</si>
  <si>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</si>
  <si>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</si>
  <si>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</si>
  <si>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</si>
  <si>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</si>
  <si>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</si>
  <si>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</si>
  <si>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</si>
  <si>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</si>
  <si>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</si>
  <si>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</si>
  <si>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</si>
  <si>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</si>
  <si>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</si>
  <si>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</si>
  <si>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</si>
  <si>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</si>
  <si>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</si>
  <si>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</si>
  <si>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</si>
  <si>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</si>
  <si>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</si>
  <si>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</si>
  <si>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</si>
  <si>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</si>
  <si>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</si>
  <si>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</si>
  <si>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</si>
  <si>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</si>
  <si>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</si>
  <si>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</si>
  <si>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</si>
  <si>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</si>
  <si>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</si>
  <si>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</si>
  <si>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</si>
  <si>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</si>
  <si>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</si>
  <si>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</si>
  <si>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</si>
  <si>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</si>
  <si>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</si>
  <si>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</si>
  <si>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</si>
  <si>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</si>
  <si>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</si>
  <si>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</si>
  <si>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</si>
  <si>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</si>
  <si>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</si>
  <si>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</si>
  <si>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</si>
  <si>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</si>
  <si>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</si>
  <si>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</si>
  <si>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</si>
  <si>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</si>
  <si>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</si>
  <si>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</si>
  <si>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</si>
  <si>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</si>
  <si>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</si>
  <si>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</si>
  <si>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</si>
  <si>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</si>
  <si>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</si>
  <si>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</si>
  <si>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</si>
  <si>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</si>
  <si>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</si>
  <si>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</si>
  <si>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</si>
  <si>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</si>
  <si>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</si>
  <si>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</si>
  <si>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</si>
  <si>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</si>
  <si>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</si>
  <si>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</si>
  <si>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</si>
  <si>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</si>
  <si>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</si>
  <si>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</si>
  <si>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</si>
  <si>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</si>
  <si>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</si>
  <si>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</si>
  <si>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</si>
  <si>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</si>
  <si>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</si>
  <si>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</si>
  <si>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</si>
  <si>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</si>
  <si>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</si>
  <si>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</si>
  <si>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</si>
  <si>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</si>
  <si>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</si>
  <si>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</si>
  <si>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</si>
  <si>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</si>
  <si>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</si>
  <si>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</si>
  <si>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</si>
  <si>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</si>
  <si>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</si>
  <si>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</si>
  <si>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</si>
  <si>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</si>
  <si>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</si>
  <si>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</si>
  <si>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</si>
  <si>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</si>
  <si>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</si>
  <si>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</si>
  <si>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</si>
  <si>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</si>
  <si>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</si>
  <si>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</si>
  <si>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</si>
  <si>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</si>
  <si>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</si>
  <si>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</si>
  <si>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</si>
  <si>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</si>
  <si>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</si>
  <si>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</si>
  <si>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</si>
  <si>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</si>
  <si>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</si>
  <si>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</si>
  <si>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</si>
  <si>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</si>
  <si>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</si>
  <si>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</si>
  <si>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</si>
  <si>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</si>
  <si>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</si>
  <si>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</si>
  <si>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</si>
  <si>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</si>
  <si>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</si>
  <si>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</si>
  <si>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</si>
  <si>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</si>
  <si>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</si>
  <si>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</si>
  <si>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</si>
  <si>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</si>
  <si>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</si>
  <si>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</si>
  <si>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</si>
  <si>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</si>
  <si>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</si>
  <si>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</si>
  <si>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</si>
  <si>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</si>
  <si>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</si>
  <si>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</si>
  <si>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</si>
  <si>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</si>
  <si>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</si>
  <si>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</si>
  <si>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</si>
  <si>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</si>
  <si>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</si>
  <si>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</si>
  <si>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</si>
  <si>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</si>
  <si>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</si>
  <si>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</si>
  <si>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</si>
  <si>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</si>
  <si>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</si>
  <si>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</si>
  <si>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</si>
  <si>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</si>
  <si>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</si>
  <si>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</si>
  <si>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</si>
  <si>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</si>
  <si>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</si>
  <si>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</si>
  <si>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</si>
  <si>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</si>
  <si>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</si>
  <si>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</si>
  <si>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</si>
  <si>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</si>
  <si>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</si>
  <si>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</si>
  <si>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</si>
  <si>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</si>
  <si>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</si>
  <si>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</si>
  <si>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</si>
  <si>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</si>
  <si>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</si>
  <si>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</si>
  <si>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</si>
  <si>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</si>
  <si>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</si>
  <si>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</si>
  <si>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</si>
  <si>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</si>
  <si>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</si>
  <si>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</si>
  <si>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</si>
  <si>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</si>
  <si>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</si>
  <si>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</si>
  <si>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</si>
  <si>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</si>
  <si>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</si>
  <si>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</si>
  <si>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</si>
  <si>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</si>
  <si>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</si>
  <si>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</si>
  <si>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</si>
  <si>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</si>
  <si>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</si>
  <si>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</si>
  <si>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</si>
  <si>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</si>
  <si>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</si>
  <si>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</si>
  <si>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</si>
  <si>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</si>
  <si>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</si>
  <si>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</si>
  <si>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</si>
  <si>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</si>
  <si>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</si>
  <si>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</si>
  <si>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</si>
  <si>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</si>
  <si>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</si>
  <si>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</si>
  <si>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</si>
  <si>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</si>
  <si>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</si>
  <si>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</si>
  <si>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</si>
  <si>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</si>
  <si>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</si>
  <si>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</si>
  <si>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</si>
  <si>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</si>
  <si>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</si>
  <si>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</si>
  <si>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</si>
  <si>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</si>
  <si>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</si>
  <si>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</si>
  <si>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</si>
  <si>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</si>
  <si>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</si>
  <si>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</si>
  <si>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</si>
  <si>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</si>
  <si>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</si>
  <si>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</si>
  <si>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</si>
  <si>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</si>
  <si>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</si>
  <si>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</si>
  <si>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</si>
  <si>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</si>
  <si>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</si>
  <si>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</si>
  <si>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</si>
  <si>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</si>
  <si>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</si>
  <si>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</si>
  <si>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</si>
  <si>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</si>
  <si>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</si>
  <si>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</si>
  <si>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</si>
  <si>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</si>
  <si>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</si>
  <si>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</si>
  <si>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</si>
  <si>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</si>
  <si>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</si>
  <si>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</si>
  <si>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</si>
  <si>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</si>
  <si>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</si>
  <si>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</si>
  <si>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</si>
  <si>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</si>
  <si>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</si>
  <si>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</si>
  <si>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</si>
  <si>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</si>
  <si>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</si>
  <si>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</si>
  <si>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</si>
  <si>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</si>
  <si>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</si>
  <si>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</si>
  <si>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</si>
  <si>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</si>
  <si>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</si>
  <si>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</si>
  <si>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</si>
  <si>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</si>
  <si>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</si>
  <si>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</si>
  <si>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</si>
  <si>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</si>
  <si>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</si>
  <si>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</si>
  <si>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</si>
  <si>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</si>
  <si>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</si>
  <si>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</si>
  <si>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</si>
  <si>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</si>
  <si>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</si>
  <si>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</si>
  <si>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</si>
  <si>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</si>
  <si>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</si>
  <si>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</si>
  <si>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</si>
  <si>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</si>
  <si>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</si>
  <si>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</si>
  <si>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</si>
  <si>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</si>
  <si>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</si>
  <si>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</si>
  <si>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</si>
  <si>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</si>
  <si>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</si>
  <si>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</si>
  <si>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</si>
  <si>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</si>
  <si>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</si>
  <si>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</si>
  <si>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</si>
  <si>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</si>
  <si>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</si>
  <si>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</si>
  <si>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</si>
  <si>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</si>
  <si>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</si>
  <si>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</si>
  <si>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</si>
  <si>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</si>
  <si>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</si>
  <si>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</si>
  <si>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</si>
  <si>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</si>
  <si>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</si>
  <si>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</si>
  <si>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</si>
  <si>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</si>
  <si>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</si>
  <si>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</si>
  <si>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</si>
  <si>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</si>
  <si>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</si>
  <si>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</si>
  <si>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</si>
  <si>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</si>
  <si>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</si>
  <si>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</si>
  <si>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</si>
  <si>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</si>
  <si>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</si>
  <si>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</si>
  <si>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</si>
  <si>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</si>
  <si>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</si>
  <si>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</si>
  <si>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</si>
  <si>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</si>
  <si>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</si>
  <si>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</si>
  <si>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</si>
  <si>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</si>
  <si>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</si>
  <si>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</si>
  <si>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</si>
  <si>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</si>
  <si>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</si>
  <si>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</si>
  <si>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</si>
  <si>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</si>
  <si>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</si>
  <si>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</si>
  <si>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</si>
  <si>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</si>
  <si>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</si>
  <si>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</si>
  <si>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</si>
  <si>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</si>
  <si>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</si>
  <si>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</si>
  <si>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</si>
  <si>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</si>
  <si>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</si>
  <si>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</si>
  <si>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</si>
  <si>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</si>
  <si>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</si>
  <si>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</si>
  <si>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</si>
  <si>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</si>
  <si>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</si>
  <si>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</si>
  <si>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</si>
  <si>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</si>
  <si>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</si>
  <si>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</si>
  <si>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</si>
  <si>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</si>
  <si>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</si>
  <si>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</si>
  <si>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</si>
  <si>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</si>
  <si>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</si>
  <si>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</si>
  <si>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</si>
  <si>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</si>
  <si>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</si>
  <si>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</si>
  <si>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</si>
  <si>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</si>
  <si>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</si>
  <si>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</si>
  <si>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</si>
  <si>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</si>
  <si>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</si>
  <si>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</si>
  <si>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</si>
  <si>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</si>
  <si>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</si>
  <si>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</si>
  <si>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</si>
  <si>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</si>
  <si>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</si>
  <si>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</si>
  <si>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</si>
  <si>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</si>
  <si>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</si>
  <si>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</si>
  <si>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</si>
  <si>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</si>
  <si>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</si>
  <si>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</si>
  <si>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</si>
  <si>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</si>
  <si>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</si>
  <si>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</si>
  <si>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</si>
  <si>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</si>
  <si>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</si>
  <si>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</si>
  <si>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</si>
  <si>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</si>
  <si>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</si>
  <si>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</si>
  <si>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</si>
  <si>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</si>
  <si>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</si>
  <si>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</si>
  <si>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</si>
  <si>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</si>
  <si>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</si>
  <si>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</si>
  <si>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</si>
  <si>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</si>
  <si>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</si>
  <si>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</si>
  <si>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</si>
  <si>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</si>
  <si>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</si>
  <si>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</si>
  <si>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</si>
  <si>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</si>
  <si>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</si>
  <si>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</si>
  <si>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</si>
  <si>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</si>
  <si>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</si>
  <si>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</si>
  <si>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</si>
  <si>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</si>
  <si>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</si>
  <si>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</si>
  <si>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</si>
  <si>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</si>
  <si>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</si>
  <si>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</si>
  <si>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</si>
  <si>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</si>
  <si>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</si>
  <si>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</si>
  <si>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</si>
  <si>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</si>
  <si>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</si>
  <si>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</si>
  <si>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</si>
  <si>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</si>
  <si>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</si>
  <si>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</si>
  <si>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</si>
  <si>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</si>
  <si>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</si>
  <si>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</si>
  <si>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</si>
  <si>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</si>
  <si>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</si>
  <si>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</si>
  <si>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</si>
  <si>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</si>
  <si>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</si>
  <si>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</si>
  <si>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</si>
  <si>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</si>
  <si>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</si>
  <si>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</si>
  <si>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</si>
  <si>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</si>
  <si>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</si>
  <si>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</si>
  <si>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</si>
  <si>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</si>
  <si>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</si>
  <si>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</si>
  <si>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</si>
  <si>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</si>
  <si>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</si>
  <si>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</si>
  <si>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</si>
  <si>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</si>
  <si>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</si>
  <si>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</si>
  <si>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</si>
  <si>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</si>
  <si>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</si>
  <si>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</si>
  <si>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</si>
  <si>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</si>
  <si>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</si>
  <si>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</si>
  <si>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</si>
  <si>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</si>
  <si>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</si>
  <si>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</si>
  <si>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</si>
  <si>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</si>
  <si>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</si>
  <si>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</si>
  <si>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</si>
  <si>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</si>
  <si>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</si>
  <si>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</si>
  <si>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</si>
  <si>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</si>
  <si>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</si>
  <si>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</si>
  <si>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</si>
  <si>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</si>
  <si>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</si>
  <si>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</si>
  <si>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</si>
  <si>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</si>
  <si>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</si>
  <si>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</si>
  <si>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</si>
  <si>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</si>
  <si>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</si>
  <si>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</si>
  <si>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</si>
  <si>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</si>
  <si>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</si>
  <si>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</si>
  <si>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</si>
  <si>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</si>
  <si>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</si>
  <si>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</si>
  <si>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</si>
  <si>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</si>
  <si>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</si>
  <si>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</si>
  <si>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</si>
  <si>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</si>
  <si>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</si>
  <si>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</si>
  <si>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</si>
  <si>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</si>
  <si>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</si>
  <si>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</si>
  <si>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</si>
  <si>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</si>
  <si>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</si>
  <si>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</si>
  <si>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</si>
  <si>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</si>
  <si>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</si>
  <si>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</si>
  <si>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</si>
  <si>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</si>
  <si>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</si>
  <si>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</si>
  <si>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</si>
  <si>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</si>
  <si>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</si>
  <si>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</si>
  <si>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</si>
  <si>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</si>
  <si>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</si>
  <si>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</si>
  <si>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</si>
  <si>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</si>
  <si>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</si>
  <si>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</si>
  <si>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</si>
  <si>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</si>
  <si>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</si>
  <si>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</si>
  <si>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</si>
  <si>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</si>
  <si>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</si>
  <si>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</si>
  <si>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</si>
  <si>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</si>
  <si>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</si>
  <si>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</si>
  <si>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</si>
  <si>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</si>
  <si>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</si>
  <si>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</si>
  <si>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</si>
  <si>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</si>
  <si>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</si>
  <si>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</si>
  <si>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</si>
  <si>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</si>
  <si>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</si>
  <si>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</si>
  <si>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</si>
  <si>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</si>
  <si>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</si>
  <si>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</si>
  <si>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</si>
  <si>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</si>
  <si>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</si>
  <si>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</si>
  <si>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</si>
  <si>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</si>
  <si>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</si>
  <si>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</si>
  <si>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</si>
  <si>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</si>
  <si>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</si>
  <si>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</si>
  <si>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</si>
  <si>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</si>
  <si>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</si>
  <si>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</si>
  <si>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</si>
  <si>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</si>
  <si>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</si>
  <si>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</si>
  <si>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</si>
  <si>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</si>
  <si>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</si>
  <si>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</si>
  <si>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</si>
  <si>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</si>
  <si>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</si>
  <si>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</si>
  <si>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</si>
  <si>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</si>
  <si>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</si>
  <si>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</si>
  <si>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</si>
  <si>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</si>
  <si>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</si>
  <si>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</si>
  <si>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</si>
  <si>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</si>
  <si>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</si>
  <si>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</si>
  <si>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</si>
  <si>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</si>
  <si>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</si>
  <si>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</si>
  <si>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</si>
  <si>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</si>
  <si>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</si>
  <si>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</si>
  <si>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</si>
  <si>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</si>
  <si>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</si>
  <si>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</si>
  <si>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</si>
  <si>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</si>
  <si>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</si>
  <si>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</si>
  <si>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</si>
  <si>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</si>
  <si>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</si>
  <si>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</si>
  <si>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</si>
  <si>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</si>
  <si>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</si>
  <si>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</si>
  <si>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</si>
  <si>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</si>
  <si>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</si>
  <si>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</si>
  <si>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</si>
  <si>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</si>
  <si>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</si>
  <si>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</si>
  <si>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</si>
  <si>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</si>
  <si>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</si>
  <si>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</si>
  <si>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</si>
  <si>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</si>
  <si>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</si>
  <si>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</si>
  <si>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</si>
  <si>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</si>
  <si>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</si>
  <si>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</si>
  <si>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</si>
  <si>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</si>
  <si>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</si>
  <si>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</si>
  <si>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</si>
  <si>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</si>
  <si>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</si>
  <si>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</si>
  <si>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</si>
  <si>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</si>
  <si>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</si>
  <si>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</si>
  <si>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</si>
  <si>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</si>
  <si>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</si>
  <si>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</si>
  <si>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</si>
  <si>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</si>
  <si>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</si>
  <si>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</si>
  <si>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</si>
  <si>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</si>
  <si>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</si>
  <si>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</si>
  <si>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</si>
  <si>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</si>
  <si>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</si>
  <si>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</si>
  <si>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</si>
  <si>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</si>
  <si>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</si>
  <si>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</si>
  <si>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</si>
  <si>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</si>
  <si>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</si>
  <si>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</si>
  <si>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</si>
  <si>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</si>
  <si>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</si>
  <si>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</si>
  <si>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</si>
  <si>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</si>
  <si>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</si>
  <si>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</si>
  <si>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</si>
  <si>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</si>
  <si>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</si>
  <si>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</si>
  <si>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</si>
  <si>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</si>
  <si>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</si>
  <si>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</si>
  <si>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</si>
  <si>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</si>
  <si>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</si>
  <si>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</si>
  <si>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</si>
  <si>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</si>
  <si>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</si>
  <si>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</si>
  <si>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</si>
  <si>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</si>
  <si>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</si>
  <si>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</si>
  <si>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</si>
  <si>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</si>
  <si>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</si>
  <si>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</si>
  <si>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</si>
  <si>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</si>
  <si>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</si>
  <si>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</si>
  <si>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</si>
  <si>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</si>
  <si>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</si>
  <si>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</si>
  <si>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</si>
  <si>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</si>
  <si>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</si>
  <si>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</si>
  <si>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</si>
  <si>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</si>
  <si>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</si>
  <si>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</si>
  <si>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</si>
  <si>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</si>
  <si>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</si>
  <si>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</si>
  <si>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</si>
  <si>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</si>
  <si>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</si>
  <si>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</si>
  <si>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</si>
  <si>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</si>
  <si>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</si>
  <si>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</si>
  <si>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</si>
  <si>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</si>
  <si>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</si>
  <si>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</si>
  <si>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</si>
  <si>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</si>
  <si>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</si>
  <si>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</si>
  <si>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</si>
  <si>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</si>
  <si>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</si>
  <si>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</si>
  <si>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</si>
  <si>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</si>
  <si>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</si>
  <si>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</si>
  <si>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</si>
  <si>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</si>
  <si>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</si>
  <si>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</si>
  <si>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</si>
  <si>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</si>
  <si>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</si>
  <si>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</si>
  <si>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</si>
  <si>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</si>
  <si>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</si>
  <si>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</si>
  <si>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</si>
  <si>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</si>
  <si>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</si>
  <si>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</si>
  <si>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</si>
  <si>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</si>
  <si>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</si>
  <si>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</si>
  <si>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</si>
  <si>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</si>
  <si>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</si>
  <si>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</si>
  <si>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</si>
  <si>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</si>
  <si>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</si>
  <si>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</si>
  <si>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</si>
  <si>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</si>
  <si>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</si>
  <si>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</si>
  <si>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</si>
  <si>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</si>
  <si>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</si>
  <si>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</si>
  <si>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</si>
  <si>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</si>
  <si>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</si>
  <si>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</si>
  <si>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</si>
  <si>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</si>
  <si>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</si>
  <si>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</si>
  <si>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</si>
  <si>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</si>
  <si>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</si>
  <si>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</si>
  <si>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</si>
  <si>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</si>
  <si>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</si>
  <si>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</si>
  <si>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</si>
  <si>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</si>
  <si>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</si>
  <si>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</si>
  <si>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</si>
  <si>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</si>
  <si>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</si>
  <si>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</si>
  <si>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</si>
  <si>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</si>
  <si>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</si>
  <si>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</si>
  <si>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</si>
  <si>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</si>
  <si>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</si>
  <si>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</si>
  <si>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</si>
  <si>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</si>
  <si>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</si>
  <si>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</si>
  <si>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</si>
  <si>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</si>
  <si>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</si>
  <si>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</si>
  <si>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</si>
  <si>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</si>
  <si>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</si>
  <si>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</si>
  <si>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</si>
  <si>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</si>
  <si>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</si>
  <si>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</si>
  <si>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</si>
  <si>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</si>
  <si>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</si>
  <si>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</si>
  <si>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</si>
  <si>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</si>
  <si>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</si>
  <si>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</si>
  <si>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</si>
  <si>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</si>
  <si>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</si>
  <si>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</si>
  <si>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</si>
  <si>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</si>
  <si>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</si>
  <si>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</si>
  <si>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</si>
  <si>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</si>
  <si>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</si>
  <si>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</si>
  <si>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</si>
  <si>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</si>
  <si>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</si>
  <si>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</si>
  <si>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</si>
  <si>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</si>
  <si>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</si>
  <si>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</si>
  <si>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</si>
  <si>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</si>
  <si>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</si>
  <si>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</si>
  <si>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</si>
  <si>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</si>
  <si>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</si>
  <si>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</si>
  <si>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</si>
  <si>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</si>
  <si>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</si>
  <si>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</si>
  <si>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</si>
  <si>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</si>
  <si>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</si>
  <si>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</si>
  <si>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</si>
  <si>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</si>
  <si>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</si>
  <si>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</si>
  <si>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</si>
  <si>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</si>
  <si>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</si>
  <si>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</si>
  <si>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</si>
  <si>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</si>
  <si>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</si>
  <si>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</si>
  <si>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</si>
  <si>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</si>
  <si>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</si>
  <si>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</si>
  <si>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</si>
  <si>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</si>
  <si>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</si>
  <si>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</si>
  <si>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</si>
  <si>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</si>
  <si>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</si>
  <si>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</si>
  <si>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</si>
  <si>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</si>
  <si>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</si>
  <si>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</si>
  <si>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</si>
  <si>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</si>
  <si>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</si>
  <si>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</si>
  <si>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</si>
  <si>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</si>
  <si>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</si>
  <si>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</si>
  <si>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</si>
  <si>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</si>
  <si>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</si>
  <si>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</si>
  <si>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</si>
  <si>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</si>
  <si>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</si>
  <si>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</si>
  <si>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</si>
  <si>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</si>
  <si>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</si>
  <si>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</si>
  <si>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</si>
  <si>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</si>
  <si>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</si>
  <si>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</si>
  <si>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</si>
  <si>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</si>
  <si>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</si>
  <si>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</si>
  <si>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</si>
  <si>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</si>
  <si>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</si>
  <si>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</si>
  <si>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</si>
  <si>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</si>
  <si>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</si>
  <si>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</si>
  <si>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</si>
  <si>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</si>
  <si>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</si>
  <si>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</si>
  <si>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</si>
  <si>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</si>
  <si>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</si>
  <si>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</si>
  <si>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</si>
  <si>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</si>
  <si>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</si>
  <si>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</si>
  <si>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</si>
  <si>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</si>
  <si>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</si>
  <si>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</si>
  <si>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</si>
  <si>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</si>
  <si>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</si>
  <si>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</si>
  <si>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</si>
  <si>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</si>
  <si>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</si>
  <si>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</si>
  <si>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</si>
  <si>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</si>
  <si>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</si>
  <si>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</si>
  <si>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</si>
  <si>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</si>
  <si>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</si>
  <si>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</si>
  <si>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</si>
  <si>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</si>
  <si>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</si>
  <si>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</si>
  <si>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</si>
  <si>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</si>
  <si>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</si>
  <si>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</si>
  <si>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</si>
  <si>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</si>
  <si>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</si>
  <si>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</si>
  <si>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</si>
  <si>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</si>
  <si>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</si>
  <si>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</si>
  <si>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</si>
  <si>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</si>
  <si>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</si>
  <si>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</si>
  <si>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</si>
  <si>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</si>
  <si>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</si>
  <si>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</si>
  <si>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</si>
  <si>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</si>
  <si>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</si>
  <si>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</si>
  <si>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</si>
  <si>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</si>
  <si>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</si>
  <si>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</si>
  <si>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</si>
  <si>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</si>
  <si>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</si>
  <si>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</si>
  <si>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</si>
  <si>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</si>
  <si>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</si>
  <si>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</si>
  <si>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</si>
  <si>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</si>
  <si>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</si>
  <si>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</si>
  <si>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</si>
  <si>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</si>
  <si>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</si>
  <si>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</si>
  <si>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</si>
  <si>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</si>
  <si>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</si>
  <si>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</si>
  <si>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</si>
  <si>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</si>
  <si>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</si>
  <si>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</si>
  <si>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</si>
  <si>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</si>
  <si>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</si>
  <si>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</si>
  <si>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</si>
  <si>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</si>
  <si>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</si>
  <si>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</si>
  <si>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</si>
  <si>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</si>
  <si>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</si>
  <si>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</si>
  <si>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</si>
  <si>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</si>
  <si>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</si>
  <si>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</si>
  <si>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</si>
  <si>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</si>
  <si>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</si>
  <si>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</si>
  <si>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</si>
  <si>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</si>
  <si>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</si>
  <si>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</si>
  <si>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</si>
  <si>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</si>
  <si>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</si>
  <si>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</si>
  <si>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</si>
  <si>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</si>
  <si>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</si>
  <si>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</si>
  <si>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</si>
  <si>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</si>
  <si>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</si>
  <si>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</si>
  <si>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</si>
  <si>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</si>
  <si>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</si>
  <si>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</si>
  <si>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</si>
  <si>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</si>
  <si>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</si>
  <si>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</si>
  <si>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</si>
  <si>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</si>
  <si>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</si>
  <si>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</si>
  <si>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</si>
  <si>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</si>
  <si>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</si>
  <si>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</si>
  <si>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</si>
  <si>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</si>
  <si>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</si>
  <si>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</si>
  <si>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</si>
  <si>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</si>
  <si>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</si>
  <si>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</si>
  <si>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</si>
  <si>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</si>
  <si>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</si>
  <si>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</si>
  <si>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</si>
  <si>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</si>
  <si>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</si>
  <si>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</si>
  <si>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</si>
  <si>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</si>
  <si>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</si>
  <si>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</si>
  <si>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</si>
  <si>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</si>
  <si>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</si>
  <si>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</si>
  <si>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</si>
  <si>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</si>
  <si>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</si>
  <si>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</si>
  <si>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</si>
  <si>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</si>
  <si>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</si>
  <si>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</si>
  <si>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</si>
  <si>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</si>
  <si>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</si>
  <si>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</si>
  <si>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</si>
  <si>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</si>
  <si>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</si>
  <si>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</si>
  <si>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</si>
  <si>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</si>
  <si>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</si>
  <si>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</si>
  <si>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</si>
  <si>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</si>
  <si>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</si>
  <si>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</si>
  <si>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</si>
  <si>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</si>
  <si>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</si>
  <si>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</si>
  <si>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</si>
  <si>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</si>
  <si>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</si>
  <si>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</si>
  <si>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</si>
  <si>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</si>
  <si>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</si>
  <si>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</si>
  <si>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</si>
  <si>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</si>
  <si>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</si>
  <si>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</si>
  <si>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</si>
  <si>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</si>
  <si>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</si>
  <si>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</si>
  <si>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</si>
  <si>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</si>
  <si>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</si>
  <si>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</si>
  <si>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</si>
  <si>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</si>
  <si>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</si>
  <si>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</si>
  <si>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</si>
  <si>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</si>
  <si>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</si>
  <si>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</si>
  <si>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</si>
  <si>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</si>
  <si>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</si>
  <si>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</si>
  <si>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</si>
  <si>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</si>
  <si>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</si>
  <si>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</si>
  <si>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</si>
  <si>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</si>
  <si>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</si>
  <si>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</si>
  <si>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</si>
  <si>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</si>
  <si>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</si>
  <si>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</si>
  <si>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</si>
  <si>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</si>
  <si>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</si>
  <si>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</si>
  <si>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</si>
  <si>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</si>
  <si>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</si>
  <si>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</si>
  <si>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</si>
  <si>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</si>
  <si>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</si>
  <si>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</si>
  <si>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</si>
  <si>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</si>
  <si>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</si>
  <si>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</si>
  <si>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</si>
  <si>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</si>
  <si>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</si>
  <si>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</si>
  <si>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</si>
  <si>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</si>
  <si>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</si>
  <si>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</si>
  <si>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</si>
  <si>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</si>
  <si>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</si>
  <si>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</si>
  <si>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</si>
  <si>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</si>
  <si>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</si>
  <si>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</si>
  <si>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</si>
  <si>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</si>
  <si>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</si>
  <si>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</si>
  <si>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</si>
  <si>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</si>
  <si>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</si>
  <si>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</si>
  <si>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</si>
  <si>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</si>
  <si>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</si>
  <si>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</si>
  <si>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</si>
  <si>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</si>
  <si>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</si>
  <si>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</si>
  <si>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</si>
  <si>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</si>
  <si>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</si>
  <si>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</si>
  <si>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</si>
  <si>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</si>
  <si>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</si>
  <si>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</si>
  <si>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</si>
  <si>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</si>
  <si>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</si>
  <si>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</si>
  <si>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</si>
  <si>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</si>
  <si>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</si>
  <si>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</si>
  <si>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</si>
  <si>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</si>
  <si>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</si>
  <si>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</si>
  <si>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</si>
  <si>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</si>
  <si>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</si>
  <si>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</si>
  <si>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</si>
  <si>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</si>
  <si>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</si>
  <si>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</si>
  <si>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</si>
  <si>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</si>
  <si>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</si>
  <si>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</si>
  <si>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</si>
  <si>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</si>
  <si>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</si>
  <si>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</si>
  <si>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</si>
  <si>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</si>
  <si>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</si>
  <si>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</si>
  <si>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</si>
  <si>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</si>
  <si>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</si>
  <si>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</si>
  <si>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</si>
  <si>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</si>
  <si>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</si>
  <si>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</si>
  <si>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</si>
  <si>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</si>
  <si>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</si>
  <si>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</si>
  <si>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</si>
  <si>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</si>
  <si>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</si>
  <si>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</si>
  <si>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</si>
  <si>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</si>
  <si>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</si>
  <si>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</si>
  <si>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</si>
  <si>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</si>
  <si>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</si>
  <si>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</si>
  <si>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</si>
  <si>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</si>
  <si>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</si>
  <si>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</si>
  <si>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</si>
  <si>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</si>
  <si>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</si>
  <si>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</si>
  <si>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</si>
  <si>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</si>
  <si>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</si>
  <si>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</si>
  <si>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</si>
  <si>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</si>
  <si>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</si>
  <si>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</si>
  <si>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</si>
  <si>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</si>
  <si>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</si>
  <si>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</si>
  <si>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</si>
  <si>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</si>
  <si>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</si>
  <si>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</si>
  <si>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</si>
  <si>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</si>
  <si>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</si>
  <si>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</si>
  <si>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</si>
  <si>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</si>
  <si>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</si>
  <si>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</si>
  <si>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</si>
  <si>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</si>
  <si>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</si>
  <si>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</si>
  <si>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</si>
  <si>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</si>
  <si>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</si>
  <si>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</si>
  <si>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</si>
  <si>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</si>
  <si>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</si>
  <si>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商业</t>
  </si>
  <si>
    <t>出让</t>
  </si>
  <si>
    <t>否</t>
  </si>
  <si>
    <t>地上</t>
  </si>
  <si>
    <t>比较法-住宅、综合</t>
  </si>
  <si>
    <t>剩余法-待开发</t>
  </si>
  <si>
    <t>项目局部</t>
  </si>
  <si>
    <t>土地</t>
  </si>
  <si>
    <t>海口监测指标情况一览表</t>
  </si>
  <si>
    <t>时间</t>
  </si>
  <si>
    <t>水平值</t>
  </si>
  <si>
    <t>环比增长率</t>
  </si>
  <si>
    <t>指数</t>
  </si>
  <si>
    <t>住宅</t>
    <phoneticPr fontId="7" type="noConversion"/>
  </si>
  <si>
    <t>楼面地价</t>
  </si>
  <si>
    <t>正常</t>
  </si>
  <si>
    <t>70年</t>
  </si>
  <si>
    <t>海南天源地福房地产有限公司</t>
  </si>
  <si>
    <t>万让告字[2015]4号</t>
  </si>
  <si>
    <t>2015-09-02</t>
  </si>
  <si>
    <t>大于1并且小于或等于2.5</t>
  </si>
  <si>
    <t>中低价位、中小套型普通商品住房用地</t>
  </si>
  <si>
    <t>万让2013-15-1(A)号地块</t>
  </si>
  <si>
    <t>挂牌</t>
  </si>
  <si>
    <t>万城镇望海大道南侧</t>
  </si>
  <si>
    <t>万宁市</t>
  </si>
  <si>
    <t>住宅用地</t>
  </si>
  <si>
    <t>省直辖县级行政单位</t>
  </si>
  <si>
    <t>万让2013-15-1(B)号地块</t>
  </si>
  <si>
    <t>万宁南山融创实业有限公司</t>
  </si>
  <si>
    <t>万让告字[2015]6号</t>
  </si>
  <si>
    <t>2015-11-20</t>
  </si>
  <si>
    <t>大于1并且小于或等于1.8</t>
  </si>
  <si>
    <t>其他普通商品住房用地</t>
  </si>
  <si>
    <t>日月湾L-R2号地块</t>
  </si>
  <si>
    <t>日月湾日岛</t>
  </si>
  <si>
    <t>赵九州</t>
  </si>
  <si>
    <t>万让告字[2015]8号</t>
  </si>
  <si>
    <t>2015-12-25</t>
  </si>
  <si>
    <t>大于1并且小于或等于1.01</t>
  </si>
  <si>
    <t>万让2015-20号地块</t>
  </si>
  <si>
    <t>兴隆农贸市场北侧地段</t>
  </si>
  <si>
    <t>万宁市城乡发展有限公司</t>
  </si>
  <si>
    <t>万让告字[2016]1号</t>
  </si>
  <si>
    <t>2016-02-16</t>
  </si>
  <si>
    <t>万让2012-21-1号地块</t>
  </si>
  <si>
    <t>兴隆旅游度假区莲兴大道南侧、碑头水库北侧</t>
  </si>
  <si>
    <t>大于1并且小于或等于1.1</t>
  </si>
  <si>
    <t>万让2015-43-1号地块</t>
  </si>
  <si>
    <t>龙滚镇福塘村委会分洪口南岸</t>
  </si>
  <si>
    <t>万让2015-44-1号地块</t>
  </si>
  <si>
    <t>出让年限</t>
  </si>
  <si>
    <t>溢价率</t>
  </si>
  <si>
    <t>成交楼面价(元/㎡)</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</si>
  <si>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</si>
  <si>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</si>
  <si>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</si>
  <si>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</si>
  <si>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</si>
  <si>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</si>
  <si>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</si>
  <si>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</si>
  <si>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</si>
  <si>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</si>
  <si>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</si>
  <si>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</si>
  <si>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</si>
  <si>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</si>
  <si>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t>中诚信托有限责任公司</t>
    <phoneticPr fontId="6" type="noConversion"/>
  </si>
  <si>
    <t>海南明远置业有限公司</t>
    <phoneticPr fontId="6" type="noConversion"/>
  </si>
  <si>
    <t>海南省</t>
    <phoneticPr fontId="6" type="noConversion"/>
  </si>
  <si>
    <t>万宁市东澳镇老爷海北岸西桥东北侧</t>
    <phoneticPr fontId="6" type="noConversion"/>
  </si>
  <si>
    <t>其他：</t>
  </si>
  <si>
    <t>企业</t>
  </si>
  <si>
    <t>抵押</t>
  </si>
  <si>
    <t>抵押价格</t>
  </si>
  <si>
    <t>住宅</t>
    <phoneticPr fontId="6" type="noConversion"/>
  </si>
  <si>
    <t>《国有土地使用证》[万国用（2010）第105026号]</t>
    <phoneticPr fontId="6" type="noConversion"/>
  </si>
  <si>
    <t>《国有建设用地使用权出让合同》[电子监管号：4690062009B00477]及附件</t>
    <phoneticPr fontId="6" type="noConversion"/>
  </si>
  <si>
    <t>符合</t>
  </si>
  <si>
    <t>一致</t>
  </si>
  <si>
    <t>住宅61.7年</t>
    <phoneticPr fontId="6" type="noConversion"/>
  </si>
  <si>
    <t>居住项目</t>
  </si>
  <si>
    <t>场地未平整</t>
  </si>
  <si>
    <t>鱼塘、建筑物、绿植</t>
    <phoneticPr fontId="6" type="noConversion"/>
  </si>
  <si>
    <t>未平整</t>
  </si>
  <si>
    <t>通路</t>
  </si>
  <si>
    <t>通电</t>
  </si>
  <si>
    <t>通讯</t>
  </si>
  <si>
    <t>通上水</t>
  </si>
  <si>
    <t>燃气</t>
  </si>
  <si>
    <t>请录依据文件名称：万宁市人民政府关于调整城市基础设施配套费征收标准的通知 万府〔2010〕28号</t>
    <phoneticPr fontId="3" type="noConversion"/>
  </si>
  <si>
    <t>70</t>
    <phoneticPr fontId="26" type="noConversion"/>
  </si>
  <si>
    <t>较规则</t>
    <phoneticPr fontId="26" type="noConversion"/>
  </si>
  <si>
    <t>较不规则</t>
    <phoneticPr fontId="26" type="noConversion"/>
  </si>
  <si>
    <t>五通一平</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</si>
  <si>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</si>
  <si>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</si>
  <si>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</si>
  <si>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</si>
  <si>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</si>
  <si>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</si>
  <si>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平整费</t>
    <phoneticPr fontId="9" type="noConversion"/>
  </si>
  <si>
    <t>售价</t>
  </si>
  <si>
    <t>较差</t>
  </si>
  <si>
    <t>一般</t>
  </si>
  <si>
    <t>六通</t>
  </si>
  <si>
    <t>精装修</t>
  </si>
  <si>
    <t>精装修</t>
    <phoneticPr fontId="21" type="noConversion"/>
  </si>
  <si>
    <t>简装</t>
  </si>
  <si>
    <t>简装</t>
    <phoneticPr fontId="21" type="noConversion"/>
  </si>
  <si>
    <t>毛坯</t>
    <phoneticPr fontId="21" type="noConversion"/>
  </si>
  <si>
    <t>平层</t>
  </si>
  <si>
    <t>平层</t>
    <phoneticPr fontId="21" type="noConversion"/>
  </si>
  <si>
    <t>多层</t>
  </si>
  <si>
    <t>多层</t>
    <phoneticPr fontId="21" type="noConversion"/>
  </si>
  <si>
    <t>小高层</t>
  </si>
  <si>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</si>
  <si>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</si>
  <si>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</si>
  <si>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</si>
  <si>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</si>
  <si>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</si>
  <si>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</si>
  <si>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</si>
  <si>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专业</t>
  </si>
  <si>
    <t>专业</t>
    <phoneticPr fontId="21" type="noConversion"/>
  </si>
  <si>
    <t>六通</t>
    <phoneticPr fontId="21" type="noConversion"/>
  </si>
  <si>
    <t>住宅</t>
    <phoneticPr fontId="21" type="noConversion"/>
  </si>
  <si>
    <t>60-70（含）</t>
  </si>
  <si>
    <t>跃层</t>
  </si>
  <si>
    <t>跃层</t>
    <phoneticPr fontId="21" type="noConversion"/>
  </si>
  <si>
    <t>省会市名称</t>
  </si>
  <si>
    <t>建筑型式</t>
  </si>
  <si>
    <t>说明</t>
  </si>
  <si>
    <t>海口</t>
  </si>
  <si>
    <t>2975</t>
  </si>
  <si>
    <t>2865</t>
  </si>
  <si>
    <t>3119</t>
  </si>
  <si>
    <t xml:space="preserve">1.下半年较上半年钢筋和水泥出现一定程度上涨。
2.小高层和高层：框剪结构、钻孔灌注桩，包含电梯，钢化玻璃铝合金门窗，执行全装修标准。
</t>
  </si>
  <si>
    <r>
      <rPr>
        <sz val="11"/>
        <rFont val="宋体"/>
        <family val="3"/>
        <charset val="134"/>
      </rPr>
      <t>装修标准</t>
    </r>
    <r>
      <rPr>
        <sz val="11"/>
        <rFont val="Arial"/>
        <family val="2"/>
      </rPr>
      <t>3000</t>
    </r>
    <phoneticPr fontId="21" type="noConversion"/>
  </si>
  <si>
    <r>
      <rPr>
        <sz val="11"/>
        <rFont val="宋体"/>
        <family val="3"/>
        <charset val="134"/>
      </rPr>
      <t>装修标准2</t>
    </r>
    <r>
      <rPr>
        <sz val="11"/>
        <rFont val="Arial"/>
        <family val="2"/>
      </rPr>
      <t>000</t>
    </r>
    <phoneticPr fontId="21" type="noConversion"/>
  </si>
  <si>
    <t>低层</t>
    <phoneticPr fontId="21" type="noConversion"/>
  </si>
  <si>
    <r>
      <t>12</t>
    </r>
    <r>
      <rPr>
        <sz val="11"/>
        <color indexed="8"/>
        <rFont val="宋体"/>
        <family val="3"/>
        <charset val="134"/>
      </rPr>
      <t>、</t>
    </r>
    <r>
      <rPr>
        <sz val="11"/>
        <color indexed="8"/>
        <rFont val="Arial"/>
        <family val="2"/>
      </rPr>
      <t>15</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</si>
  <si>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r>
      <t>1</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层（</t>
    </r>
    <r>
      <rPr>
        <sz val="11"/>
        <color indexed="8"/>
        <rFont val="Arial"/>
        <family val="2"/>
      </rPr>
      <t>6</t>
    </r>
    <r>
      <rPr>
        <sz val="11"/>
        <color indexed="8"/>
        <rFont val="宋体"/>
        <family val="3"/>
        <charset val="134"/>
      </rPr>
      <t>层）</t>
    </r>
    <phoneticPr fontId="21" type="noConversion"/>
  </si>
  <si>
    <r>
      <t>18-19</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</si>
  <si>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t>楼层</t>
    <phoneticPr fontId="21" type="noConversion"/>
  </si>
  <si>
    <t>中层</t>
    <phoneticPr fontId="21" type="noConversion"/>
  </si>
  <si>
    <t>无海景</t>
    <phoneticPr fontId="21" type="noConversion"/>
  </si>
  <si>
    <t>其他普通商品住房用地</t>
    <phoneticPr fontId="233" type="noConversion"/>
  </si>
  <si>
    <t>海景</t>
    <phoneticPr fontId="21" type="noConversion"/>
  </si>
  <si>
    <t>一线海景</t>
    <phoneticPr fontId="21" type="noConversion"/>
  </si>
  <si>
    <t>较规则</t>
  </si>
  <si>
    <t>龙滚镇福塘村委会分洪口南岸</t>
    <phoneticPr fontId="233" type="noConversion"/>
  </si>
  <si>
    <t>支路</t>
  </si>
  <si>
    <t>莲兴路</t>
    <phoneticPr fontId="26" type="noConversion"/>
  </si>
  <si>
    <t>莲兴路</t>
    <phoneticPr fontId="26" type="noConversion"/>
  </si>
  <si>
    <r>
      <rPr>
        <sz val="10"/>
        <rFont val="宋体"/>
        <family val="3"/>
        <charset val="134"/>
      </rPr>
      <t>由竞得人自行平整</t>
    </r>
    <r>
      <rPr>
        <sz val="10"/>
        <rFont val="Arial"/>
        <family val="2"/>
      </rPr>
      <t xml:space="preserve"> </t>
    </r>
    <r>
      <rPr>
        <sz val="10"/>
        <rFont val="宋体"/>
        <family val="3"/>
        <charset val="134"/>
      </rPr>
      <t>基础设施：按现状出让</t>
    </r>
    <phoneticPr fontId="233" type="noConversion"/>
  </si>
  <si>
    <t>保利一号</t>
    <phoneticPr fontId="3" type="noConversion"/>
  </si>
  <si>
    <r>
      <rPr>
        <sz val="11"/>
        <color theme="9" tint="-0.249977111117893"/>
        <rFont val="仿宋_GB2312"/>
        <family val="3"/>
        <charset val="134"/>
      </rPr>
      <t>保利一号</t>
    </r>
    <phoneticPr fontId="3" type="noConversion"/>
  </si>
  <si>
    <t xml:space="preserve">龙憩·园中园 </t>
    <phoneticPr fontId="3" type="noConversion"/>
  </si>
  <si>
    <t>兴隆旅游度假区兴梅大道中段西侧</t>
    <phoneticPr fontId="3" type="noConversion"/>
  </si>
  <si>
    <t>神州半岛旅游度假区</t>
    <phoneticPr fontId="3" type="noConversion"/>
  </si>
  <si>
    <r>
      <rPr>
        <sz val="10"/>
        <rFont val="宋体"/>
        <family val="3"/>
        <charset val="134"/>
      </rPr>
      <t>万让</t>
    </r>
    <r>
      <rPr>
        <sz val="10"/>
        <rFont val="Arial"/>
        <family val="2"/>
      </rPr>
      <t>2012-21-2</t>
    </r>
    <r>
      <rPr>
        <sz val="10"/>
        <rFont val="宋体"/>
        <family val="3"/>
        <charset val="134"/>
      </rPr>
      <t>号地块</t>
    </r>
    <phoneticPr fontId="233" type="noConversion"/>
  </si>
  <si>
    <t>http://www.mlr.gov.cn/tdsc/land/crgg/zzyd/201601/t20160122_5289260.htm</t>
    <phoneticPr fontId="233" type="noConversion"/>
  </si>
  <si>
    <t>高区</t>
    <phoneticPr fontId="21" type="noConversion"/>
  </si>
  <si>
    <t>中区</t>
    <phoneticPr fontId="21" type="noConversion"/>
  </si>
  <si>
    <t>楼层</t>
    <phoneticPr fontId="21" type="noConversion"/>
  </si>
  <si>
    <t>低区</t>
    <phoneticPr fontId="21" type="noConversion"/>
  </si>
  <si>
    <t>五通一平</t>
  </si>
  <si>
    <t>五通，未平整</t>
    <phoneticPr fontId="26" type="noConversion"/>
  </si>
  <si>
    <t>五通，未平整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</si>
</sst>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1"/>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s>
  <borders count="15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4" fillId="0" borderId="156" xfId="0" applyFont="1" applyFill="1" applyBorder="1" applyAlignment="1">
      <alignment horizontal="center" vertical="top" wrapText="1"/>
    </xf>
    <xf numFmtId="0" fontId="134" fillId="0" borderId="158" xfId="0" applyFont="1" applyFill="1" applyBorder="1" applyAlignment="1">
      <alignment horizontal="center" vertical="top" wrapText="1"/>
    </xf>
    <xf numFmtId="0" fontId="134" fillId="0" borderId="157" xfId="0" applyFont="1" applyFill="1" applyBorder="1" applyAlignment="1">
      <alignment horizontal="center" vertical="top" wrapText="1"/>
    </xf>
    <xf numFmtId="0" fontId="82" fillId="0" borderId="157" xfId="0" applyFont="1" applyFill="1" applyBorder="1" applyAlignment="1">
      <alignment vertical="top" wrapText="1"/>
    </xf>
    <xf numFmtId="0" fontId="84" fillId="5" borderId="69" xfId="0" applyNumberFormat="1"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54" xfId="0" applyNumberFormat="1"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0" fontId="86" fillId="19" borderId="0" xfId="15" applyFill="1"/>
    <xf numFmtId="0" fontId="127" fillId="19" borderId="0" xfId="15"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44" fillId="0" borderId="24" xfId="0" applyNumberFormat="1" applyFont="1" applyFill="1" applyBorder="1" applyAlignment="1" applyProtection="1">
      <alignment horizontal="center" vertical="center" wrapText="1"/>
      <protection locked="0"/>
    </xf>
    <xf numFmtId="0" fontId="127" fillId="6" borderId="0" xfId="15" applyFont="1" applyFill="1"/>
    <xf numFmtId="0" fontId="153" fillId="2" borderId="50"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0" fontId="71" fillId="7" borderId="46"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281" fillId="17" borderId="0" xfId="21" applyFill="1" applyBorder="1" applyAlignment="1">
      <alignment horizontal="center"/>
    </xf>
    <xf numFmtId="0" fontId="52" fillId="7" borderId="5" xfId="0" applyFont="1" applyFill="1" applyBorder="1" applyAlignment="1" applyProtection="1">
      <alignment horizontal="center" vertical="center" wrapText="1"/>
    </xf>
    <xf numFmtId="0" fontId="84" fillId="9" borderId="1" xfId="0" applyFont="1" applyFill="1" applyBorder="1" applyAlignment="1" applyProtection="1">
      <alignment horizontal="center" vertical="center" wrapText="1"/>
      <protection locked="0"/>
    </xf>
    <xf numFmtId="183" fontId="71" fillId="7" borderId="62" xfId="0" applyNumberFormat="1" applyFont="1" applyFill="1" applyBorder="1" applyAlignment="1" applyProtection="1">
      <alignment horizontal="center" vertical="center" wrapText="1"/>
      <protection locked="0"/>
    </xf>
    <xf numFmtId="0" fontId="71" fillId="7" borderId="49" xfId="0" applyNumberFormat="1" applyFont="1" applyFill="1" applyBorder="1" applyAlignment="1" applyProtection="1">
      <alignment horizontal="center" vertical="center" wrapText="1"/>
    </xf>
    <xf numFmtId="183" fontId="71" fillId="7" borderId="33" xfId="0" applyNumberFormat="1" applyFont="1" applyFill="1" applyBorder="1" applyAlignment="1" applyProtection="1">
      <alignment horizontal="center" vertical="center" wrapText="1"/>
      <protection locked="0"/>
    </xf>
    <xf numFmtId="0" fontId="71" fillId="7" borderId="34" xfId="0" applyNumberFormat="1"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1" fillId="9" borderId="4" xfId="0" applyFont="1" applyFill="1" applyBorder="1" applyAlignment="1" applyProtection="1">
      <alignment horizontal="center" vertical="center" wrapText="1"/>
      <protection locked="0"/>
    </xf>
    <xf numFmtId="0" fontId="81" fillId="9" borderId="50" xfId="0" applyNumberFormat="1" applyFont="1" applyFill="1" applyBorder="1" applyAlignment="1" applyProtection="1">
      <alignment horizontal="center" vertical="center" wrapText="1"/>
      <protection locked="0"/>
    </xf>
    <xf numFmtId="0" fontId="71" fillId="9" borderId="51" xfId="0" applyNumberFormat="1" applyFont="1" applyFill="1" applyBorder="1" applyAlignment="1" applyProtection="1">
      <alignment horizontal="center" vertical="center" wrapText="1"/>
    </xf>
    <xf numFmtId="49" fontId="81" fillId="9" borderId="20" xfId="0" applyNumberFormat="1" applyFont="1" applyFill="1" applyBorder="1" applyAlignment="1" applyProtection="1">
      <alignment horizontal="center" vertical="center" wrapText="1"/>
      <protection locked="0"/>
    </xf>
    <xf numFmtId="0" fontId="71" fillId="9" borderId="17" xfId="0" applyNumberFormat="1" applyFont="1" applyFill="1" applyBorder="1" applyAlignment="1" applyProtection="1">
      <alignment horizontal="center" vertical="center" wrapText="1"/>
    </xf>
    <xf numFmtId="49" fontId="81"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xf>
    <xf numFmtId="0" fontId="86" fillId="9" borderId="51" xfId="2" applyNumberFormat="1" applyFont="1" applyFill="1" applyBorder="1" applyAlignment="1" applyProtection="1">
      <alignment horizontal="center" vertical="center"/>
      <protection locked="0"/>
    </xf>
    <xf numFmtId="0" fontId="81" fillId="7" borderId="45" xfId="0" applyFont="1" applyFill="1" applyBorder="1" applyAlignment="1" applyProtection="1">
      <alignment horizontal="center" vertical="center" wrapText="1"/>
      <protection locked="0"/>
    </xf>
    <xf numFmtId="0" fontId="144" fillId="7" borderId="54" xfId="0" applyNumberFormat="1" applyFont="1" applyFill="1" applyBorder="1" applyAlignment="1" applyProtection="1">
      <alignment horizontal="center" vertical="center" wrapText="1"/>
      <protection locked="0"/>
    </xf>
    <xf numFmtId="0" fontId="84" fillId="7" borderId="69" xfId="0" applyNumberFormat="1" applyFont="1" applyFill="1" applyBorder="1" applyAlignment="1" applyProtection="1">
      <alignment horizontal="center" vertical="center" wrapText="1"/>
    </xf>
    <xf numFmtId="0" fontId="144" fillId="7" borderId="60" xfId="0" applyNumberFormat="1" applyFont="1" applyFill="1" applyBorder="1" applyAlignment="1" applyProtection="1">
      <alignment horizontal="center" vertical="center" wrapText="1"/>
      <protection locked="0"/>
    </xf>
    <xf numFmtId="0" fontId="84" fillId="7" borderId="45" xfId="0" applyNumberFormat="1" applyFont="1" applyFill="1" applyBorder="1" applyAlignment="1" applyProtection="1">
      <alignment horizontal="center" vertical="center" wrapText="1"/>
    </xf>
    <xf numFmtId="0" fontId="84" fillId="7"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4" fillId="0" borderId="157" xfId="0" applyFont="1" applyFill="1" applyBorder="1" applyAlignment="1">
      <alignment horizontal="center" vertical="top" wrapText="1"/>
    </xf>
    <xf numFmtId="0" fontId="134" fillId="0" borderId="156" xfId="0" applyFont="1" applyFill="1" applyBorder="1" applyAlignment="1">
      <alignment horizontal="center" vertical="top" wrapText="1"/>
    </xf>
    <xf numFmtId="0" fontId="134" fillId="0" borderId="158" xfId="0" applyFont="1" applyFill="1" applyBorder="1" applyAlignment="1">
      <alignment vertical="top" wrapText="1"/>
    </xf>
    <xf numFmtId="0" fontId="82" fillId="0" borderId="157" xfId="0" applyFont="1" applyFill="1" applyBorder="1" applyAlignment="1">
      <alignment vertical="top" wrapText="1"/>
    </xf>
  </cellXfs>
  <cellStyles count="22">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已访问的超链接" xfId="16" builtinId="9" hidden="1"/>
    <cellStyle name="已访问的超链接" xfId="17" builtinId="9" hidden="1"/>
    <cellStyle name="已访问的超链接" xfId="18" builtinId="9" hidden="1"/>
    <cellStyle name="已访问的超链接" xfId="19" builtinId="9" hidden="1"/>
    <cellStyle name="已访问的超链接" xfId="20" builtinId="9" hidden="1"/>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2057400</xdr:colOff>
      <xdr:row>57</xdr:row>
      <xdr:rowOff>88900</xdr:rowOff>
    </xdr:to>
    <xdr:pic>
      <xdr:nvPicPr>
        <xdr:cNvPr id="3" name="图片 2" descr="屏幕快照 2018-05-08 下午5.37.0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4700"/>
          <a:ext cx="6972300" cy="585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495300</xdr:colOff>
      <xdr:row>35</xdr:row>
      <xdr:rowOff>111125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111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14&#2149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B-27&#214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B-12&#2149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B-05&#2149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B-09&#2149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B-18&#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104260</v>
          </cell>
          <cell r="C14">
            <v>173766</v>
          </cell>
          <cell r="D14">
            <v>63540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120291</v>
          </cell>
          <cell r="C14">
            <v>120291</v>
          </cell>
          <cell r="D14">
            <v>70769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158377</v>
          </cell>
          <cell r="C14">
            <v>93163</v>
          </cell>
          <cell r="D14">
            <v>80550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69754</v>
          </cell>
          <cell r="C14">
            <v>116257</v>
          </cell>
          <cell r="D14">
            <v>42511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49501</v>
          </cell>
          <cell r="C14">
            <v>82502</v>
          </cell>
          <cell r="D14">
            <v>31331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50461</v>
          </cell>
          <cell r="C14">
            <v>84101</v>
          </cell>
          <cell r="D14">
            <v>31939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lr.gov.cn/tdsc/land/crgg/zzyd/201601/t20160122_5289260.htm"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javascript:top.main.DataEdit('46',20);" TargetMode="External"/><Relationship Id="rId1" Type="http://schemas.openxmlformats.org/officeDocument/2006/relationships/hyperlink" Target="javascript:top.main.DataEdit('46',20);"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43" zoomScale="80" zoomScaleNormal="80" zoomScalePageLayoutView="80" workbookViewId="0">
      <selection activeCell="A92" sqref="A92"/>
    </sheetView>
  </sheetViews>
  <sheetFormatPr defaultColWidth="8.875" defaultRowHeight="14.25"/>
  <cols>
    <col min="1" max="1" width="36.5" style="2909" customWidth="1"/>
    <col min="2" max="2" width="78.125" style="2910" customWidth="1"/>
    <col min="3" max="18" width="8.875" style="2904"/>
    <col min="19" max="19" width="17.875" style="2904" customWidth="1"/>
    <col min="20" max="51" width="8.875" style="2904"/>
    <col min="52" max="52" width="13.125" style="2904" customWidth="1"/>
    <col min="53" max="53" width="13.5" style="2904" bestFit="1" customWidth="1"/>
    <col min="54" max="54" width="11.625" style="2904" bestFit="1" customWidth="1"/>
    <col min="55" max="55" width="13.5" style="2904" bestFit="1" customWidth="1"/>
    <col min="56" max="16384" width="8.875" style="2904"/>
  </cols>
  <sheetData>
    <row r="1" spans="1:55" s="2915" customFormat="1" ht="16.5" thickBot="1">
      <c r="A1" s="2913" t="s">
        <v>2654</v>
      </c>
      <c r="B1" s="2914" t="s">
        <v>2751</v>
      </c>
    </row>
    <row r="2" spans="1:55" s="2918" customFormat="1" ht="15" thickTop="1">
      <c r="A2" s="2916" t="s">
        <v>2658</v>
      </c>
      <c r="B2" s="2917" t="str">
        <f>'预评函-封皮'!B37</f>
        <v>海南省万宁市东澳镇老爷海北岸西桥东北侧出让国有建设用地使用权抵押价格预评估</v>
      </c>
      <c r="AX2" s="2919"/>
      <c r="AZ2" s="2919"/>
      <c r="BA2" s="2920"/>
      <c r="BC2" s="2920"/>
    </row>
    <row r="3" spans="1:55" s="2921" customFormat="1">
      <c r="A3" s="2900" t="s">
        <v>2659</v>
      </c>
      <c r="B3" s="2903" t="str">
        <f>'预评函-封皮'!B40</f>
        <v>中诚信托有限责任公司</v>
      </c>
    </row>
    <row r="4" spans="1:55" s="2902" customFormat="1">
      <c r="A4" s="2900" t="s">
        <v>2660</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2661</v>
      </c>
      <c r="B5" s="2923" t="str">
        <f>'预评函-封皮'!B49</f>
        <v>康正预评字号</v>
      </c>
    </row>
    <row r="6" spans="1:55" s="2924" customFormat="1" ht="15" thickTop="1">
      <c r="A6" s="2916" t="s">
        <v>2703</v>
      </c>
      <c r="B6" s="2917" t="str">
        <f>'预评函-1'!A4</f>
        <v>受贵公司委托，我公司对海南省万宁市东澳镇老爷海北岸西桥东北侧出让国有建设用地使用权抵押价格进行了预评估。</v>
      </c>
      <c r="AM6" s="2925"/>
    </row>
    <row r="7" spans="1:55" s="2899" customFormat="1">
      <c r="A7" s="2900" t="s">
        <v>2655</v>
      </c>
      <c r="B7" s="2901" t="str">
        <f>'预评函-1'!A6</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8" spans="1:55" s="2899" customFormat="1">
      <c r="A8" s="2900" t="s">
        <v>2656</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2706</v>
      </c>
      <c r="B9" s="2901" t="str">
        <f>'预评函-1'!A9</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2657</v>
      </c>
      <c r="B10" s="2901" t="str">
        <f>'预评函-1'!A11</f>
        <v>2018年5月4日（评估专业人员勘察现场之日）</v>
      </c>
    </row>
    <row r="11" spans="1:55" s="2899" customFormat="1">
      <c r="A11" s="2900" t="s">
        <v>2663</v>
      </c>
      <c r="B11" s="2901" t="str">
        <f>'预评函-1'!A14</f>
        <v>根据《国有土地使用证》[万国用（2010）第105026号]，本次评估估价对象证载（地类）用途为住宅。</v>
      </c>
    </row>
    <row r="12" spans="1:55" s="2899" customFormat="1">
      <c r="A12" s="2900" t="s">
        <v>2664</v>
      </c>
      <c r="B12" s="2901" t="str">
        <f>'预评函-1'!A15</f>
        <v>本次评估设定用途即为证载用途住宅。</v>
      </c>
    </row>
    <row r="13" spans="1:55" s="2899" customFormat="1">
      <c r="A13" s="2900" t="s">
        <v>2665</v>
      </c>
      <c r="B13" s="2901" t="str">
        <f>'预评函-1'!A17</f>
        <v>根据委托估价方介绍及评估专业人员现场勘查，本次评估估价对象实际土地开发程度为红线外市政基础设施达“七通”（即通路、通电、通讯、通上水、燃气、、）、宗地红线内场地未平整，鱼塘、建筑物、绿植。</v>
      </c>
    </row>
    <row r="14" spans="1:55" s="2899" customFormat="1">
      <c r="A14" s="2900" t="s">
        <v>2666</v>
      </c>
      <c r="B14" s="2901" t="str">
        <f>'预评函-1'!A18</f>
        <v>本次评估设定土地开发程度为红线外市政基础设施达“七通”、宗地红线内场地未平整。</v>
      </c>
    </row>
    <row r="15" spans="1:55" s="2899" customFormat="1">
      <c r="A15" s="2900" t="s">
        <v>2662</v>
      </c>
      <c r="B15" s="2901" t="str">
        <f>'预评函-1'!A20</f>
        <v>根据《国有土地使用证》[万国用（2010）第105026号]，估价对象（分摊）出让国有建设用地使用权面积为51474平方米。根据《国有建设用地使用权出让合同》[电子监管号：4690062009B00477]及附件，估价对象规划建筑面积为30884平方米。</v>
      </c>
    </row>
    <row r="16" spans="1:55" s="2899" customFormat="1">
      <c r="A16" s="2900" t="s">
        <v>2667</v>
      </c>
      <c r="B16" s="2901" t="str">
        <f>'预评函-1'!A22</f>
        <v>本次估价对象为出让国有建设用地使用权，《国有土地使用证》[万国用（2010）第105026号]证载土地终止日期为住宅2079年12月31日。截至估价期日，出让国有建设用地使用权剩余土地使用年限为住宅61.7年。</v>
      </c>
    </row>
    <row r="17" spans="1:48" s="2899" customFormat="1">
      <c r="A17" s="2900" t="s">
        <v>2668</v>
      </c>
      <c r="B17" s="2901" t="str">
        <f>'预评函-1'!A23</f>
        <v>本次评估设定估价对象剩余土地使用年限为住宅61.7年。</v>
      </c>
    </row>
    <row r="18" spans="1:48" s="2899" customFormat="1">
      <c r="A18" s="2900" t="s">
        <v>2669</v>
      </c>
      <c r="B18" s="2901"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19" spans="1:48" s="2899" customFormat="1">
      <c r="A19" s="2900" t="s">
        <v>2670</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2671</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2672</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2673</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2674</v>
      </c>
      <c r="B23" s="2901" t="str">
        <f>'预评函-2'!K2</f>
        <v>估价期日：2018年5月4日</v>
      </c>
    </row>
    <row r="24" spans="1:48">
      <c r="A24" s="2900" t="s">
        <v>2675</v>
      </c>
      <c r="B24" s="2901" t="str">
        <f>'预评函-2'!R2</f>
        <v>估价期日的国有建设用地使用权性质：出让</v>
      </c>
    </row>
    <row r="25" spans="1:48">
      <c r="A25" s="2900" t="s">
        <v>2731</v>
      </c>
      <c r="B25" s="2901" t="str">
        <f>'预评函-2'!A3</f>
        <v>估价期日土地使用者</v>
      </c>
    </row>
    <row r="26" spans="1:48">
      <c r="A26" s="2900" t="s">
        <v>2707</v>
      </c>
      <c r="B26" s="2901" t="str">
        <f>'预评函-2'!A5</f>
        <v>中信开发</v>
      </c>
    </row>
    <row r="27" spans="1:48">
      <c r="A27" s="2900" t="s">
        <v>2732</v>
      </c>
      <c r="B27" s="2901" t="str">
        <f>'预评函-2'!B3</f>
        <v>宗地编号/不动产单元号</v>
      </c>
    </row>
    <row r="28" spans="1:48">
      <c r="A28" s="2900" t="s">
        <v>2708</v>
      </c>
      <c r="B28" s="2901" t="str">
        <f>'预评函-2'!B5</f>
        <v>11111111111</v>
      </c>
    </row>
    <row r="29" spans="1:48">
      <c r="A29" s="2900" t="s">
        <v>2734</v>
      </c>
      <c r="B29" s="2901">
        <f>'预评函-2'!C5</f>
        <v>22</v>
      </c>
    </row>
    <row r="30" spans="1:48">
      <c r="A30" s="2900" t="s">
        <v>2735</v>
      </c>
      <c r="B30" s="2901" t="str">
        <f>'预评函-2'!D3</f>
        <v>土地使用证编号/不动产权证书编号</v>
      </c>
    </row>
    <row r="31" spans="1:48">
      <c r="A31" s="2900" t="s">
        <v>2709</v>
      </c>
      <c r="B31" s="2901" t="str">
        <f>'预评函-2'!D5</f>
        <v>京国土字第111号</v>
      </c>
    </row>
    <row r="32" spans="1:48">
      <c r="A32" s="2900" t="s">
        <v>2710</v>
      </c>
      <c r="B32" s="2901" t="str">
        <f>'预评函-2'!E5</f>
        <v>住宅</v>
      </c>
      <c r="AV32" s="2905"/>
    </row>
    <row r="33" spans="1:2">
      <c r="A33" s="2900" t="s">
        <v>2711</v>
      </c>
      <c r="B33" s="2901">
        <f>'预评函-2'!F5</f>
        <v>258</v>
      </c>
    </row>
    <row r="34" spans="1:2">
      <c r="A34" s="2900" t="s">
        <v>2712</v>
      </c>
      <c r="B34" s="2901" t="str">
        <f>'预评函-2'!G5</f>
        <v>住宅</v>
      </c>
    </row>
    <row r="35" spans="1:2">
      <c r="A35" s="2900" t="s">
        <v>2713</v>
      </c>
      <c r="B35" s="2901">
        <f>'预评函-2'!H5</f>
        <v>1.5</v>
      </c>
    </row>
    <row r="36" spans="1:2">
      <c r="A36" s="2900" t="s">
        <v>2714</v>
      </c>
      <c r="B36" s="2901">
        <f>'预评函-2'!I5</f>
        <v>1.5</v>
      </c>
    </row>
    <row r="37" spans="1:2">
      <c r="A37" s="2900" t="s">
        <v>2715</v>
      </c>
      <c r="B37" s="2901">
        <f>'预评函-2'!J5</f>
        <v>1.5</v>
      </c>
    </row>
    <row r="38" spans="1:2">
      <c r="A38" s="2900" t="s">
        <v>2716</v>
      </c>
      <c r="B38" s="2901" t="str">
        <f>'预评函-2'!K5</f>
        <v>红线外七通、宗地红线内场地未平整</v>
      </c>
    </row>
    <row r="39" spans="1:2">
      <c r="A39" s="2900" t="s">
        <v>2717</v>
      </c>
      <c r="B39" s="2901" t="str">
        <f>'预评函-2'!L5</f>
        <v>红线外七通、宗地红线内场地未平整</v>
      </c>
    </row>
    <row r="40" spans="1:2">
      <c r="A40" s="2900" t="s">
        <v>2736</v>
      </c>
      <c r="B40" s="2901" t="str">
        <f>'预评函-2'!M3</f>
        <v>（剩余）土地使用年限/年</v>
      </c>
    </row>
    <row r="41" spans="1:2">
      <c r="A41" s="2900" t="s">
        <v>2718</v>
      </c>
      <c r="B41" s="2901" t="str">
        <f>'预评函-2'!M5</f>
        <v>住宅61.7年</v>
      </c>
    </row>
    <row r="42" spans="1:2">
      <c r="A42" s="2900" t="s">
        <v>2737</v>
      </c>
      <c r="B42" s="2901" t="str">
        <f>'预评函-2'!N3</f>
        <v>（分摊）出让国有建设用地使用权面积/㎡</v>
      </c>
    </row>
    <row r="43" spans="1:2">
      <c r="A43" s="2900" t="s">
        <v>2719</v>
      </c>
      <c r="B43" s="2901">
        <f>'预评函-2'!N5</f>
        <v>51474</v>
      </c>
    </row>
    <row r="44" spans="1:2">
      <c r="A44" s="2900" t="s">
        <v>2738</v>
      </c>
      <c r="B44" s="2901" t="str">
        <f>'预评函-2'!O3</f>
        <v>规划建筑面积/㎡</v>
      </c>
    </row>
    <row r="45" spans="1:2">
      <c r="A45" s="2900" t="s">
        <v>2720</v>
      </c>
      <c r="B45" s="2901">
        <f>'预评函-2'!O5</f>
        <v>30884</v>
      </c>
    </row>
    <row r="46" spans="1:2">
      <c r="A46" s="2900" t="s">
        <v>2721</v>
      </c>
      <c r="B46" s="2901">
        <f ca="1">'预评函-2'!P5</f>
        <v>3873</v>
      </c>
    </row>
    <row r="47" spans="1:2">
      <c r="A47" s="2900" t="s">
        <v>2722</v>
      </c>
      <c r="B47" s="2901">
        <f ca="1">'预评函-2'!Q5</f>
        <v>6455</v>
      </c>
    </row>
    <row r="48" spans="1:2">
      <c r="A48" s="2900" t="s">
        <v>2723</v>
      </c>
      <c r="B48" s="2901">
        <f ca="1">'预评函-2'!R5</f>
        <v>19935</v>
      </c>
    </row>
    <row r="49" spans="1:2">
      <c r="A49" s="2900" t="s">
        <v>2739</v>
      </c>
      <c r="B49" s="2901" t="str">
        <f>'预评函-2'!A6</f>
        <v>抵押价格</v>
      </c>
    </row>
    <row r="50" spans="1:2">
      <c r="A50" s="2900" t="s">
        <v>2724</v>
      </c>
      <c r="B50" s="2901">
        <f ca="1">'预评函-2'!R6</f>
        <v>19935</v>
      </c>
    </row>
    <row r="51" spans="1:2">
      <c r="A51" s="2900" t="s">
        <v>2740</v>
      </c>
      <c r="B51" s="2901" t="str">
        <f>'预评函-2'!A7</f>
        <v>——</v>
      </c>
    </row>
    <row r="52" spans="1:2">
      <c r="A52" s="2900" t="s">
        <v>2725</v>
      </c>
      <c r="B52" s="2901" t="str">
        <f>'预评函-2'!R7</f>
        <v>——</v>
      </c>
    </row>
    <row r="53" spans="1:2">
      <c r="A53" s="2900" t="s">
        <v>2741</v>
      </c>
      <c r="B53" s="2901">
        <f>'预评函-2'!A8</f>
        <v>0</v>
      </c>
    </row>
    <row r="54" spans="1:2" s="2915" customFormat="1" ht="15" thickBot="1">
      <c r="A54" s="2922" t="s">
        <v>2726</v>
      </c>
      <c r="B54" s="2923" t="str">
        <f>'预评函-2'!R8</f>
        <v>——</v>
      </c>
    </row>
    <row r="55" spans="1:2" ht="15" thickTop="1">
      <c r="A55" s="2911" t="s">
        <v>2676</v>
      </c>
      <c r="B55" s="2912" t="str">
        <f>'预评函-3'!A2</f>
        <v>1.权利限制：根据估价对象、《国有土地使用权》复印件，截至估价期日，估价对象抵押权未见登记。未设定租赁等其他他项权利。</v>
      </c>
    </row>
    <row r="56" spans="1:2">
      <c r="A56" s="2900" t="s">
        <v>2677</v>
      </c>
      <c r="B56" s="2901" t="str">
        <f>'预评函-3'!A3</f>
        <v>2.基础设施条件：估价对象实际开发程度为红线外七通、宗地红线内场地未平整；本次评估设定开发程度为红线外七通、宗地红线内场地未平整。</v>
      </c>
    </row>
    <row r="57" spans="1:2">
      <c r="A57" s="2900" t="s">
        <v>2678</v>
      </c>
      <c r="B57" s="2901" t="str">
        <f>'预评函-3'!A4</f>
        <v>3.估价规划限制条件：详见《国有建设用地使用权出让合同》[电子监管号：4690062009B00477]及附件。</v>
      </c>
    </row>
    <row r="58" spans="1:2" s="2915" customFormat="1" ht="15" thickBot="1">
      <c r="A58" s="2922" t="s">
        <v>2727</v>
      </c>
      <c r="B58" s="2923" t="str">
        <f>'预评函-3'!A5</f>
        <v>4.影响价格的其他限定条件：无。</v>
      </c>
    </row>
    <row r="59" spans="1:2" ht="15" thickTop="1">
      <c r="A59" s="2911" t="s">
        <v>2679</v>
      </c>
      <c r="B59" s="2912" t="str">
        <f>'预评函-3'!A8</f>
        <v>2.本《评估意见函》仅供金融机构进行内部审核使用，不做其他目的之用。</v>
      </c>
    </row>
    <row r="60" spans="1:2">
      <c r="A60" s="2900" t="s">
        <v>2680</v>
      </c>
      <c r="B60" s="2901" t="str">
        <f>'预评函-3'!A9</f>
        <v>3.抵押双方在办理抵押登记手续时，应使用本公司出具的正式《土地估价报告》，特提请报告使用者注意。</v>
      </c>
    </row>
    <row r="61" spans="1:2">
      <c r="A61" s="2900" t="s">
        <v>2682</v>
      </c>
      <c r="B61" s="2901" t="str">
        <f>'预评函-3'!A10</f>
        <v>4.估价师所知悉的法定优先受偿款情况为：</v>
      </c>
    </row>
    <row r="62" spans="1:2">
      <c r="A62" s="2900" t="s">
        <v>2681</v>
      </c>
      <c r="B62" s="2901" t="str">
        <f>'预评函-3'!A11</f>
        <v>（1）根据估价对象、《国有土地使用权》复印件，截至估价期日，估价对象抵押权未见登记。</v>
      </c>
    </row>
    <row r="63" spans="1:2">
      <c r="A63" s="2900" t="s">
        <v>2683</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2684</v>
      </c>
      <c r="B64" s="2906" t="str">
        <f>'预评函-3'!A13</f>
        <v>（3）。</v>
      </c>
    </row>
    <row r="65" spans="1:2">
      <c r="A65" s="2900" t="s">
        <v>2685</v>
      </c>
      <c r="B65" s="2907" t="str">
        <f>'预评函-3'!A14</f>
        <v>综上，本次评估不存在估价师知悉的法定优先受偿款</v>
      </c>
    </row>
    <row r="66" spans="1:2">
      <c r="A66" s="2900" t="s">
        <v>2686</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2687</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2690</v>
      </c>
      <c r="B68" s="2926">
        <f>'预评函-3'!D30</f>
        <v>42558</v>
      </c>
    </row>
    <row r="69" spans="1:2" ht="15" thickTop="1">
      <c r="A69" s="2911" t="s">
        <v>2688</v>
      </c>
      <c r="B69" s="2912" t="str">
        <f>'预评函-3'!A20</f>
        <v>土地估价师</v>
      </c>
    </row>
    <row r="70" spans="1:2">
      <c r="A70" s="2900" t="s">
        <v>2688</v>
      </c>
      <c r="B70" s="2907">
        <f>'预评函-3'!B20</f>
        <v>0</v>
      </c>
    </row>
    <row r="71" spans="1:2">
      <c r="A71" s="2900" t="s">
        <v>2689</v>
      </c>
      <c r="B71" s="2901" t="str">
        <f>'预评函-3'!A21</f>
        <v>土地估价师</v>
      </c>
    </row>
    <row r="72" spans="1:2" s="2915" customFormat="1" ht="15" thickBot="1">
      <c r="A72" s="2922" t="s">
        <v>2689</v>
      </c>
      <c r="B72" s="2928">
        <f>'预评函-3'!B21</f>
        <v>0</v>
      </c>
    </row>
    <row r="73" spans="1:2" ht="15" thickTop="1">
      <c r="A73" s="2911" t="s">
        <v>2748</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2749</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2750</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2785</v>
      </c>
      <c r="B76" s="2910"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1939</v>
      </c>
      <c r="B1" s="3291" t="str">
        <f>IF(B10="北京市","北京市",C10)&amp;F10&amp;B16&amp;"国有建设用地使用权"&amp;B9&amp;"预评估"</f>
        <v>海南省万宁市东澳镇老爷海北岸西桥东北侧出让国有建设用地使用权抵押价格预评估</v>
      </c>
      <c r="C1" s="3292"/>
      <c r="D1" s="3292"/>
      <c r="E1" s="3292"/>
      <c r="F1" s="3292"/>
      <c r="G1" s="3292"/>
      <c r="H1" s="3292"/>
      <c r="I1" s="3293"/>
      <c r="J1" s="1691"/>
      <c r="K1" s="2477" t="str">
        <f>IF(B10="北京市","北京市",C10)&amp;F10&amp;B16&amp;"国有建设用地使用权"&amp;B9</f>
        <v>海南省万宁市东澳镇老爷海北岸西桥东北侧出让国有建设用地使用权抵押价格</v>
      </c>
      <c r="L1" s="1720"/>
      <c r="M1" s="1720"/>
      <c r="N1" s="1691"/>
      <c r="O1" s="1692"/>
      <c r="P1" s="1691"/>
      <c r="Q1" s="1691"/>
      <c r="R1" s="1691"/>
      <c r="S1" s="1691"/>
      <c r="T1" s="1691"/>
      <c r="U1" s="1691"/>
    </row>
    <row r="2" spans="1:21">
      <c r="A2" s="1657" t="s">
        <v>1940</v>
      </c>
      <c r="B2" s="1839"/>
      <c r="D2" s="1691"/>
      <c r="E2" s="1691"/>
      <c r="F2" s="1691"/>
      <c r="G2" s="1691"/>
      <c r="H2" s="1657"/>
      <c r="I2" s="1692"/>
      <c r="J2" s="1691"/>
      <c r="K2" s="2477" t="str">
        <f>IF(B10="北京市","北京市",C10)&amp;F10&amp;B16&amp;"国有建设用地使用权"</f>
        <v>海南省万宁市东澳镇老爷海北岸西桥东北侧出让国有建设用地使用权</v>
      </c>
      <c r="L2" s="1720"/>
      <c r="M2" s="1720"/>
      <c r="N2" s="1691"/>
      <c r="O2" s="1692"/>
      <c r="P2" s="1691"/>
      <c r="Q2" s="1691"/>
      <c r="R2" s="1691"/>
      <c r="S2" s="1691"/>
      <c r="T2" s="1691"/>
      <c r="U2" s="1691"/>
    </row>
    <row r="3" spans="1:21">
      <c r="A3" s="1658" t="s">
        <v>1941</v>
      </c>
      <c r="B3" s="1659">
        <v>43224</v>
      </c>
      <c r="C3" s="1660" t="s">
        <v>1996</v>
      </c>
      <c r="D3" s="1659">
        <f>B3</f>
        <v>43224</v>
      </c>
      <c r="E3" s="1691"/>
      <c r="F3" s="1691"/>
      <c r="G3" s="1691"/>
      <c r="H3" s="1657"/>
      <c r="I3" s="1692"/>
      <c r="J3" s="1691"/>
      <c r="K3" s="1771"/>
      <c r="L3" s="1720"/>
      <c r="M3" s="1720"/>
      <c r="N3" s="1691"/>
      <c r="O3" s="1692"/>
      <c r="P3" s="1691"/>
      <c r="Q3" s="1691"/>
      <c r="R3" s="1691"/>
      <c r="S3" s="1691"/>
      <c r="T3" s="1691"/>
      <c r="U3" s="1691"/>
    </row>
    <row r="4" spans="1:21" ht="29.25" thickBot="1">
      <c r="A4" s="1661" t="s">
        <v>1942</v>
      </c>
      <c r="B4" s="1840" t="s">
        <v>2887</v>
      </c>
      <c r="C4" s="1843">
        <f>SUMIF(土地估价师,B4,估价师及机构信息!E3:E24)</f>
        <v>0</v>
      </c>
      <c r="D4" s="1840" t="s">
        <v>2887</v>
      </c>
      <c r="E4" s="1843">
        <f>SUMIF(土地估价师,D4,估价师及机构信息!E3:E24)</f>
        <v>0</v>
      </c>
      <c r="F4" s="1840" t="s">
        <v>951</v>
      </c>
      <c r="G4" s="1843">
        <f>SUMIF(土地估价师,F4,估价师及机构信息!E3:E24)</f>
        <v>0</v>
      </c>
      <c r="H4" s="1840" t="s">
        <v>951</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1943</v>
      </c>
      <c r="B5" s="1786" t="str">
        <f>B6</f>
        <v>中诚信托有限责任公司</v>
      </c>
      <c r="C5" s="1663"/>
      <c r="D5" s="1664"/>
      <c r="E5" s="1691"/>
      <c r="F5" s="1691"/>
      <c r="G5" s="1691"/>
      <c r="H5" s="1657"/>
      <c r="I5" s="1692"/>
      <c r="J5" s="1691"/>
      <c r="K5" s="1771"/>
      <c r="L5" s="1720"/>
      <c r="M5" s="1720"/>
      <c r="N5" s="1691"/>
      <c r="O5" s="1692"/>
      <c r="P5" s="1691"/>
      <c r="Q5" s="1691"/>
      <c r="R5" s="1691"/>
      <c r="S5" s="1691"/>
      <c r="T5" s="1691"/>
      <c r="U5" s="1691"/>
    </row>
    <row r="6" spans="1:21" ht="26.25">
      <c r="A6" s="1660" t="s">
        <v>2704</v>
      </c>
      <c r="B6" s="1786" t="s">
        <v>3046</v>
      </c>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2705</v>
      </c>
      <c r="B7" s="1786" t="str">
        <f>C11</f>
        <v>海南明远置业有限公司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1944</v>
      </c>
      <c r="B8" s="1667" t="s">
        <v>3052</v>
      </c>
      <c r="C8" s="1668"/>
      <c r="D8" s="3297" t="s">
        <v>1946</v>
      </c>
      <c r="E8" s="1841" t="s">
        <v>3053</v>
      </c>
      <c r="F8" s="1669"/>
      <c r="G8" s="1657"/>
      <c r="H8" s="1657"/>
      <c r="I8" s="1704"/>
      <c r="J8" s="1691"/>
      <c r="K8" s="1771"/>
      <c r="L8" s="1720"/>
      <c r="M8" s="1720"/>
      <c r="N8" s="1691"/>
      <c r="O8" s="1692"/>
      <c r="P8" s="1691"/>
      <c r="Q8" s="1691"/>
      <c r="R8" s="1691"/>
      <c r="S8" s="1691"/>
      <c r="T8" s="1691"/>
      <c r="U8" s="1691"/>
    </row>
    <row r="9" spans="1:21" ht="15" thickBot="1">
      <c r="A9" s="1670" t="s">
        <v>1945</v>
      </c>
      <c r="B9" s="1671" t="s">
        <v>3053</v>
      </c>
      <c r="C9" s="1672"/>
      <c r="D9" s="3298"/>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3050</v>
      </c>
      <c r="C10" s="1673" t="s">
        <v>3048</v>
      </c>
      <c r="D10" s="1664"/>
      <c r="E10" s="1674" t="s">
        <v>1948</v>
      </c>
      <c r="F10" s="1675" t="s">
        <v>3049</v>
      </c>
      <c r="G10" s="1742"/>
      <c r="H10" s="1743"/>
      <c r="I10" s="1664"/>
      <c r="J10" s="1691"/>
      <c r="K10" s="1771"/>
      <c r="L10" s="1720"/>
      <c r="M10" s="1720"/>
      <c r="N10" s="1691"/>
      <c r="O10" s="1692"/>
      <c r="P10" s="1691"/>
      <c r="Q10" s="1691"/>
      <c r="R10" s="1691"/>
      <c r="S10" s="1691"/>
      <c r="T10" s="1691"/>
      <c r="U10" s="1691"/>
    </row>
    <row r="11" spans="1:21" ht="28.5">
      <c r="A11" s="1694" t="s">
        <v>2000</v>
      </c>
      <c r="B11" s="1695" t="s">
        <v>3051</v>
      </c>
      <c r="C11" s="1676" t="s">
        <v>3047</v>
      </c>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94" t="s">
        <v>3054</v>
      </c>
      <c r="C12" s="3295"/>
      <c r="D12" s="3296"/>
      <c r="E12" s="1696" t="s">
        <v>2061</v>
      </c>
      <c r="F12" s="3312" t="s">
        <v>3055</v>
      </c>
      <c r="G12" s="3313"/>
      <c r="H12" s="3313"/>
      <c r="I12" s="3314"/>
      <c r="J12" s="1691"/>
      <c r="K12" s="1771"/>
      <c r="L12" s="1720"/>
      <c r="M12" s="1720"/>
      <c r="N12" s="1691"/>
      <c r="O12" s="1692"/>
      <c r="P12" s="1691"/>
      <c r="Q12" s="1691"/>
      <c r="R12" s="1691"/>
      <c r="S12" s="1691"/>
      <c r="T12" s="1691"/>
      <c r="U12" s="1691"/>
    </row>
    <row r="13" spans="1:21">
      <c r="A13" s="1684" t="s">
        <v>2059</v>
      </c>
      <c r="B13" s="3294" t="s">
        <v>3054</v>
      </c>
      <c r="C13" s="3295"/>
      <c r="D13" s="3296"/>
      <c r="E13" s="1696" t="s">
        <v>2061</v>
      </c>
      <c r="F13" s="3312" t="s">
        <v>3056</v>
      </c>
      <c r="G13" s="3313"/>
      <c r="H13" s="3313"/>
      <c r="I13" s="3314"/>
      <c r="J13" s="1691"/>
      <c r="K13" s="1771"/>
      <c r="L13" s="1720"/>
      <c r="M13" s="1720"/>
      <c r="N13" s="1691"/>
      <c r="O13" s="1692"/>
      <c r="P13" s="1691"/>
      <c r="Q13" s="1691"/>
      <c r="R13" s="1691"/>
      <c r="S13" s="1691"/>
      <c r="T13" s="1691"/>
      <c r="U13" s="1691"/>
    </row>
    <row r="14" spans="1:21">
      <c r="A14" s="1658" t="s">
        <v>2062</v>
      </c>
      <c r="B14" s="1696"/>
      <c r="C14" s="1842" t="s">
        <v>3058</v>
      </c>
      <c r="D14" s="1730" t="str">
        <f>IF(C14="不一致","是否符合证载地类范围","")</f>
        <v/>
      </c>
      <c r="E14" s="1696"/>
      <c r="F14" s="1787" t="s">
        <v>3057</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42.75">
      <c r="A16" s="1677" t="s">
        <v>1949</v>
      </c>
      <c r="B16" s="1678" t="s">
        <v>2979</v>
      </c>
      <c r="C16" s="1696" t="s">
        <v>1950</v>
      </c>
      <c r="D16" s="2668" t="s">
        <v>1951</v>
      </c>
      <c r="E16" s="1719" t="s">
        <v>2978</v>
      </c>
      <c r="F16" s="1719"/>
      <c r="G16" s="1719"/>
      <c r="H16" s="1719"/>
      <c r="I16" s="1683" t="s">
        <v>1956</v>
      </c>
      <c r="J16" s="1691"/>
      <c r="K16" s="2478" t="str">
        <f>IF(D17="","",D16&amp;TEXT(D17,"yyyy年m月d日;;"))</f>
        <v>住宅2079年12月31日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1957</v>
      </c>
      <c r="D17" s="1697">
        <v>65745</v>
      </c>
      <c r="E17" s="1697"/>
      <c r="F17" s="1697"/>
      <c r="G17" s="1697"/>
      <c r="H17" s="1697"/>
      <c r="I17" s="1697"/>
      <c r="J17" s="1691"/>
      <c r="K17" s="2477" t="str">
        <f>CONCATENATE(K16,L16,M16,N16,O16,P16,Q16,R16,S16,T16,,U16)</f>
        <v>住宅2079年12月31日</v>
      </c>
      <c r="L17" s="1720"/>
      <c r="M17" s="1720"/>
      <c r="N17" s="1691"/>
      <c r="O17" s="1692"/>
      <c r="P17" s="1691"/>
      <c r="Q17" s="1691"/>
      <c r="R17" s="1691"/>
      <c r="S17" s="1691"/>
      <c r="T17" s="1691"/>
      <c r="U17" s="1691"/>
    </row>
    <row r="18" spans="1:21">
      <c r="A18" s="1760"/>
      <c r="B18" s="1679"/>
      <c r="C18" s="1680" t="s">
        <v>1958</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1959</v>
      </c>
      <c r="D19" s="1755">
        <f>IF(B16="出让",IF(D17="","",ROUNDDOWN(MIN((D17-$D$3)/365,D18),2)),D18)</f>
        <v>61.7</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09" t="s">
        <v>3059</v>
      </c>
      <c r="E20" s="3310"/>
      <c r="F20" s="3310"/>
      <c r="G20" s="3310"/>
      <c r="H20" s="3310"/>
      <c r="I20" s="3311"/>
      <c r="J20" s="1691"/>
      <c r="K20" s="1771"/>
      <c r="L20" s="1720"/>
      <c r="M20" s="1720"/>
      <c r="N20" s="1691"/>
      <c r="O20" s="1692"/>
      <c r="P20" s="1691"/>
      <c r="Q20" s="1691"/>
      <c r="R20" s="1691"/>
      <c r="S20" s="1691"/>
      <c r="T20" s="1691"/>
      <c r="U20" s="1691"/>
    </row>
    <row r="21" spans="1:21">
      <c r="A21" s="1760" t="s">
        <v>1960</v>
      </c>
      <c r="B21" s="1761" t="s">
        <v>1961</v>
      </c>
      <c r="C21" s="1756">
        <f>'数据-汇总表'!E3</f>
        <v>30884</v>
      </c>
      <c r="D21" s="1757" t="s">
        <v>1962</v>
      </c>
      <c r="E21" s="3299" t="str">
        <f>F13</f>
        <v>《国有建设用地使用权出让合同》[电子监管号：4690062009B00477]及附件</v>
      </c>
      <c r="F21" s="3300"/>
      <c r="G21" s="3300"/>
      <c r="H21" s="3300"/>
      <c r="I21" s="3301"/>
      <c r="J21" s="1691"/>
      <c r="K21" s="1771"/>
      <c r="L21" s="1720"/>
      <c r="M21" s="1720"/>
      <c r="N21" s="1691"/>
      <c r="O21" s="1692"/>
      <c r="P21" s="1691"/>
      <c r="Q21" s="1691"/>
      <c r="R21" s="1691"/>
      <c r="S21" s="1691"/>
      <c r="T21" s="1691"/>
      <c r="U21" s="1691"/>
    </row>
    <row r="22" spans="1:21">
      <c r="A22" s="3177" t="s">
        <v>951</v>
      </c>
      <c r="B22" s="1658" t="s">
        <v>1963</v>
      </c>
      <c r="C22" s="1683">
        <f>'数据-汇总表'!D3</f>
        <v>51474</v>
      </c>
      <c r="D22" s="1684" t="s">
        <v>1962</v>
      </c>
      <c r="E22" s="3299" t="str">
        <f>F12</f>
        <v>《国有土地使用证》[万国用（2010）第105026号]</v>
      </c>
      <c r="F22" s="3300"/>
      <c r="G22" s="3300"/>
      <c r="H22" s="3300"/>
      <c r="I22" s="3301"/>
      <c r="J22" s="1691"/>
      <c r="K22" s="1771"/>
      <c r="L22" s="1720"/>
      <c r="M22" s="1720"/>
      <c r="N22" s="1691"/>
      <c r="O22" s="1692"/>
      <c r="P22" s="1691"/>
      <c r="Q22" s="1691"/>
      <c r="R22" s="1691"/>
      <c r="S22" s="1691"/>
      <c r="T22" s="1691"/>
      <c r="U22" s="1691"/>
    </row>
    <row r="23" spans="1:21" ht="43.5" thickBot="1">
      <c r="A23" s="1762" t="s">
        <v>1964</v>
      </c>
      <c r="B23" s="1698" t="s">
        <v>1965</v>
      </c>
      <c r="C23" s="1699" t="s">
        <v>2980</v>
      </c>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302" t="s">
        <v>1968</v>
      </c>
      <c r="C24" s="3303"/>
      <c r="D24" s="3304" t="s">
        <v>1969</v>
      </c>
      <c r="E24" s="3305"/>
      <c r="F24" s="1705" t="s">
        <v>1970</v>
      </c>
      <c r="G24" s="1691"/>
      <c r="H24" s="1691"/>
      <c r="I24" s="1704"/>
      <c r="J24" s="1691"/>
      <c r="K24" s="3290" t="s">
        <v>1971</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c r="D25" s="1707"/>
      <c r="E25" s="1708"/>
      <c r="F25" s="1709"/>
      <c r="G25" s="1691"/>
      <c r="H25" s="1691"/>
      <c r="I25" s="1704"/>
      <c r="J25" s="1691"/>
      <c r="K25" s="329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1972</v>
      </c>
      <c r="C26" s="1706" t="s">
        <v>2325</v>
      </c>
      <c r="D26" s="1657"/>
      <c r="E26" s="1657"/>
      <c r="F26" s="1685"/>
      <c r="G26" s="1691"/>
      <c r="H26" s="1691"/>
      <c r="I26" s="1704"/>
      <c r="J26" s="1691"/>
      <c r="K26" s="329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76" t="s">
        <v>2001</v>
      </c>
      <c r="B31" s="1761" t="s">
        <v>2002</v>
      </c>
      <c r="C31" s="3315" t="s">
        <v>3060</v>
      </c>
      <c r="D31" s="3316"/>
      <c r="E31" s="1691"/>
      <c r="F31" s="1691"/>
      <c r="G31" s="1691"/>
      <c r="H31" s="1691"/>
      <c r="I31" s="1704"/>
      <c r="J31" s="1691"/>
      <c r="K31" s="2480"/>
      <c r="L31" s="1691"/>
      <c r="M31" s="1691"/>
      <c r="N31" s="1691"/>
      <c r="O31" s="1691"/>
      <c r="P31" s="1691"/>
      <c r="Q31" s="1691"/>
      <c r="R31" s="1691"/>
      <c r="S31" s="1691"/>
      <c r="T31" s="1691"/>
      <c r="U31" s="1691"/>
    </row>
    <row r="32" spans="1:21">
      <c r="A32" s="3276"/>
      <c r="B32" s="1658"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76"/>
      <c r="B33" s="1658" t="s">
        <v>2004</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77"/>
      <c r="B34" s="1658" t="s">
        <v>2005</v>
      </c>
      <c r="C34" s="3278"/>
      <c r="D34" s="3279"/>
      <c r="E34" s="1691"/>
      <c r="F34" s="1691"/>
      <c r="G34" s="1691"/>
      <c r="H34" s="1691"/>
      <c r="I34" s="1704"/>
      <c r="J34" s="1691"/>
      <c r="K34" s="2480"/>
      <c r="L34" s="1691"/>
      <c r="M34" s="1691"/>
      <c r="N34" s="1691"/>
      <c r="O34" s="1691"/>
      <c r="P34" s="1691"/>
      <c r="Q34" s="1691"/>
      <c r="R34" s="1691"/>
      <c r="S34" s="1691"/>
      <c r="T34" s="1691"/>
      <c r="U34" s="1691"/>
    </row>
    <row r="35" spans="1:21">
      <c r="A35" s="3280" t="s">
        <v>846</v>
      </c>
      <c r="B35" s="1719" t="s">
        <v>3061</v>
      </c>
      <c r="C35" s="1773" t="str">
        <f>IF(B35="场地平整","——","具体情况：")</f>
        <v>具体情况：</v>
      </c>
      <c r="D35" s="3282" t="s">
        <v>3062</v>
      </c>
      <c r="E35" s="3283"/>
      <c r="F35" s="3283"/>
      <c r="G35" s="3283"/>
      <c r="H35" s="3283"/>
      <c r="I35" s="3284"/>
      <c r="J35" s="1691"/>
      <c r="K35" s="1772"/>
      <c r="L35" s="1720"/>
      <c r="M35" s="1720"/>
      <c r="N35" s="1691"/>
      <c r="O35" s="1692"/>
      <c r="P35" s="1691"/>
      <c r="Q35" s="1691"/>
      <c r="R35" s="1691"/>
      <c r="S35" s="1691"/>
      <c r="T35" s="1691"/>
      <c r="U35" s="1691"/>
    </row>
    <row r="36" spans="1:21" ht="28.5">
      <c r="A36" s="3276"/>
      <c r="B36" s="3285" t="s">
        <v>2054</v>
      </c>
      <c r="C36" s="3286"/>
      <c r="D36" s="1789" t="s">
        <v>3063</v>
      </c>
      <c r="E36" s="3287"/>
      <c r="F36" s="3287"/>
      <c r="G36" s="1684" t="str">
        <f>IF(B35="场地未平整","估价结果处理","")</f>
        <v>估价结果处理</v>
      </c>
      <c r="H36" s="3288"/>
      <c r="I36" s="3288"/>
      <c r="J36" s="1691"/>
      <c r="K36" s="1772"/>
      <c r="L36" s="1720"/>
      <c r="M36" s="1720"/>
      <c r="N36" s="1691"/>
      <c r="O36" s="1692"/>
      <c r="P36" s="1691"/>
      <c r="Q36" s="1691"/>
      <c r="R36" s="1691"/>
      <c r="S36" s="1691"/>
      <c r="T36" s="1691"/>
      <c r="U36" s="1691"/>
    </row>
    <row r="37" spans="1:21" ht="28.5">
      <c r="A37" s="3276"/>
      <c r="B37" s="3306"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76"/>
      <c r="B38" s="3307"/>
      <c r="C38" s="1666" t="s">
        <v>849</v>
      </c>
      <c r="D38" s="1788">
        <f>ROUNDDOWN(MIN(('数据-取费表'!$B$2-D37)/365,D34),1)</f>
        <v>118.4</v>
      </c>
      <c r="E38" s="1724" t="s">
        <v>850</v>
      </c>
      <c r="F38" s="1691"/>
      <c r="G38" s="1691"/>
      <c r="H38" s="1691"/>
      <c r="I38" s="1704"/>
      <c r="J38" s="1691"/>
      <c r="K38" s="1772"/>
      <c r="L38" s="1691"/>
      <c r="M38" s="1691"/>
      <c r="N38" s="1691"/>
      <c r="O38" s="1691"/>
      <c r="P38" s="1691"/>
      <c r="Q38" s="1691"/>
      <c r="R38" s="1691"/>
      <c r="S38" s="1691"/>
      <c r="T38" s="1691"/>
      <c r="U38" s="1691"/>
    </row>
    <row r="39" spans="1:21">
      <c r="A39" s="3277"/>
      <c r="B39" s="3308"/>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3064</v>
      </c>
      <c r="C40" s="1687" t="s">
        <v>3065</v>
      </c>
      <c r="D40" s="1687" t="s">
        <v>3066</v>
      </c>
      <c r="E40" s="1687" t="s">
        <v>3067</v>
      </c>
      <c r="F40" s="1687" t="s">
        <v>3068</v>
      </c>
      <c r="G40" s="1687"/>
      <c r="H40" s="1687"/>
      <c r="I40" s="1704"/>
      <c r="J40" s="1691"/>
      <c r="K40" s="1727">
        <f>COUNTIF(B40:H40,"——")</f>
        <v>0</v>
      </c>
      <c r="L40" s="1696" t="s">
        <v>1979</v>
      </c>
      <c r="M40" s="1693" t="s">
        <v>1980</v>
      </c>
      <c r="N40" s="1693" t="s">
        <v>1981</v>
      </c>
      <c r="O40" s="1693" t="s">
        <v>1982</v>
      </c>
      <c r="P40" s="1693" t="s">
        <v>1983</v>
      </c>
      <c r="Q40" s="1693" t="s">
        <v>1984</v>
      </c>
      <c r="R40" s="1693" t="s">
        <v>1985</v>
      </c>
      <c r="S40" s="3289" t="s">
        <v>1986</v>
      </c>
      <c r="T40" s="1728" t="str">
        <f>NUMBERSTRING(7-K40,1)&amp;"通"</f>
        <v>七通</v>
      </c>
      <c r="U40" s="1691"/>
    </row>
    <row r="41" spans="1:21">
      <c r="A41" s="1660"/>
      <c r="B41" s="3281" t="s">
        <v>1721</v>
      </c>
      <c r="C41" s="3281"/>
      <c r="D41" s="3281"/>
      <c r="E41" s="3281"/>
      <c r="F41" s="1729" t="str">
        <f>C10</f>
        <v>海南省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通路、通电、通讯、通上水、燃气</v>
      </c>
      <c r="Q41" s="1731" t="str">
        <f>B40&amp;"、"&amp;C40&amp;"、"&amp;D40&amp;"、"&amp;E40&amp;"、"&amp;F40&amp;"、"&amp;G40</f>
        <v>通路、通电、通讯、通上水、燃气、</v>
      </c>
      <c r="R41" s="1731" t="str">
        <f>B40&amp;"、"&amp;C40&amp;"、"&amp;D40&amp;"、"&amp;E40&amp;"、"&amp;F40&amp;"、"&amp;G40&amp;"、"&amp;H40</f>
        <v>通路、通电、通讯、通上水、燃气、、</v>
      </c>
      <c r="S41" s="3289"/>
      <c r="T41" s="1730" t="str">
        <f>IF(T40="一通",L41,IF(T40="二通",M41,IF(T40="三通",N41,IF(T40="四通",O41,IF(T40="五通",P41,IF(T40="六通",Q41,R41))))))</f>
        <v>通路、通电、通讯、通上水、燃气、、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2888</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R13" activePane="bottomRight" state="frozen"/>
      <selection pane="topRight" activeCell="E1" sqref="E1"/>
      <selection pane="bottomLeft" activeCell="A12" sqref="A12"/>
      <selection pane="bottomRight" activeCell="AT30" sqref="AT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2332</v>
      </c>
      <c r="BA2" s="2359"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51474</v>
      </c>
      <c r="B3" s="22">
        <f>IF(C3="否",G5-AT5,G5)</f>
        <v>30884</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30884</v>
      </c>
      <c r="H5" s="27">
        <f t="shared" ref="H5:AT5" si="0">SUM(H13:H641)</f>
        <v>30884</v>
      </c>
      <c r="I5" s="27">
        <f t="shared" si="0"/>
        <v>30884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30884</v>
      </c>
      <c r="BA5" s="29">
        <f t="shared" si="1"/>
        <v>30884</v>
      </c>
      <c r="BB5" s="29">
        <f t="shared" si="1"/>
        <v>30884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51474</v>
      </c>
      <c r="F6" s="27" t="s">
        <v>1</v>
      </c>
      <c r="G6" s="27" t="s">
        <v>2</v>
      </c>
      <c r="H6" s="33">
        <f>SUMIF(I$12:AB$12,"总值",I6:AB6)</f>
        <v>51474</v>
      </c>
      <c r="I6" s="27">
        <f t="shared" ref="I6:AB6" si="2">ROUND($A$3*I5/$B$3,2)</f>
        <v>51474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51474</v>
      </c>
      <c r="AZ6" s="27" t="s">
        <v>3</v>
      </c>
      <c r="BA6" s="27">
        <f>ROUND($AY$6*BA5/$AZ$5,2)</f>
        <v>51474</v>
      </c>
      <c r="BB6" s="27">
        <f>ROUND($AY$6*BB5/$AZ$5,2)</f>
        <v>51474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1" t="s">
        <v>2981</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1" t="s">
        <v>922</v>
      </c>
      <c r="J10" s="51"/>
      <c r="K10" s="3043"/>
      <c r="L10" s="51"/>
      <c r="M10" s="3043"/>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2" t="s">
        <v>2329</v>
      </c>
      <c r="AE11" s="1000"/>
      <c r="AF11" s="2332" t="s">
        <v>2329</v>
      </c>
      <c r="AG11" s="1000"/>
      <c r="AH11" s="2332" t="s">
        <v>2328</v>
      </c>
      <c r="AI11" s="2333"/>
      <c r="AJ11" s="2332" t="s">
        <v>2328</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c r="D13" s="3037" t="s">
        <v>1678</v>
      </c>
      <c r="E13" s="27">
        <f t="shared" ref="E13:E20" si="6">IF($C$3="是",ROUND($A$3*G13/$B$3,2),ROUND($A$3*(G13-AT13)/$B$3,2))</f>
        <v>51474</v>
      </c>
      <c r="F13" s="81"/>
      <c r="G13" s="82">
        <f t="shared" ref="G13:G20" si="7">H13+AC13+AT13</f>
        <v>30884</v>
      </c>
      <c r="H13" s="33">
        <f t="shared" ref="H13:H20" si="8">SUMIF(I$12:AB$12,"总值",I13:AB13)</f>
        <v>30884</v>
      </c>
      <c r="I13" s="3040">
        <v>30884</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f t="shared" si="10"/>
        <v>0</v>
      </c>
      <c r="AY13" s="994">
        <f t="shared" ref="AY13:AY20" si="11">ROUND($AY$6*AZ13/$AZ$5,2)</f>
        <v>51474</v>
      </c>
      <c r="AZ13" s="27">
        <f t="shared" ref="AZ13:AZ20" si="12">BA13+BL13</f>
        <v>30884</v>
      </c>
      <c r="BA13" s="27">
        <f t="shared" ref="BA13:BA20" si="13">SUM(BB13:BK13)</f>
        <v>30884</v>
      </c>
      <c r="BB13" s="27">
        <f t="shared" ref="BB13:BB20" si="14">IF($D13="是",I13-J13,0)</f>
        <v>30884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0" sqref="F20"/>
    </sheetView>
  </sheetViews>
  <sheetFormatPr defaultColWidth="9.125" defaultRowHeight="14.25"/>
  <cols>
    <col min="1" max="1" width="8.125" style="1983" customWidth="1"/>
    <col min="2" max="2" width="10.1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125" style="1983"/>
  </cols>
  <sheetData>
    <row r="1" spans="1:16" ht="18.75">
      <c r="A1" s="104" t="s">
        <v>202</v>
      </c>
      <c r="B1" s="1982"/>
      <c r="C1" s="1982"/>
      <c r="D1" s="1982"/>
      <c r="E1" s="1982"/>
      <c r="F1" s="1982"/>
      <c r="G1" s="1982"/>
      <c r="H1" s="1982"/>
      <c r="I1" s="1982"/>
      <c r="J1" s="1982"/>
      <c r="K1" s="1982"/>
      <c r="L1" s="1982"/>
    </row>
    <row r="2" spans="1:16" ht="15">
      <c r="A2" s="3328" t="s">
        <v>203</v>
      </c>
      <c r="B2" s="3328"/>
      <c r="C2" s="3328"/>
      <c r="D2" s="1973" t="s">
        <v>204</v>
      </c>
      <c r="E2" s="106" t="s">
        <v>205</v>
      </c>
      <c r="F2" s="1982"/>
      <c r="G2" s="1196"/>
      <c r="H2" s="1197"/>
      <c r="I2" s="1198" t="s">
        <v>856</v>
      </c>
      <c r="J2" s="1982"/>
      <c r="K2" s="1982"/>
      <c r="L2" s="1982"/>
    </row>
    <row r="3" spans="1:16" ht="15.75" thickBot="1">
      <c r="A3" s="3329" t="s">
        <v>206</v>
      </c>
      <c r="B3" s="3329"/>
      <c r="C3" s="3329"/>
      <c r="D3" s="107">
        <f>'数据-基础表'!AY6</f>
        <v>51474</v>
      </c>
      <c r="E3" s="107">
        <f>'数据-基础表'!AZ5</f>
        <v>30884</v>
      </c>
      <c r="F3" s="1982"/>
      <c r="G3" s="279" t="s">
        <v>857</v>
      </c>
      <c r="H3" s="274" t="s">
        <v>858</v>
      </c>
      <c r="I3" s="1974">
        <f>ROUND('数据-基础表'!B3/'数据-基础表'!A3,2)</f>
        <v>0.6</v>
      </c>
      <c r="J3" s="1982"/>
      <c r="K3" s="1982"/>
      <c r="L3" s="1982"/>
    </row>
    <row r="4" spans="1:16" ht="15">
      <c r="A4" s="3330"/>
      <c r="B4" s="3331"/>
      <c r="C4" s="3332"/>
      <c r="D4" s="108" t="s">
        <v>204</v>
      </c>
      <c r="E4" s="109" t="s">
        <v>205</v>
      </c>
      <c r="F4" s="1982"/>
      <c r="G4" s="1199"/>
      <c r="H4" s="274" t="s">
        <v>859</v>
      </c>
      <c r="I4" s="1974">
        <f>ROUND(SUMIF('数据-基础表'!I9:AS9,"地上",'数据-基础表'!I5:AS5)/'数据-基础表'!A3,2)</f>
        <v>0.6</v>
      </c>
      <c r="J4" s="1982"/>
      <c r="K4" s="1982"/>
      <c r="L4" s="1982"/>
    </row>
    <row r="5" spans="1:16">
      <c r="A5" s="110" t="s">
        <v>207</v>
      </c>
      <c r="B5" s="3333" t="s">
        <v>230</v>
      </c>
      <c r="C5" s="3333"/>
      <c r="D5" s="111">
        <f>ROUND($D$3*E5/$E$3,2)</f>
        <v>51474</v>
      </c>
      <c r="E5" s="112">
        <f>SUMIF('数据-基础表'!$11:$11,"住宅",'数据-基础表'!$5:$5)</f>
        <v>30884</v>
      </c>
      <c r="F5" s="1982"/>
      <c r="G5" s="279" t="s">
        <v>860</v>
      </c>
      <c r="H5" s="274" t="s">
        <v>858</v>
      </c>
      <c r="I5" s="1974">
        <f>ROUND(E31/D31,2)</f>
        <v>0.6</v>
      </c>
      <c r="J5" s="1982"/>
      <c r="K5" s="1982"/>
      <c r="L5" s="1982"/>
    </row>
    <row r="6" spans="1:16" ht="15" thickBot="1">
      <c r="A6" s="113"/>
      <c r="B6" s="3333" t="s">
        <v>208</v>
      </c>
      <c r="C6" s="3333"/>
      <c r="D6" s="111">
        <f>ROUND($D$3*E6/$E$3,2)</f>
        <v>0</v>
      </c>
      <c r="E6" s="112">
        <f>E3-E5</f>
        <v>0</v>
      </c>
      <c r="F6" s="1982"/>
      <c r="G6" s="1199"/>
      <c r="H6" s="274" t="s">
        <v>859</v>
      </c>
      <c r="I6" s="1974">
        <f>ROUND(F31/D31,2)</f>
        <v>0.6</v>
      </c>
      <c r="J6" s="1982"/>
      <c r="K6" s="1982"/>
      <c r="L6" s="1982"/>
    </row>
    <row r="7" spans="1:16" ht="15">
      <c r="A7" s="3325"/>
      <c r="B7" s="3326"/>
      <c r="C7" s="3327"/>
      <c r="D7" s="108" t="s">
        <v>204</v>
      </c>
      <c r="E7" s="114" t="s">
        <v>231</v>
      </c>
      <c r="F7" s="1982"/>
      <c r="G7" s="1154" t="s">
        <v>1645</v>
      </c>
      <c r="H7" s="1155"/>
      <c r="I7" s="1844"/>
      <c r="J7" s="1982"/>
      <c r="K7" s="1982"/>
      <c r="L7" s="1982"/>
    </row>
    <row r="8" spans="1:16">
      <c r="A8" s="110" t="s">
        <v>209</v>
      </c>
      <c r="B8" s="115" t="s">
        <v>210</v>
      </c>
      <c r="C8" s="111" t="s">
        <v>211</v>
      </c>
      <c r="D8" s="111">
        <f t="shared" ref="D8:D15" si="0">ROUND($D$3*E8/$E$3,2)</f>
        <v>51474</v>
      </c>
      <c r="E8" s="116">
        <f>SUMIF('数据-基础表'!BB10:BK10,"地上",'数据-基础表'!BB5:BK5)</f>
        <v>30884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51474</v>
      </c>
      <c r="E16" s="120">
        <f>SUM(E8:E15)</f>
        <v>30884</v>
      </c>
      <c r="F16" s="1982"/>
      <c r="G16" s="1984"/>
      <c r="H16" s="967" t="s">
        <v>219</v>
      </c>
      <c r="I16" s="968"/>
      <c r="J16" s="1982"/>
      <c r="K16" s="3319" t="s">
        <v>2565</v>
      </c>
      <c r="L16" s="3320"/>
      <c r="M16" s="3320"/>
      <c r="N16" s="3320"/>
      <c r="O16" s="3320"/>
      <c r="P16" s="3321"/>
    </row>
    <row r="17" spans="1:19" ht="15">
      <c r="A17" s="121" t="s">
        <v>216</v>
      </c>
      <c r="B17" s="122" t="s">
        <v>217</v>
      </c>
      <c r="C17" s="2296" t="s">
        <v>2313</v>
      </c>
      <c r="D17" s="108" t="s">
        <v>204</v>
      </c>
      <c r="E17" s="124" t="s">
        <v>205</v>
      </c>
      <c r="F17" s="125"/>
      <c r="G17" s="1364"/>
      <c r="H17" s="969" t="s">
        <v>218</v>
      </c>
      <c r="I17" s="970" t="s">
        <v>2312</v>
      </c>
      <c r="J17" s="1982"/>
      <c r="K17" s="3322" t="s">
        <v>2566</v>
      </c>
      <c r="L17" s="3323"/>
      <c r="M17" s="3324"/>
      <c r="N17" s="3322" t="s">
        <v>2567</v>
      </c>
      <c r="O17" s="3323"/>
      <c r="P17" s="3324"/>
      <c r="R17" s="2297" t="s">
        <v>2311</v>
      </c>
      <c r="S17" s="144"/>
    </row>
    <row r="18" spans="1:19" ht="15">
      <c r="A18" s="117"/>
      <c r="B18" s="128"/>
      <c r="C18" s="129"/>
      <c r="D18" s="2664"/>
      <c r="E18" s="130" t="s">
        <v>220</v>
      </c>
      <c r="F18" s="131" t="s">
        <v>221</v>
      </c>
      <c r="G18" s="1365" t="s">
        <v>222</v>
      </c>
      <c r="H18" s="971" t="s">
        <v>223</v>
      </c>
      <c r="I18" s="972" t="s">
        <v>224</v>
      </c>
      <c r="J18" s="1982"/>
      <c r="K18" s="2627" t="s">
        <v>2568</v>
      </c>
      <c r="L18" s="2628" t="s">
        <v>2569</v>
      </c>
      <c r="M18" s="2629" t="s">
        <v>2570</v>
      </c>
      <c r="N18" s="2627" t="s">
        <v>2568</v>
      </c>
      <c r="O18" s="2628" t="s">
        <v>2569</v>
      </c>
      <c r="P18" s="2629" t="s">
        <v>2570</v>
      </c>
      <c r="R18" s="2298" t="s">
        <v>2309</v>
      </c>
      <c r="S18" s="2298" t="s">
        <v>2310</v>
      </c>
    </row>
    <row r="19" spans="1:19">
      <c r="A19" s="133"/>
      <c r="B19" s="115" t="s">
        <v>225</v>
      </c>
      <c r="C19" s="3047" t="s">
        <v>2991</v>
      </c>
      <c r="D19" s="111">
        <f t="shared" ref="D19:D26" si="1">ROUND($D$3*E19/$E$3,2)</f>
        <v>51474</v>
      </c>
      <c r="E19" s="134">
        <f t="shared" ref="E19:E26" si="2">SUM(F19:G19)</f>
        <v>30884</v>
      </c>
      <c r="F19" s="135">
        <f>'数据-基础表'!I13</f>
        <v>30884</v>
      </c>
      <c r="G19" s="1366"/>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51474</v>
      </c>
      <c r="S19" s="2299">
        <f t="shared" si="5"/>
        <v>30884</v>
      </c>
    </row>
    <row r="20" spans="1:19">
      <c r="A20" s="138"/>
      <c r="B20" s="115" t="s">
        <v>226</v>
      </c>
      <c r="C20" s="3047"/>
      <c r="D20" s="111">
        <f t="shared" si="1"/>
        <v>0</v>
      </c>
      <c r="E20" s="134">
        <f t="shared" si="2"/>
        <v>0</v>
      </c>
      <c r="F20" s="135"/>
      <c r="G20" s="1366"/>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226</v>
      </c>
      <c r="C21" s="3047"/>
      <c r="D21" s="111">
        <f t="shared" si="1"/>
        <v>0</v>
      </c>
      <c r="E21" s="134">
        <f t="shared" si="2"/>
        <v>0</v>
      </c>
      <c r="F21" s="135"/>
      <c r="G21" s="1366"/>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1363"/>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51474</v>
      </c>
      <c r="E27" s="143">
        <f>IF(SUM(E19:E26)='数据-基础表'!BA5,SUM(E19:E26),IF(F27="地上面积有误","面积有误","地下面积有误"))</f>
        <v>30884</v>
      </c>
      <c r="F27" s="134">
        <f>IF(SUM(F19:F26)=E8,SUM(F19:F26),"地上面积有误")</f>
        <v>30884</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51474</v>
      </c>
      <c r="S27" s="274">
        <f>IF(SUM(S19:S26)=$E$3,SUM(S19:S26),SUM(S19:S26)&amp;"误差"&amp;ROUND(SUM(S19:S26)-E3,2))</f>
        <v>30884</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51474</v>
      </c>
      <c r="E31" s="1370">
        <f>E27+E30</f>
        <v>30884</v>
      </c>
      <c r="F31" s="1371">
        <f>F27+F30</f>
        <v>30884</v>
      </c>
      <c r="G31" s="1372">
        <f>G27+G30</f>
        <v>0</v>
      </c>
      <c r="H31" s="1982"/>
      <c r="I31" s="1982"/>
      <c r="J31" s="1982"/>
      <c r="K31" s="1982"/>
      <c r="L31" s="1982"/>
    </row>
    <row r="32" spans="1:19">
      <c r="A32" s="1982"/>
      <c r="B32" s="2361" t="s">
        <v>2321</v>
      </c>
      <c r="C32" s="2669"/>
      <c r="D32" s="1199"/>
      <c r="E32" s="1199">
        <f>SUMIF(C19:C26,"*住宅*",E19:E26)</f>
        <v>30884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6" activePane="bottomRight" state="frozen"/>
      <selection pane="topRight" activeCell="D1" sqref="D1"/>
      <selection pane="bottomLeft" activeCell="A4" sqref="A4"/>
      <selection pane="bottomRight" activeCell="L29" sqref="L29"/>
    </sheetView>
  </sheetViews>
  <sheetFormatPr defaultColWidth="13.62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125" style="1201" customWidth="1"/>
    <col min="26" max="30" width="6.625" style="1201" customWidth="1"/>
    <col min="31" max="31" width="6.5" style="1201" customWidth="1"/>
    <col min="32" max="34" width="7.125" style="1201" customWidth="1"/>
    <col min="35" max="39" width="8" style="1201" customWidth="1"/>
    <col min="40" max="41" width="13.625" style="1996"/>
    <col min="42" max="42" width="0" style="1996" hidden="1" customWidth="1"/>
    <col min="43" max="83" width="13.625" style="1996"/>
    <col min="84" max="16384" width="13.62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43224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2826</v>
      </c>
      <c r="O5" s="163" t="s">
        <v>246</v>
      </c>
      <c r="P5" s="165" t="s">
        <v>247</v>
      </c>
      <c r="Q5" s="166" t="s">
        <v>248</v>
      </c>
      <c r="R5" s="167" t="s">
        <v>249</v>
      </c>
      <c r="S5" s="2643"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65745</v>
      </c>
      <c r="F6" s="174">
        <f>SUMIF(项目基本情况!D$15:I$15,C6,项目基本情况!D$19:I$19)</f>
        <v>61.7</v>
      </c>
      <c r="G6" s="175">
        <f>IF(ISERROR(ROUND(POWER(1+H6,D6-F6)*(POWER(1+H6,F6)-1)/(POWER(1+H6,D6)-1),3)),0,ROUND(POWER(1+H6,D6-F6)*(POWER(1+H6,F6)-1)/(POWER(1+H6,D6)-1),3))</f>
        <v>0.97899999999999998</v>
      </c>
      <c r="H6" s="3048">
        <v>4.4999999999999998E-2</v>
      </c>
      <c r="I6" s="3048">
        <v>5.5E-2</v>
      </c>
      <c r="J6" s="176">
        <v>8.5000000000000006E-2</v>
      </c>
      <c r="K6" s="179">
        <f>SUMIF('数据-汇总表'!C$19:C$33,'数据-取费表'!A6,'数据-汇总表'!E$19:E$33)</f>
        <v>30884</v>
      </c>
      <c r="L6" s="3049">
        <v>3500</v>
      </c>
      <c r="M6" s="177">
        <f t="shared" ref="M6:M14" si="0">ROUND(K6*L6/10000,0)</f>
        <v>10809</v>
      </c>
      <c r="N6" s="3050">
        <v>0</v>
      </c>
      <c r="O6" s="177">
        <f>IF($N$5="成新度","——",ROUND(M6*N6,0))</f>
        <v>0</v>
      </c>
      <c r="P6" s="178">
        <f>IF($N$5="成新度","——",M6-O6)</f>
        <v>10809</v>
      </c>
      <c r="Q6" s="3225">
        <v>0.35</v>
      </c>
      <c r="R6" s="179">
        <f>SUMIF('数据-汇总表'!C$19:C$33,A6,'数据-汇总表'!R$19:R$33)</f>
        <v>51474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1">
        <f>IF(AF6="",0,AE6-AF6)</f>
        <v>0</v>
      </c>
      <c r="AH6" s="141"/>
      <c r="AI6" s="187"/>
      <c r="AJ6" s="188"/>
      <c r="AK6" s="189"/>
      <c r="AL6" s="190"/>
      <c r="AM6" s="3062"/>
      <c r="AN6" s="2414"/>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1">
        <f t="shared" ref="AG7:AG13" si="7">IF(AF7="",0,AE7-AF7)</f>
        <v>0</v>
      </c>
      <c r="AH7" s="141"/>
      <c r="AI7" s="187"/>
      <c r="AJ7" s="188"/>
      <c r="AK7" s="189"/>
      <c r="AL7" s="190"/>
      <c r="AM7" s="2412"/>
      <c r="AN7" s="2414"/>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1">
        <f t="shared" si="7"/>
        <v>0</v>
      </c>
      <c r="AH8" s="141"/>
      <c r="AI8" s="187"/>
      <c r="AJ8" s="188"/>
      <c r="AK8" s="189"/>
      <c r="AL8" s="190"/>
      <c r="AM8" s="2412"/>
      <c r="AN8" s="2414"/>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30884</v>
      </c>
      <c r="L16" s="206">
        <f>ROUND(M16*10000/SUM(K6:K14),0)</f>
        <v>3500</v>
      </c>
      <c r="M16" s="206">
        <f>SUM(M6:M14)</f>
        <v>10809</v>
      </c>
      <c r="N16" s="207">
        <f>ROUND(SUMPRODUCT(M6:M14,N6:N14)/M16,3)</f>
        <v>0</v>
      </c>
      <c r="O16" s="206">
        <f>SUM(O6:O14)</f>
        <v>0</v>
      </c>
      <c r="P16" s="206">
        <f>SUM(P6:P14)</f>
        <v>10809</v>
      </c>
      <c r="Q16" s="208">
        <f>ROUND(SUMPRODUCT(Q6:Q13,K6:K13)/SUMPRODUCT((Q6:Q13&gt;0)*(K6:K13)),2)</f>
        <v>0.35</v>
      </c>
      <c r="R16" s="2309">
        <f>SUM(R6:R13)</f>
        <v>51474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23">
        <v>1.5</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2337</v>
      </c>
      <c r="B27" s="227">
        <v>150</v>
      </c>
      <c r="C27" s="3097" t="s">
        <v>3069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2338</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2336</v>
      </c>
      <c r="B29" s="232"/>
      <c r="C29" s="1550"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3241">
        <v>500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300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3222">
        <v>200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6">
        <v>0.05</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63" t="s">
        <v>2890</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500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0.05</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3224">
        <v>0</v>
      </c>
      <c r="C47" s="3097"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8"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8"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c r="C53" s="3099" t="s">
        <v>2900</v>
      </c>
      <c r="D53" s="3100"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2902</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2903</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2904</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2905</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2906</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2907</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625" style="2022" customWidth="1"/>
    <col min="10" max="10" width="2.625" style="2023" customWidth="1"/>
    <col min="11" max="11" width="11.875" style="2021" customWidth="1"/>
    <col min="12" max="12" width="16.625" style="2022" customWidth="1"/>
    <col min="13" max="13" width="2.625" style="2023" customWidth="1"/>
    <col min="14" max="14" width="11.875" style="2021" customWidth="1"/>
    <col min="15" max="15" width="16.625" style="2022" customWidth="1"/>
    <col min="16" max="16" width="2.625" style="2023" customWidth="1"/>
    <col min="17" max="17" width="11.875" style="2021" customWidth="1"/>
    <col min="18" max="18" width="16.625" style="2024" customWidth="1"/>
    <col min="19" max="16384" width="8.875" style="2006"/>
  </cols>
  <sheetData>
    <row r="1" spans="1:18" s="2005" customFormat="1" ht="19.5" thickBot="1">
      <c r="A1" s="3334" t="s">
        <v>1663</v>
      </c>
      <c r="B1" s="3335"/>
      <c r="C1" s="3335"/>
      <c r="D1" s="3335"/>
      <c r="E1" s="3335"/>
      <c r="F1" s="3335"/>
      <c r="G1" s="3335"/>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104" t="s">
        <v>2918</v>
      </c>
      <c r="D3" s="2007"/>
      <c r="E3" s="1227" t="s">
        <v>1666</v>
      </c>
      <c r="F3" s="1228" t="s">
        <v>1654</v>
      </c>
      <c r="G3" s="3108" t="s">
        <v>2917</v>
      </c>
      <c r="H3" s="2006"/>
      <c r="I3" s="2006"/>
      <c r="J3" s="2006"/>
      <c r="K3" s="2006"/>
      <c r="L3" s="2006"/>
      <c r="M3" s="2006"/>
      <c r="N3" s="2006"/>
      <c r="O3" s="2006"/>
      <c r="P3" s="2006"/>
      <c r="Q3" s="2006"/>
      <c r="R3" s="2006"/>
    </row>
    <row r="4" spans="1:18" ht="41.25">
      <c r="A4" s="1227"/>
      <c r="B4" s="1229" t="s">
        <v>1667</v>
      </c>
      <c r="C4" s="3105" t="s">
        <v>2919</v>
      </c>
      <c r="D4" s="2007"/>
      <c r="E4" s="1230"/>
      <c r="F4" s="1231" t="s">
        <v>1668</v>
      </c>
      <c r="G4" s="3106" t="s">
        <v>2914</v>
      </c>
      <c r="H4" s="2006"/>
      <c r="I4" s="2006"/>
      <c r="J4" s="2006"/>
      <c r="K4" s="2006"/>
      <c r="L4" s="2006"/>
      <c r="M4" s="2006"/>
      <c r="N4" s="2006"/>
      <c r="O4" s="2006"/>
      <c r="P4" s="2006"/>
      <c r="Q4" s="2006"/>
      <c r="R4" s="2006"/>
    </row>
    <row r="5" spans="1:18" ht="41.25">
      <c r="A5" s="1227"/>
      <c r="B5" s="1229" t="s">
        <v>1669</v>
      </c>
      <c r="C5" s="3105" t="s">
        <v>2920</v>
      </c>
      <c r="D5" s="2007"/>
      <c r="E5" s="1230"/>
      <c r="F5" s="1229" t="s">
        <v>2545</v>
      </c>
      <c r="G5" s="3106" t="s">
        <v>2915</v>
      </c>
      <c r="H5" s="2006"/>
      <c r="I5" s="2006"/>
      <c r="J5" s="2006"/>
      <c r="K5" s="2006"/>
      <c r="L5" s="2006"/>
      <c r="M5" s="2006"/>
      <c r="N5" s="2006"/>
      <c r="O5" s="2006"/>
      <c r="P5" s="2006"/>
      <c r="Q5" s="2006"/>
      <c r="R5" s="2006"/>
    </row>
    <row r="6" spans="1:18" ht="54">
      <c r="A6" s="1227"/>
      <c r="B6" s="1229" t="s">
        <v>1655</v>
      </c>
      <c r="C6" s="3106" t="s">
        <v>2914</v>
      </c>
      <c r="D6" s="2007"/>
      <c r="E6" s="1230"/>
      <c r="F6" s="1229" t="s">
        <v>2546</v>
      </c>
      <c r="G6" s="3106" t="s">
        <v>2912</v>
      </c>
      <c r="H6" s="2006"/>
      <c r="I6" s="2006"/>
      <c r="J6" s="2006"/>
      <c r="K6" s="2006"/>
      <c r="L6" s="2006"/>
      <c r="M6" s="2006"/>
      <c r="N6" s="2006"/>
      <c r="O6" s="2006"/>
      <c r="P6" s="2006"/>
      <c r="Q6" s="2006"/>
      <c r="R6" s="2006"/>
    </row>
    <row r="7" spans="1:18" ht="41.25" thickBot="1">
      <c r="A7" s="1227"/>
      <c r="B7" s="1229" t="s">
        <v>2545</v>
      </c>
      <c r="C7" s="3106" t="s">
        <v>2915</v>
      </c>
      <c r="D7" s="2008"/>
      <c r="E7" s="1232"/>
      <c r="F7" s="1233" t="s">
        <v>1670</v>
      </c>
      <c r="G7" s="3109" t="s">
        <v>2916</v>
      </c>
      <c r="H7" s="2006"/>
      <c r="I7" s="2006"/>
      <c r="J7" s="2006"/>
      <c r="K7" s="2006"/>
      <c r="L7" s="2006"/>
      <c r="M7" s="2006"/>
      <c r="N7" s="2006"/>
      <c r="O7" s="2006"/>
      <c r="P7" s="2006"/>
      <c r="Q7" s="2006"/>
      <c r="R7" s="2006"/>
    </row>
    <row r="8" spans="1:18" ht="27">
      <c r="A8" s="1227"/>
      <c r="B8" s="1229" t="s">
        <v>2546</v>
      </c>
      <c r="C8" s="3106" t="s">
        <v>2912</v>
      </c>
      <c r="D8" s="2008"/>
      <c r="E8" s="2008"/>
      <c r="F8" s="1551"/>
      <c r="G8" s="1551"/>
      <c r="H8" s="2006"/>
      <c r="I8" s="2006"/>
      <c r="J8" s="2006"/>
      <c r="K8" s="2006"/>
      <c r="L8" s="2006"/>
      <c r="M8" s="2006"/>
      <c r="N8" s="2006"/>
      <c r="O8" s="2006"/>
      <c r="P8" s="2006"/>
      <c r="Q8" s="2006"/>
      <c r="R8" s="2006"/>
    </row>
    <row r="9" spans="1:18" ht="40.5">
      <c r="A9" s="1227"/>
      <c r="B9" s="1229" t="s">
        <v>1656</v>
      </c>
      <c r="C9" s="3105" t="s">
        <v>2913</v>
      </c>
      <c r="D9" s="2007"/>
      <c r="E9" s="2008"/>
      <c r="F9" s="1551"/>
      <c r="G9" s="1551"/>
      <c r="H9" s="2006"/>
      <c r="I9" s="2006"/>
      <c r="J9" s="2006"/>
      <c r="K9" s="2006"/>
      <c r="L9" s="2006"/>
      <c r="M9" s="2006"/>
      <c r="N9" s="2006"/>
      <c r="O9" s="2006"/>
      <c r="P9" s="2006"/>
      <c r="Q9" s="2006"/>
      <c r="R9" s="2006"/>
    </row>
    <row r="10" spans="1:18" s="2014" customFormat="1" ht="15" thickBot="1">
      <c r="A10" s="1234"/>
      <c r="B10" s="1235" t="s">
        <v>1671</v>
      </c>
      <c r="C10" s="3107"/>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1672</v>
      </c>
      <c r="B13" s="2600"/>
      <c r="C13" s="2600"/>
      <c r="D13" s="1222"/>
      <c r="E13" s="2600"/>
      <c r="F13" s="2600"/>
      <c r="G13" s="2600"/>
    </row>
    <row r="14" spans="1:18" ht="14.25" thickBot="1">
      <c r="A14" s="1236"/>
      <c r="B14" s="1237"/>
      <c r="C14" s="1238" t="s">
        <v>1664</v>
      </c>
      <c r="D14" s="2007"/>
      <c r="E14" s="1239"/>
      <c r="F14" s="1239"/>
      <c r="G14" s="1221" t="s">
        <v>1665</v>
      </c>
    </row>
    <row r="15" spans="1:18" ht="54">
      <c r="A15" s="2610" t="s">
        <v>1657</v>
      </c>
      <c r="B15" s="1240" t="s">
        <v>1653</v>
      </c>
      <c r="C15" s="1241" t="str">
        <f>C3</f>
        <v>估价对象周边居住用地比例、居住小区规模和社区发展完善程度，综合评价居住社区成熟度一般</v>
      </c>
      <c r="D15" s="2007"/>
      <c r="E15" s="2607" t="s">
        <v>1658</v>
      </c>
      <c r="F15" s="1240" t="s">
        <v>1673</v>
      </c>
      <c r="G15" s="1242" t="str">
        <f>G3</f>
        <v>估价对象位于XX开发区，园区建设成熟度XX，产业集聚程度XX</v>
      </c>
    </row>
    <row r="16" spans="1:18" ht="40.5">
      <c r="A16" s="2611"/>
      <c r="B16" s="1243" t="s">
        <v>1667</v>
      </c>
      <c r="C16" s="1244" t="str">
        <f>C4</f>
        <v>估价对象位于XX商圈，周边商业氛围成熟，人流量大，商业繁华度好</v>
      </c>
      <c r="D16" s="2007"/>
      <c r="E16" s="2608"/>
      <c r="F16" s="1245" t="s">
        <v>1668</v>
      </c>
      <c r="G16" s="1003" t="str">
        <f>G4</f>
        <v>估价对象周边道路状况、公共交通通达情况、停车便捷程度，综合评价交通便捷度较好</v>
      </c>
    </row>
    <row r="17" spans="1:7" ht="40.5">
      <c r="A17" s="2611"/>
      <c r="B17" s="1243" t="s">
        <v>1669</v>
      </c>
      <c r="C17" s="1244" t="str">
        <f>C5</f>
        <v>估价对象位于XX商圈，周边办公楼项目较多，入驻率高，办公集聚程度较好</v>
      </c>
      <c r="D17" s="2008"/>
      <c r="E17" s="2608"/>
      <c r="F17" s="1245" t="s">
        <v>1674</v>
      </c>
      <c r="G17" s="2816"/>
    </row>
    <row r="18" spans="1:7" ht="54">
      <c r="A18" s="2611"/>
      <c r="B18" s="1245" t="s">
        <v>1655</v>
      </c>
      <c r="C18" s="1003" t="str">
        <f>C6</f>
        <v>估价对象周边道路状况、公共交通通达情况、停车便捷程度，综合评价交通便捷度较好</v>
      </c>
      <c r="D18" s="2008"/>
      <c r="E18" s="2608"/>
      <c r="F18" s="1245" t="s">
        <v>1670</v>
      </c>
      <c r="G18" s="1003" t="str">
        <f>G7</f>
        <v>该园区内是否有污染型企业，绿化情况，卫生条件，整体环境状况判断</v>
      </c>
    </row>
    <row r="19" spans="1:7" ht="27">
      <c r="A19" s="2611"/>
      <c r="B19" s="1245" t="s">
        <v>1659</v>
      </c>
      <c r="C19" s="2816"/>
      <c r="D19" s="2007"/>
      <c r="E19" s="2608"/>
      <c r="F19" s="1229" t="s">
        <v>2545</v>
      </c>
      <c r="G19" s="1003" t="str">
        <f>G5</f>
        <v>估价对象所在区域公共配套设施齐备情况</v>
      </c>
    </row>
    <row r="20" spans="1:7" ht="40.5">
      <c r="A20" s="2611"/>
      <c r="B20" s="1245" t="s">
        <v>1660</v>
      </c>
      <c r="C20" s="1244" t="str">
        <f>C9</f>
        <v>区域自然环境：；人文环境；综合评价环境状况一般</v>
      </c>
      <c r="D20" s="2008"/>
      <c r="E20" s="2608"/>
      <c r="F20" s="1229" t="s">
        <v>2546</v>
      </c>
      <c r="G20" s="1003" t="str">
        <f>G6</f>
        <v>估价对象所在区域基础设施水平</v>
      </c>
    </row>
    <row r="21" spans="1:7" ht="27">
      <c r="A21" s="2611"/>
      <c r="B21" s="1229" t="s">
        <v>2545</v>
      </c>
      <c r="C21" s="1003" t="str">
        <f>C7</f>
        <v>估价对象所在区域公共配套设施齐备情况</v>
      </c>
      <c r="D21" s="2007"/>
      <c r="E21" s="2608"/>
      <c r="F21" s="1245" t="s">
        <v>1661</v>
      </c>
      <c r="G21" s="3110"/>
    </row>
    <row r="22" spans="1:7" ht="27">
      <c r="A22" s="2611"/>
      <c r="B22" s="1229" t="s">
        <v>2546</v>
      </c>
      <c r="C22" s="1003" t="str">
        <f>C8</f>
        <v>估价对象所在区域基础设施水平</v>
      </c>
      <c r="D22" s="2007"/>
      <c r="E22" s="2608"/>
      <c r="F22" s="1245" t="s">
        <v>1671</v>
      </c>
      <c r="G22" s="2816"/>
    </row>
    <row r="23" spans="1:7" ht="15" thickBot="1">
      <c r="A23" s="2611"/>
      <c r="B23" s="1245" t="s">
        <v>1661</v>
      </c>
      <c r="C23" s="3110"/>
      <c r="E23" s="2609"/>
      <c r="F23" s="1246" t="s">
        <v>1675</v>
      </c>
      <c r="G23" s="3111"/>
    </row>
    <row r="24" spans="1:7" ht="14.25" thickBot="1">
      <c r="A24" s="2612"/>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G18" sqref="G18"/>
    </sheetView>
  </sheetViews>
  <sheetFormatPr defaultColWidth="14.625" defaultRowHeight="13.5"/>
  <cols>
    <col min="1" max="1" width="24.375" customWidth="1"/>
  </cols>
  <sheetData>
    <row r="1" spans="1:9" ht="16.5">
      <c r="A1" s="3068" t="s">
        <v>2842</v>
      </c>
      <c r="B1" s="3068">
        <f>SUM(B14:B23)</f>
        <v>583528</v>
      </c>
      <c r="C1" s="3069"/>
      <c r="D1" s="3069"/>
      <c r="E1" s="3069"/>
      <c r="F1" s="3069"/>
    </row>
    <row r="2" spans="1:9" ht="16.5">
      <c r="A2" s="3068" t="s">
        <v>2843</v>
      </c>
      <c r="B2" s="3068">
        <f>SUM(C14:C23)</f>
        <v>721554</v>
      </c>
      <c r="C2" s="3069"/>
      <c r="D2" s="3069"/>
      <c r="E2" s="3069"/>
      <c r="F2" s="3069"/>
    </row>
    <row r="3" spans="1:9" ht="16.5">
      <c r="A3" s="3068" t="s">
        <v>2844</v>
      </c>
      <c r="B3" s="3070">
        <f>项目基本情况!D3</f>
        <v>43224</v>
      </c>
      <c r="C3" s="3069"/>
      <c r="D3" s="3069"/>
      <c r="E3" s="3069"/>
      <c r="F3" s="3069"/>
    </row>
    <row r="4" spans="1:9" ht="33">
      <c r="A4" s="3068" t="s">
        <v>2845</v>
      </c>
      <c r="B4" s="3068" t="s">
        <v>2846</v>
      </c>
      <c r="C4" s="3068" t="s">
        <v>2847</v>
      </c>
      <c r="D4" s="3068" t="s">
        <v>2848</v>
      </c>
      <c r="E4" s="3069"/>
      <c r="F4" s="3069"/>
    </row>
    <row r="5" spans="1:9" ht="16.5">
      <c r="A5" s="3068" t="s">
        <v>2849</v>
      </c>
      <c r="B5" s="3068">
        <f ca="1">SUM(D14:D23)</f>
        <v>340575</v>
      </c>
      <c r="C5" s="3068">
        <f ca="1">ROUND(B5*10000/$B$1,0)</f>
        <v>5836</v>
      </c>
      <c r="D5" s="3068">
        <f ca="1">ROUND(B5*10000/$B$2,0)</f>
        <v>4720</v>
      </c>
      <c r="E5" s="3069"/>
      <c r="F5" s="3069"/>
    </row>
    <row r="6" spans="1:9" ht="16.5">
      <c r="A6" s="3068" t="s">
        <v>2850</v>
      </c>
      <c r="B6" s="3068">
        <f ca="1">SUM(G14:G23)</f>
        <v>340575</v>
      </c>
      <c r="C6" s="3068">
        <f t="shared" ref="C6:C8" ca="1" si="0">ROUND(B6*10000/$B$1,0)</f>
        <v>5836</v>
      </c>
      <c r="D6" s="3068">
        <f t="shared" ref="D6:D8" ca="1" si="1">ROUND(B6*10000/$B$2,0)</f>
        <v>4720</v>
      </c>
      <c r="E6" s="3069"/>
      <c r="F6" s="3069"/>
    </row>
    <row r="7" spans="1:9" ht="16.5">
      <c r="A7" s="3068" t="s">
        <v>2851</v>
      </c>
      <c r="B7" s="3068">
        <f>SUM(H14:H23)</f>
        <v>0</v>
      </c>
      <c r="C7" s="3068">
        <f t="shared" si="0"/>
        <v>0</v>
      </c>
      <c r="D7" s="3068">
        <f t="shared" si="1"/>
        <v>0</v>
      </c>
      <c r="E7" s="3069"/>
      <c r="F7" s="3069"/>
    </row>
    <row r="8" spans="1:9" ht="16.5">
      <c r="A8" s="3068" t="s">
        <v>2852</v>
      </c>
      <c r="B8" s="3068">
        <f>SUM(I14:I23)</f>
        <v>0</v>
      </c>
      <c r="C8" s="3068">
        <f t="shared" si="0"/>
        <v>0</v>
      </c>
      <c r="D8" s="3068">
        <f t="shared" si="1"/>
        <v>0</v>
      </c>
      <c r="E8" s="3069"/>
      <c r="F8" s="3069"/>
    </row>
    <row r="9" spans="1:9" ht="16.5">
      <c r="A9" s="3068" t="s">
        <v>2853</v>
      </c>
      <c r="B9" s="3071"/>
      <c r="C9" s="3069"/>
      <c r="D9" s="3069"/>
      <c r="E9" s="3069"/>
      <c r="F9" s="3069"/>
    </row>
    <row r="10" spans="1:9" ht="16.5">
      <c r="A10" s="3068" t="s">
        <v>2854</v>
      </c>
      <c r="B10" s="3071"/>
      <c r="C10" s="3069"/>
      <c r="D10" s="3069"/>
      <c r="E10" s="3069"/>
      <c r="F10" s="3069"/>
    </row>
    <row r="11" spans="1:9" ht="16.5">
      <c r="A11" s="3068" t="s">
        <v>2871</v>
      </c>
      <c r="B11" s="3071"/>
      <c r="C11" s="3069"/>
      <c r="D11" s="3069"/>
      <c r="E11" s="3069"/>
      <c r="F11" s="3069"/>
    </row>
    <row r="12" spans="1:9" ht="16.5">
      <c r="A12" s="3069"/>
      <c r="B12" s="3069"/>
      <c r="C12" s="3069"/>
      <c r="D12" s="3069"/>
      <c r="E12" s="3069"/>
      <c r="F12" s="3069"/>
    </row>
    <row r="13" spans="1:9" ht="33">
      <c r="A13" s="3074" t="s">
        <v>2870</v>
      </c>
      <c r="B13" s="3072" t="s">
        <v>2842</v>
      </c>
      <c r="C13" s="3072" t="s">
        <v>2843</v>
      </c>
      <c r="D13" s="3072" t="s">
        <v>2855</v>
      </c>
      <c r="E13" s="3068" t="s">
        <v>2869</v>
      </c>
      <c r="F13" s="3068" t="s">
        <v>2848</v>
      </c>
      <c r="G13" s="3072" t="s">
        <v>2856</v>
      </c>
      <c r="H13" s="3072" t="s">
        <v>2857</v>
      </c>
      <c r="I13" s="3072" t="s">
        <v>2858</v>
      </c>
    </row>
    <row r="14" spans="1:9" ht="16.5">
      <c r="A14" s="3075" t="s">
        <v>2868</v>
      </c>
      <c r="B14" s="3072">
        <f>结果表!L38</f>
        <v>30884</v>
      </c>
      <c r="C14" s="3072">
        <f>结果表!K38</f>
        <v>51474</v>
      </c>
      <c r="D14" s="3072">
        <f ca="1">结果表!C42</f>
        <v>19935</v>
      </c>
      <c r="E14" s="3072">
        <f ca="1">ROUND(D14*10000/B14,0)</f>
        <v>6455</v>
      </c>
      <c r="F14" s="3072">
        <f ca="1">ROUND(D14*10000/C14,0)</f>
        <v>3873</v>
      </c>
      <c r="G14" s="3072">
        <f ca="1">结果表!C44</f>
        <v>19935</v>
      </c>
      <c r="H14" s="3072" t="str">
        <f>结果表!C45</f>
        <v>——</v>
      </c>
      <c r="I14" s="3072" t="str">
        <f>结果表!C46</f>
        <v>——</v>
      </c>
    </row>
    <row r="15" spans="1:9" ht="16.5">
      <c r="A15" s="3075" t="s">
        <v>2859</v>
      </c>
      <c r="B15" s="3076">
        <f>[4]系统读取表!$B$14</f>
        <v>69754</v>
      </c>
      <c r="C15" s="3076">
        <f>[4]系统读取表!$C$14</f>
        <v>116257</v>
      </c>
      <c r="D15" s="3076">
        <f ca="1">[4]系统读取表!$D$14</f>
        <v>42511</v>
      </c>
      <c r="E15" s="3072">
        <f t="shared" ref="E15:E23" ca="1" si="2">ROUND(D15*10000/B15,0)</f>
        <v>6094</v>
      </c>
      <c r="F15" s="3072">
        <f t="shared" ref="F15:F23" ca="1" si="3">ROUND(D15*10000/C15,0)</f>
        <v>3657</v>
      </c>
      <c r="G15" s="3073">
        <f ca="1">D15</f>
        <v>42511</v>
      </c>
      <c r="H15" s="3073"/>
      <c r="I15" s="3076"/>
    </row>
    <row r="16" spans="1:9" ht="16.5">
      <c r="A16" s="3075" t="s">
        <v>2860</v>
      </c>
      <c r="B16" s="3076">
        <f>[5]系统读取表!$B$14</f>
        <v>49501</v>
      </c>
      <c r="C16" s="3076">
        <f>[5]系统读取表!$C$14</f>
        <v>82502</v>
      </c>
      <c r="D16" s="3076">
        <f ca="1">[5]系统读取表!$D$14</f>
        <v>31331</v>
      </c>
      <c r="E16" s="3072">
        <f t="shared" ca="1" si="2"/>
        <v>6329</v>
      </c>
      <c r="F16" s="3072">
        <f t="shared" ca="1" si="3"/>
        <v>3798</v>
      </c>
      <c r="G16" s="3073">
        <f ca="1">D16</f>
        <v>31331</v>
      </c>
      <c r="H16" s="3073"/>
      <c r="I16" s="3076"/>
    </row>
    <row r="17" spans="1:9" ht="16.5">
      <c r="A17" s="3075" t="s">
        <v>2861</v>
      </c>
      <c r="B17" s="3076">
        <f>[1]系统读取表!$B$14</f>
        <v>104260</v>
      </c>
      <c r="C17" s="3076">
        <f>[1]系统读取表!$C$14</f>
        <v>173766</v>
      </c>
      <c r="D17" s="3076">
        <f ca="1">[1]系统读取表!$D$14</f>
        <v>63540</v>
      </c>
      <c r="E17" s="3072">
        <f t="shared" ca="1" si="2"/>
        <v>6094</v>
      </c>
      <c r="F17" s="3072">
        <f t="shared" ca="1" si="3"/>
        <v>3657</v>
      </c>
      <c r="G17" s="3073">
        <f t="shared" ref="G17:G20" ca="1" si="4">D17</f>
        <v>63540</v>
      </c>
      <c r="H17" s="3073"/>
      <c r="I17" s="3076"/>
    </row>
    <row r="18" spans="1:9" ht="16.5">
      <c r="A18" s="3075" t="s">
        <v>2862</v>
      </c>
      <c r="B18" s="3076">
        <f>[6]系统读取表!$B$14</f>
        <v>50461</v>
      </c>
      <c r="C18" s="3076">
        <f>[6]系统读取表!$C$14</f>
        <v>84101</v>
      </c>
      <c r="D18" s="3076">
        <f ca="1">[6]系统读取表!$D$14</f>
        <v>31939</v>
      </c>
      <c r="E18" s="3072">
        <f t="shared" ca="1" si="2"/>
        <v>6329</v>
      </c>
      <c r="F18" s="3072">
        <f t="shared" ca="1" si="3"/>
        <v>3798</v>
      </c>
      <c r="G18" s="3073">
        <f t="shared" ca="1" si="4"/>
        <v>31939</v>
      </c>
      <c r="H18" s="3076"/>
      <c r="I18" s="3076"/>
    </row>
    <row r="19" spans="1:9" ht="16.5">
      <c r="A19" s="3075" t="s">
        <v>2863</v>
      </c>
      <c r="B19" s="3076">
        <f>[2]系统读取表!$B$14</f>
        <v>120291</v>
      </c>
      <c r="C19" s="3076">
        <f>[2]系统读取表!$C$14</f>
        <v>120291</v>
      </c>
      <c r="D19" s="3076">
        <f ca="1">[2]系统读取表!$D$14</f>
        <v>70769</v>
      </c>
      <c r="E19" s="3072">
        <f t="shared" ca="1" si="2"/>
        <v>5883</v>
      </c>
      <c r="F19" s="3072">
        <f t="shared" ca="1" si="3"/>
        <v>5883</v>
      </c>
      <c r="G19" s="3073">
        <f t="shared" ca="1" si="4"/>
        <v>70769</v>
      </c>
      <c r="H19" s="3076"/>
      <c r="I19" s="3076"/>
    </row>
    <row r="20" spans="1:9" ht="16.5">
      <c r="A20" s="3075" t="s">
        <v>2864</v>
      </c>
      <c r="B20" s="3076">
        <f>[3]系统读取表!$B$14</f>
        <v>158377</v>
      </c>
      <c r="C20" s="3076">
        <f>[3]系统读取表!$C$14</f>
        <v>93163</v>
      </c>
      <c r="D20" s="3076">
        <f ca="1">[3]系统读取表!$D$14</f>
        <v>80550</v>
      </c>
      <c r="E20" s="3072">
        <f t="shared" ca="1" si="2"/>
        <v>5086</v>
      </c>
      <c r="F20" s="3072">
        <f t="shared" ca="1" si="3"/>
        <v>8646</v>
      </c>
      <c r="G20" s="3073">
        <f t="shared" ca="1" si="4"/>
        <v>80550</v>
      </c>
      <c r="H20" s="3076"/>
      <c r="I20" s="3076"/>
    </row>
    <row r="21" spans="1:9" ht="16.5">
      <c r="A21" s="3075" t="s">
        <v>2865</v>
      </c>
      <c r="B21" s="3076"/>
      <c r="C21" s="3076"/>
      <c r="D21" s="3076"/>
      <c r="E21" s="3072" t="e">
        <f t="shared" si="2"/>
        <v>#DIV/0!</v>
      </c>
      <c r="F21" s="3072" t="e">
        <f t="shared" si="3"/>
        <v>#DIV/0!</v>
      </c>
      <c r="G21" s="3076"/>
      <c r="H21" s="3076"/>
      <c r="I21" s="3076"/>
    </row>
    <row r="22" spans="1:9" ht="16.5">
      <c r="A22" s="3075" t="s">
        <v>2866</v>
      </c>
      <c r="B22" s="3076"/>
      <c r="C22" s="3076"/>
      <c r="D22" s="3076"/>
      <c r="E22" s="3072" t="e">
        <f t="shared" si="2"/>
        <v>#DIV/0!</v>
      </c>
      <c r="F22" s="3072" t="e">
        <f t="shared" si="3"/>
        <v>#DIV/0!</v>
      </c>
      <c r="G22" s="3076"/>
      <c r="H22" s="3076"/>
      <c r="I22" s="3076"/>
    </row>
    <row r="23" spans="1:9" ht="16.5">
      <c r="A23" s="3075" t="s">
        <v>2867</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M38" sqref="M38:O38"/>
    </sheetView>
  </sheetViews>
  <sheetFormatPr defaultColWidth="12.625" defaultRowHeight="21.75" customHeight="1"/>
  <cols>
    <col min="1" max="2" width="12.625" style="1248" bestFit="1" customWidth="1"/>
    <col min="3" max="4" width="12.625" style="1248" customWidth="1"/>
    <col min="5" max="9" width="12.625" style="1248"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8"/>
  </cols>
  <sheetData>
    <row r="1" spans="1:22" ht="21.75" customHeight="1" thickBot="1">
      <c r="A1" s="1774" t="s">
        <v>2055</v>
      </c>
      <c r="B1" s="1775"/>
      <c r="C1" s="1803" t="s">
        <v>2056</v>
      </c>
      <c r="D1" s="1804" t="s">
        <v>2984</v>
      </c>
      <c r="E1" s="1803" t="s">
        <v>2057</v>
      </c>
      <c r="F1" s="1805" t="s">
        <v>2985</v>
      </c>
      <c r="G1" s="310"/>
      <c r="H1" s="310"/>
      <c r="I1" s="310"/>
      <c r="J1" s="2027"/>
      <c r="K1" s="2027"/>
      <c r="L1" s="2027"/>
      <c r="M1" s="2027"/>
      <c r="N1" s="2027"/>
      <c r="O1" s="2027"/>
      <c r="P1" s="2027"/>
      <c r="Q1" s="2027"/>
      <c r="R1" s="2027"/>
      <c r="S1" s="2027"/>
      <c r="T1" s="2027"/>
      <c r="U1" s="2027"/>
      <c r="V1" s="2027"/>
    </row>
    <row r="2" spans="1:22" ht="21.75" customHeight="1" thickBot="1">
      <c r="A2" s="3372" t="str">
        <f>项目基本情况!K2</f>
        <v>海南省万宁市东澳镇老爷海北岸西桥东北侧出让国有建设用地使用权</v>
      </c>
      <c r="B2" s="3373"/>
      <c r="C2" s="3374"/>
      <c r="D2" s="3374"/>
      <c r="E2" s="3374"/>
      <c r="F2" s="3374"/>
      <c r="G2" s="3373"/>
      <c r="H2" s="3373"/>
      <c r="I2" s="3375"/>
      <c r="J2" s="2028"/>
      <c r="K2" s="2027"/>
      <c r="L2" s="2027"/>
      <c r="M2" s="2027"/>
      <c r="N2" s="2027"/>
      <c r="O2" s="2027"/>
      <c r="P2" s="2027"/>
      <c r="Q2" s="2027"/>
      <c r="R2" s="2027"/>
      <c r="S2" s="2027"/>
      <c r="T2" s="2027"/>
      <c r="U2" s="2027"/>
      <c r="V2" s="2027"/>
    </row>
    <row r="3" spans="1:22" ht="14.25">
      <c r="A3" s="3365" t="s">
        <v>298</v>
      </c>
      <c r="B3" s="3366"/>
      <c r="C3" s="3366"/>
      <c r="D3" s="3366"/>
      <c r="E3" s="3366"/>
      <c r="F3" s="3366"/>
      <c r="G3" s="3366"/>
      <c r="H3" s="3366"/>
      <c r="I3" s="3366"/>
      <c r="J3" s="2028"/>
      <c r="K3" s="2027"/>
      <c r="L3" s="2027"/>
      <c r="M3" s="2027"/>
      <c r="N3" s="2027"/>
      <c r="O3" s="2027"/>
      <c r="P3" s="2027"/>
      <c r="Q3" s="2027"/>
      <c r="R3" s="2027"/>
      <c r="S3" s="2027"/>
      <c r="T3" s="2027"/>
      <c r="U3" s="2027"/>
      <c r="V3" s="2027"/>
    </row>
    <row r="4" spans="1:22" ht="14.25">
      <c r="A4" s="257" t="s">
        <v>299</v>
      </c>
      <c r="B4" s="258" t="s">
        <v>300</v>
      </c>
      <c r="C4" s="259" t="s">
        <v>2982</v>
      </c>
      <c r="D4" s="259" t="s">
        <v>2983</v>
      </c>
      <c r="E4" s="3337" t="s">
        <v>301</v>
      </c>
      <c r="F4" s="3338"/>
      <c r="G4" s="3338"/>
      <c r="H4" s="3338"/>
      <c r="I4" s="336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36" t="s">
        <v>302</v>
      </c>
      <c r="B5" s="3362">
        <v>25</v>
      </c>
      <c r="C5" s="3360"/>
      <c r="D5" s="3364"/>
      <c r="E5" s="260" t="s">
        <v>303</v>
      </c>
      <c r="F5" s="261"/>
      <c r="G5" s="261"/>
      <c r="H5" s="261"/>
      <c r="I5" s="262"/>
      <c r="J5" s="2028"/>
      <c r="K5" s="2027"/>
      <c r="L5" s="2027"/>
      <c r="M5" s="2027"/>
      <c r="N5" s="2027"/>
      <c r="O5" s="2027"/>
      <c r="P5" s="2027"/>
      <c r="Q5" s="2027"/>
      <c r="R5" s="2027"/>
      <c r="S5" s="2027"/>
      <c r="T5" s="2027"/>
      <c r="U5" s="2027"/>
      <c r="V5" s="2027"/>
    </row>
    <row r="6" spans="1:22" ht="14.25">
      <c r="A6" s="3336"/>
      <c r="B6" s="3362"/>
      <c r="C6" s="3363"/>
      <c r="D6" s="3364"/>
      <c r="E6" s="260" t="s">
        <v>304</v>
      </c>
      <c r="F6" s="261"/>
      <c r="G6" s="261"/>
      <c r="H6" s="261"/>
      <c r="I6" s="262"/>
      <c r="J6" s="2028"/>
      <c r="K6" s="2027"/>
      <c r="L6" s="2027"/>
      <c r="M6" s="2027"/>
      <c r="N6" s="2027"/>
      <c r="O6" s="2027"/>
      <c r="P6" s="2027"/>
      <c r="Q6" s="2027"/>
      <c r="R6" s="2027"/>
      <c r="S6" s="2027"/>
      <c r="T6" s="2027"/>
      <c r="U6" s="2027"/>
      <c r="V6" s="2027"/>
    </row>
    <row r="7" spans="1:22" ht="14.25">
      <c r="A7" s="3336"/>
      <c r="B7" s="3362"/>
      <c r="C7" s="3361"/>
      <c r="D7" s="3364"/>
      <c r="E7" s="260" t="s">
        <v>305</v>
      </c>
      <c r="F7" s="261"/>
      <c r="G7" s="261"/>
      <c r="H7" s="261"/>
      <c r="I7" s="262"/>
      <c r="J7" s="2028"/>
      <c r="K7" s="2027"/>
      <c r="L7" s="2027"/>
      <c r="M7" s="2027"/>
      <c r="N7" s="2027"/>
      <c r="O7" s="2027"/>
      <c r="P7" s="2027"/>
      <c r="Q7" s="2027"/>
      <c r="R7" s="2027"/>
      <c r="S7" s="2027"/>
      <c r="T7" s="2027"/>
      <c r="U7" s="2027"/>
      <c r="V7" s="2027"/>
    </row>
    <row r="8" spans="1:22" ht="14.25">
      <c r="A8" s="3336" t="s">
        <v>306</v>
      </c>
      <c r="B8" s="3362">
        <v>15</v>
      </c>
      <c r="C8" s="3360"/>
      <c r="D8" s="3364"/>
      <c r="E8" s="260" t="s">
        <v>307</v>
      </c>
      <c r="F8" s="261"/>
      <c r="G8" s="261"/>
      <c r="H8" s="261"/>
      <c r="I8" s="262"/>
      <c r="J8" s="2028"/>
      <c r="K8" s="2027"/>
      <c r="L8" s="2027"/>
      <c r="M8" s="2027"/>
      <c r="N8" s="2027"/>
      <c r="O8" s="2027"/>
      <c r="P8" s="2027"/>
      <c r="Q8" s="2027"/>
      <c r="R8" s="2027"/>
      <c r="S8" s="2027"/>
      <c r="T8" s="2027"/>
      <c r="U8" s="2027"/>
      <c r="V8" s="2027"/>
    </row>
    <row r="9" spans="1:22" ht="14.25">
      <c r="A9" s="3336"/>
      <c r="B9" s="3362"/>
      <c r="C9" s="3361"/>
      <c r="D9" s="3364"/>
      <c r="E9" s="260" t="s">
        <v>308</v>
      </c>
      <c r="F9" s="261"/>
      <c r="G9" s="261"/>
      <c r="H9" s="261"/>
      <c r="I9" s="262"/>
      <c r="J9" s="2028"/>
      <c r="K9" s="2027"/>
      <c r="L9" s="2027"/>
      <c r="M9" s="2027"/>
      <c r="N9" s="2027"/>
      <c r="O9" s="2027"/>
      <c r="P9" s="2027"/>
      <c r="Q9" s="2027"/>
      <c r="R9" s="2027"/>
      <c r="S9" s="2027"/>
      <c r="T9" s="2027"/>
      <c r="U9" s="2027"/>
      <c r="V9" s="2027"/>
    </row>
    <row r="10" spans="1:22" ht="14.25">
      <c r="A10" s="3336" t="s">
        <v>309</v>
      </c>
      <c r="B10" s="3362">
        <v>15</v>
      </c>
      <c r="C10" s="3360"/>
      <c r="D10" s="3364"/>
      <c r="E10" s="260" t="s">
        <v>310</v>
      </c>
      <c r="F10" s="261"/>
      <c r="G10" s="261"/>
      <c r="H10" s="261"/>
      <c r="I10" s="262"/>
      <c r="J10" s="2028"/>
      <c r="K10" s="2027"/>
      <c r="L10" s="2027"/>
      <c r="M10" s="2027"/>
      <c r="N10" s="2027"/>
      <c r="O10" s="2027"/>
      <c r="P10" s="2027"/>
      <c r="Q10" s="2027"/>
      <c r="R10" s="2027"/>
      <c r="S10" s="2027"/>
      <c r="T10" s="2027"/>
      <c r="U10" s="2027"/>
      <c r="V10" s="2027"/>
    </row>
    <row r="11" spans="1:22" ht="14.25">
      <c r="A11" s="3336"/>
      <c r="B11" s="3362"/>
      <c r="C11" s="3361"/>
      <c r="D11" s="3364"/>
      <c r="E11" s="260" t="s">
        <v>311</v>
      </c>
      <c r="F11" s="261"/>
      <c r="G11" s="261"/>
      <c r="H11" s="261"/>
      <c r="I11" s="262"/>
      <c r="J11" s="2028"/>
      <c r="K11" s="2027"/>
      <c r="L11" s="2027"/>
      <c r="M11" s="2027"/>
      <c r="N11" s="2027"/>
      <c r="O11" s="2027"/>
      <c r="P11" s="2027"/>
      <c r="Q11" s="2027"/>
      <c r="R11" s="2027"/>
      <c r="S11" s="2027"/>
      <c r="T11" s="2027"/>
      <c r="U11" s="2027"/>
      <c r="V11" s="2027"/>
    </row>
    <row r="12" spans="1:22" ht="14.25">
      <c r="A12" s="3336" t="s">
        <v>312</v>
      </c>
      <c r="B12" s="3362">
        <v>15</v>
      </c>
      <c r="C12" s="3360"/>
      <c r="D12" s="3364"/>
      <c r="E12" s="260" t="s">
        <v>313</v>
      </c>
      <c r="F12" s="261"/>
      <c r="G12" s="261"/>
      <c r="H12" s="261"/>
      <c r="I12" s="262"/>
      <c r="J12" s="2028"/>
      <c r="K12" s="2027"/>
      <c r="L12" s="2027"/>
      <c r="M12" s="2027"/>
      <c r="N12" s="2027"/>
      <c r="O12" s="2027"/>
      <c r="P12" s="2027"/>
      <c r="Q12" s="2027"/>
      <c r="R12" s="2027"/>
      <c r="S12" s="2027"/>
      <c r="T12" s="2027"/>
      <c r="U12" s="2027"/>
      <c r="V12" s="2027"/>
    </row>
    <row r="13" spans="1:22" ht="14.25">
      <c r="A13" s="3336"/>
      <c r="B13" s="3362"/>
      <c r="C13" s="3361"/>
      <c r="D13" s="3364"/>
      <c r="E13" s="260" t="s">
        <v>314</v>
      </c>
      <c r="F13" s="261"/>
      <c r="G13" s="261"/>
      <c r="H13" s="261"/>
      <c r="I13" s="262"/>
      <c r="J13" s="2028"/>
      <c r="K13" s="2027"/>
      <c r="L13" s="2027"/>
      <c r="M13" s="2027"/>
      <c r="N13" s="2027"/>
      <c r="O13" s="2027"/>
      <c r="P13" s="2027"/>
      <c r="Q13" s="2027"/>
      <c r="R13" s="2027"/>
      <c r="S13" s="2027"/>
      <c r="T13" s="2027"/>
      <c r="U13" s="2027"/>
      <c r="V13" s="2027"/>
    </row>
    <row r="14" spans="1:22" ht="14.25">
      <c r="A14" s="3336" t="s">
        <v>315</v>
      </c>
      <c r="B14" s="3362">
        <v>30</v>
      </c>
      <c r="C14" s="3360">
        <v>4</v>
      </c>
      <c r="D14" s="3364">
        <v>6</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36"/>
      <c r="B15" s="3362"/>
      <c r="C15" s="3363"/>
      <c r="D15" s="3364"/>
      <c r="E15" s="260" t="s">
        <v>317</v>
      </c>
      <c r="F15" s="261"/>
      <c r="G15" s="261"/>
      <c r="H15" s="261"/>
      <c r="I15" s="262"/>
      <c r="J15" s="2028"/>
      <c r="K15" s="2027"/>
      <c r="L15" s="2027"/>
      <c r="M15" s="2027"/>
      <c r="N15" s="2027"/>
      <c r="O15" s="2027"/>
      <c r="P15" s="2027"/>
      <c r="Q15" s="2027"/>
      <c r="R15" s="2027"/>
      <c r="S15" s="2027"/>
      <c r="T15" s="2027"/>
      <c r="U15" s="2027"/>
      <c r="V15" s="2027"/>
    </row>
    <row r="16" spans="1:22" ht="14.25">
      <c r="A16" s="3336"/>
      <c r="B16" s="3362"/>
      <c r="C16" s="3361"/>
      <c r="D16" s="3364"/>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7684</v>
      </c>
      <c r="D19" s="270">
        <f ca="1">SUMIF(INDIRECT("'"&amp;D4&amp;"'"&amp;"!A:A"),结果表!B19,INDIRECT("'"&amp;D4&amp;"'"&amp;"!B:B"))</f>
        <v>28102</v>
      </c>
      <c r="E19" s="267" t="s">
        <v>323</v>
      </c>
      <c r="F19" s="268" t="s">
        <v>322</v>
      </c>
      <c r="G19" s="271">
        <f ca="1">ROUND(C19*$C$18+D19*$D$18,0)</f>
        <v>19935</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2488</v>
      </c>
      <c r="D20" s="276">
        <f ca="1">SUMIF(INDIRECT("'"&amp;D4&amp;"'"&amp;"!A:A"),结果表!B20,INDIRECT("'"&amp;D4&amp;"'"&amp;"!B:B"))</f>
        <v>9099</v>
      </c>
      <c r="E20" s="273"/>
      <c r="F20" s="274" t="s">
        <v>325</v>
      </c>
      <c r="G20" s="277">
        <f ca="1">ROUND(C20*$C$18+D20*$D$18,0)</f>
        <v>6455</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1493</v>
      </c>
      <c r="D21" s="151">
        <f ca="1">SUMIF(INDIRECT("'"&amp;D4&amp;"'"&amp;"!A:A"),结果表!B21,INDIRECT("'"&amp;D4&amp;"'"&amp;"!B:B"))</f>
        <v>5459</v>
      </c>
      <c r="E21" s="273"/>
      <c r="F21" s="279" t="s">
        <v>327</v>
      </c>
      <c r="G21" s="281">
        <f ca="1">ROUND(C21*$C$18+D21*$D$18,0)</f>
        <v>3873</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2.6572097865694952</v>
      </c>
      <c r="E22" s="283"/>
      <c r="F22" s="284"/>
      <c r="G22" s="285">
        <f ca="1">ROUND(G19/('数据-汇总表'!D3/666.67),0)</f>
        <v>258</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42"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43"/>
      <c r="B25" s="1319" t="s">
        <v>331</v>
      </c>
      <c r="C25" s="289">
        <f>IF(B30=0,0,C30)</f>
        <v>0</v>
      </c>
      <c r="D25" s="290"/>
      <c r="E25" s="310"/>
      <c r="F25" s="310"/>
      <c r="G25" s="310"/>
      <c r="H25" s="310"/>
      <c r="I25" s="310"/>
      <c r="J25" s="2027"/>
      <c r="K25" s="1253" t="str">
        <f ca="1">项目基本情况!B16&amp;"国有建设用地使用权价格："&amp;O38&amp;"万元"</f>
        <v>出让国有建设用地使用权价格：19935万元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大写金额：人民币壹亿玖仟玖佰叁拾伍万元整</v>
      </c>
      <c r="L26" s="1250"/>
      <c r="M26" s="1250"/>
      <c r="N26" s="1250"/>
      <c r="O26" s="1249"/>
      <c r="P26" s="2027"/>
      <c r="Q26" s="2027"/>
      <c r="R26" s="2027"/>
      <c r="S26" s="2027"/>
      <c r="T26" s="2027"/>
      <c r="U26" s="2027"/>
      <c r="V26" s="2027"/>
      <c r="W26" s="291"/>
      <c r="X26" s="291"/>
      <c r="Y26" s="291"/>
      <c r="Z26" s="291"/>
    </row>
    <row r="27" spans="1:26" ht="18">
      <c r="A27" s="3196" t="s">
        <v>3080</v>
      </c>
      <c r="B27" s="293">
        <f>'数据-汇总表'!D3</f>
        <v>51474</v>
      </c>
      <c r="C27" s="293"/>
      <c r="D27" s="294">
        <f>ROUND(B27*C27/10000,0)</f>
        <v>0</v>
      </c>
      <c r="E27" s="310"/>
      <c r="F27" s="310"/>
      <c r="G27" s="310"/>
      <c r="H27" s="310"/>
      <c r="I27" s="310"/>
      <c r="J27" s="2027"/>
      <c r="K27" s="1256" t="str">
        <f ca="1">"单位面积地价："&amp;M38&amp;"元/平方米"</f>
        <v>单位面积地价：3873元/平方米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楼面地价：6455元/平方米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抵押价格：19935万元</v>
      </c>
      <c r="L29" s="1250"/>
      <c r="M29" s="1250"/>
      <c r="N29" s="1250"/>
      <c r="O29" s="1249"/>
      <c r="P29" s="2027"/>
      <c r="V29" s="2027"/>
    </row>
    <row r="30" spans="1:26" ht="18.75" thickBot="1">
      <c r="A30" s="3159" t="s">
        <v>336</v>
      </c>
      <c r="B30" s="308">
        <f>B27</f>
        <v>51474</v>
      </c>
      <c r="C30" s="308"/>
      <c r="D30" s="309">
        <f>D27</f>
        <v>0</v>
      </c>
      <c r="E30" s="3160" t="s">
        <v>2968</v>
      </c>
      <c r="F30" s="310"/>
      <c r="G30" s="310"/>
      <c r="H30" s="310"/>
      <c r="I30" s="310"/>
      <c r="J30" s="2027"/>
      <c r="K30" s="1256" t="str">
        <f ca="1">IF(K29="——","——","大写金额：人民币"&amp;NUMBERSTRING(INT(O39*10000),2)&amp;"元整")</f>
        <v>大写金额：人民币壹亿玖仟玖佰叁拾伍万元整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79" t="s">
        <v>1688</v>
      </c>
      <c r="C32" s="1380">
        <f ca="1">G19-C24</f>
        <v>19935</v>
      </c>
      <c r="D32" s="1381" t="s">
        <v>1689</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2" t="s">
        <v>1690</v>
      </c>
      <c r="C33" s="263">
        <f ca="1">ROUND(C32*10000/'数据-汇总表'!E3,0)</f>
        <v>6455</v>
      </c>
      <c r="D33" s="1383" t="s">
        <v>1691</v>
      </c>
      <c r="E33" s="3342"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1692</v>
      </c>
      <c r="C34" s="263">
        <f ca="1">ROUND(C32*10000/'数据-汇总表'!D3,0)</f>
        <v>3873</v>
      </c>
      <c r="D34" s="1385" t="s">
        <v>1691</v>
      </c>
      <c r="E34" s="3383"/>
      <c r="F34" s="127" t="s">
        <v>341</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258</v>
      </c>
      <c r="D35" s="1388" t="s">
        <v>1693</v>
      </c>
      <c r="E35" s="3384"/>
      <c r="F35" s="300" t="s">
        <v>342</v>
      </c>
      <c r="G35" s="980"/>
      <c r="H35" s="979" t="s">
        <v>343</v>
      </c>
      <c r="I35" s="310"/>
      <c r="J35" s="2027"/>
      <c r="K35" s="3357" t="s">
        <v>350</v>
      </c>
      <c r="L35" s="3357" t="s">
        <v>351</v>
      </c>
      <c r="M35" s="1262" t="s">
        <v>352</v>
      </c>
      <c r="N35" s="3357" t="s">
        <v>353</v>
      </c>
      <c r="O35" s="3357" t="s">
        <v>354</v>
      </c>
      <c r="P35" s="2027"/>
      <c r="V35" s="2027"/>
    </row>
    <row r="36" spans="1:26" ht="16.5" customHeight="1">
      <c r="A36" s="302" t="s">
        <v>344</v>
      </c>
      <c r="B36" s="303" t="s">
        <v>333</v>
      </c>
      <c r="C36" s="304" t="s">
        <v>345</v>
      </c>
      <c r="D36" s="304" t="s">
        <v>346</v>
      </c>
      <c r="E36" s="305" t="s">
        <v>347</v>
      </c>
      <c r="F36" s="310"/>
      <c r="G36" s="310"/>
      <c r="H36" s="310"/>
      <c r="I36" s="310"/>
      <c r="J36" s="2029"/>
      <c r="K36" s="3358"/>
      <c r="L36" s="3358"/>
      <c r="M36" s="1264" t="s">
        <v>355</v>
      </c>
      <c r="N36" s="3358"/>
      <c r="O36" s="3358"/>
      <c r="P36" s="2027"/>
      <c r="V36" s="2027"/>
    </row>
    <row r="37" spans="1:26" ht="16.5" customHeight="1" thickBot="1">
      <c r="A37" s="1258" t="s">
        <v>348</v>
      </c>
      <c r="B37" s="306"/>
      <c r="C37" s="293"/>
      <c r="D37" s="293"/>
      <c r="E37" s="294"/>
      <c r="F37" s="310"/>
      <c r="G37" s="310"/>
      <c r="H37" s="310"/>
      <c r="I37" s="310"/>
      <c r="J37" s="2029"/>
      <c r="K37" s="3359"/>
      <c r="L37" s="3359"/>
      <c r="M37" s="1265"/>
      <c r="N37" s="3359"/>
      <c r="O37" s="3359"/>
      <c r="P37" s="2027"/>
      <c r="V37" s="2027"/>
    </row>
    <row r="38" spans="1:26" ht="16.5" customHeight="1" thickBot="1">
      <c r="A38" s="1258" t="s">
        <v>349</v>
      </c>
      <c r="B38" s="306"/>
      <c r="C38" s="293"/>
      <c r="D38" s="293"/>
      <c r="E38" s="294"/>
      <c r="F38" s="310"/>
      <c r="G38" s="310"/>
      <c r="H38" s="310"/>
      <c r="I38" s="310"/>
      <c r="J38" s="2029"/>
      <c r="K38" s="1266">
        <f>'数据-汇总表'!D3</f>
        <v>51474</v>
      </c>
      <c r="L38" s="1267">
        <f>'数据-汇总表'!E3</f>
        <v>30884</v>
      </c>
      <c r="M38" s="1267">
        <f ca="1">C34</f>
        <v>3873</v>
      </c>
      <c r="N38" s="1267">
        <f ca="1">C33</f>
        <v>6455</v>
      </c>
      <c r="O38" s="1268">
        <f ca="1">C32</f>
        <v>19935</v>
      </c>
      <c r="P38" s="2027"/>
      <c r="V38" s="2027"/>
    </row>
    <row r="39" spans="1:26" ht="16.5" customHeight="1" thickBot="1">
      <c r="A39" s="1263"/>
      <c r="B39" s="307"/>
      <c r="C39" s="308"/>
      <c r="D39" s="308"/>
      <c r="E39" s="309"/>
      <c r="F39" s="310"/>
      <c r="G39" s="310"/>
      <c r="H39" s="310"/>
      <c r="I39" s="310"/>
      <c r="J39" s="2029"/>
      <c r="K39" s="3402" t="str">
        <f>MID(A44,3,LEN(A44)-2)</f>
        <v>抵押价格</v>
      </c>
      <c r="L39" s="3403"/>
      <c r="M39" s="3403"/>
      <c r="N39" s="3404"/>
      <c r="O39" s="1390">
        <f ca="1">C44</f>
        <v>19935</v>
      </c>
      <c r="P39" s="2027"/>
      <c r="V39" s="2027"/>
    </row>
    <row r="40" spans="1:26" ht="19.5" thickBot="1">
      <c r="A40" s="104" t="s">
        <v>872</v>
      </c>
      <c r="B40" s="310"/>
      <c r="C40" s="310"/>
      <c r="D40" s="310"/>
      <c r="E40" s="310"/>
      <c r="F40" s="310"/>
      <c r="G40" s="310"/>
      <c r="H40" s="310"/>
      <c r="I40" s="310"/>
      <c r="J40" s="2029"/>
      <c r="K40" s="3402" t="str">
        <f t="shared" ref="K40:K41" si="0">MID(A45,3,LEN(A45)-2)</f>
        <v/>
      </c>
      <c r="L40" s="3403"/>
      <c r="M40" s="3403"/>
      <c r="N40" s="3404"/>
      <c r="O40" s="1390" t="str">
        <f>C45</f>
        <v>——</v>
      </c>
      <c r="P40" s="2027"/>
      <c r="V40" s="2027"/>
    </row>
    <row r="41" spans="1:26" ht="16.5" thickBot="1">
      <c r="A41" s="311" t="s">
        <v>356</v>
      </c>
      <c r="B41" s="312"/>
      <c r="C41" s="313" t="s">
        <v>357</v>
      </c>
      <c r="D41" s="314" t="s">
        <v>358</v>
      </c>
      <c r="E41" s="314" t="s">
        <v>359</v>
      </c>
      <c r="F41" s="315" t="s">
        <v>360</v>
      </c>
      <c r="G41" s="310"/>
      <c r="H41" s="310"/>
      <c r="I41" s="310"/>
      <c r="J41" s="2029"/>
      <c r="K41" s="3402" t="str">
        <f t="shared" si="0"/>
        <v/>
      </c>
      <c r="L41" s="3403"/>
      <c r="M41" s="3403"/>
      <c r="N41" s="3404"/>
      <c r="O41" s="1390" t="str">
        <f>C46</f>
        <v>——</v>
      </c>
      <c r="P41" s="2027"/>
      <c r="V41" s="2027"/>
    </row>
    <row r="42" spans="1:26" ht="29.25">
      <c r="A42" s="3344" t="s">
        <v>2067</v>
      </c>
      <c r="B42" s="3345"/>
      <c r="C42" s="263">
        <f ca="1">C32</f>
        <v>19935</v>
      </c>
      <c r="D42" s="316">
        <f ca="1">C33</f>
        <v>6455</v>
      </c>
      <c r="E42" s="316">
        <f ca="1">C34</f>
        <v>3873</v>
      </c>
      <c r="F42" s="317">
        <f ca="1">C35</f>
        <v>258</v>
      </c>
      <c r="G42" s="310"/>
      <c r="H42" s="310"/>
      <c r="I42" s="318"/>
      <c r="J42" s="2029"/>
      <c r="K42" s="1269" t="s">
        <v>361</v>
      </c>
      <c r="L42" s="2046" t="s">
        <v>362</v>
      </c>
      <c r="M42" s="1270" t="s">
        <v>363</v>
      </c>
      <c r="N42" s="2047" t="s">
        <v>364</v>
      </c>
      <c r="O42" s="2048" t="s">
        <v>365</v>
      </c>
      <c r="P42" s="2027"/>
      <c r="V42" s="2027"/>
    </row>
    <row r="43" spans="1:26" ht="30">
      <c r="A43" s="3355" t="s">
        <v>2728</v>
      </c>
      <c r="B43" s="3356"/>
      <c r="C43" s="263">
        <f>IF(H33="正常操作",G33+G34+G35,G34+G35)</f>
        <v>0</v>
      </c>
      <c r="D43" s="316" t="s">
        <v>43</v>
      </c>
      <c r="E43" s="316" t="s">
        <v>44</v>
      </c>
      <c r="F43" s="317" t="s">
        <v>44</v>
      </c>
      <c r="G43" s="2889" t="s">
        <v>951</v>
      </c>
      <c r="H43" s="310"/>
      <c r="I43" s="318"/>
      <c r="J43" s="2029"/>
      <c r="K43" s="1271" t="str">
        <f>C4</f>
        <v>比较法-住宅、综合</v>
      </c>
      <c r="L43" s="1272">
        <f ca="1">IF(L42="估价结果/万元",C19,C20)</f>
        <v>7684</v>
      </c>
      <c r="M43" s="1273">
        <f>C18</f>
        <v>0.4</v>
      </c>
      <c r="N43" s="1274">
        <f ca="1">IF(N42="测算结果/万元",G19,G20)</f>
        <v>19935</v>
      </c>
      <c r="O43" s="1275">
        <f ca="1">IF(O42="最终结果/万元",C32,C33)</f>
        <v>19935</v>
      </c>
      <c r="P43" s="2027"/>
      <c r="V43" s="2027"/>
    </row>
    <row r="44" spans="1:26" ht="30.75" thickBot="1">
      <c r="A44" s="3344" t="str">
        <f>IF(OR(项目基本情况!E8="抵押价格",项目基本情况!E8="已注销及未注销"),"3.抵押价格","——")</f>
        <v>3.抵押价格</v>
      </c>
      <c r="B44" s="3345"/>
      <c r="C44" s="263">
        <f ca="1">IF(A44="——","——",C42-C43)</f>
        <v>19935</v>
      </c>
      <c r="D44" s="316">
        <f ca="1">ROUND(C44*10000/'数据-汇总表'!E3,0)</f>
        <v>6455</v>
      </c>
      <c r="E44" s="316">
        <f ca="1">ROUND(C44*10000/'数据-汇总表'!D3,0)</f>
        <v>3873</v>
      </c>
      <c r="F44" s="317">
        <f ca="1">ROUND(C44/('数据-汇总表'!D3/666.67),0)</f>
        <v>258</v>
      </c>
      <c r="G44" s="310"/>
      <c r="H44" s="310"/>
      <c r="I44" s="318"/>
      <c r="J44" s="2029"/>
      <c r="K44" s="1276" t="str">
        <f>D4</f>
        <v>剩余法-待开发</v>
      </c>
      <c r="L44" s="1277">
        <f ca="1">IF(L42="估价结果/万元",D19,D20)</f>
        <v>28102</v>
      </c>
      <c r="M44" s="1278">
        <f>D18</f>
        <v>0.6</v>
      </c>
      <c r="N44" s="1279"/>
      <c r="O44" s="1280"/>
      <c r="P44" s="2027"/>
      <c r="V44" s="2027"/>
    </row>
    <row r="45" spans="1:26" ht="15">
      <c r="A45" s="3350" t="str">
        <f>IF(项目基本情况!E8="已注销及未注销","4.抵押担保权已注销时的抵押价格",IF(项目基本情况!E8="已注销","3.抵押担保权已注销时的抵押价格","——"))</f>
        <v>——</v>
      </c>
      <c r="B45" s="3351"/>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46" t="str">
        <f>IF(项目基本情况!E9="抵押净值",IF(A45="——","4.抵押净值","5.抵押净值"),"——")</f>
        <v>——</v>
      </c>
      <c r="B46" s="3347"/>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91" t="s">
        <v>374</v>
      </c>
      <c r="B63" s="3392"/>
      <c r="C63" s="3393"/>
      <c r="D63" s="340">
        <f ca="1">ROUND(C42*F63,0)</f>
        <v>11961</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352" t="s">
        <v>378</v>
      </c>
      <c r="B64" s="3353"/>
      <c r="C64" s="3353"/>
      <c r="D64" s="3353"/>
      <c r="E64" s="3353"/>
      <c r="F64" s="3353"/>
      <c r="G64" s="3354"/>
      <c r="H64" s="1286"/>
      <c r="I64" s="947"/>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7"/>
      <c r="J65" s="1989"/>
      <c r="K65" s="1287"/>
      <c r="L65" s="1288"/>
      <c r="M65" s="1288"/>
      <c r="N65" s="1320" t="s">
        <v>379</v>
      </c>
      <c r="O65" s="1321"/>
      <c r="P65" s="1322"/>
      <c r="Q65" s="2027"/>
      <c r="R65" s="2027"/>
      <c r="S65" s="2027"/>
      <c r="T65" s="2027"/>
      <c r="U65" s="2027"/>
      <c r="V65" s="2027"/>
    </row>
    <row r="66" spans="1:22" ht="25.5">
      <c r="A66" s="3348" t="s">
        <v>386</v>
      </c>
      <c r="B66" s="3349"/>
      <c r="C66" s="3349"/>
      <c r="D66" s="260">
        <f ca="1">IF(H66="情况1",0,IF(H66="情况2",D70,IF(H66="情况3",D71,IF(H66="情况4",D72))))</f>
        <v>638</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406" t="s">
        <v>385</v>
      </c>
      <c r="M66" s="3407"/>
      <c r="N66" s="2481"/>
      <c r="O66" s="2482"/>
      <c r="P66" s="2483"/>
      <c r="Q66" s="2027"/>
      <c r="R66" s="2027"/>
      <c r="S66" s="2027"/>
      <c r="T66" s="2027"/>
      <c r="U66" s="2027"/>
      <c r="V66" s="2027"/>
    </row>
    <row r="67" spans="1:22" ht="25.5" customHeight="1">
      <c r="A67" s="351" t="s">
        <v>390</v>
      </c>
      <c r="B67" s="3339" t="s">
        <v>391</v>
      </c>
      <c r="C67" s="3339"/>
      <c r="D67" s="352">
        <v>0</v>
      </c>
      <c r="E67" s="41" t="s">
        <v>392</v>
      </c>
      <c r="F67" s="62" t="s">
        <v>21</v>
      </c>
      <c r="G67" s="3394"/>
      <c r="H67" s="310"/>
      <c r="I67" s="1290"/>
      <c r="J67" s="2034"/>
      <c r="K67" s="1975">
        <v>2</v>
      </c>
      <c r="L67" s="3405" t="s">
        <v>389</v>
      </c>
      <c r="M67" s="3405"/>
      <c r="N67" s="1323">
        <f>'数据-取费表'!B2</f>
        <v>43224</v>
      </c>
      <c r="O67" s="1323"/>
      <c r="P67" s="1323"/>
      <c r="Q67" s="2027"/>
      <c r="R67" s="2027"/>
      <c r="S67" s="2027"/>
      <c r="T67" s="2027"/>
      <c r="U67" s="2027"/>
      <c r="V67" s="2027"/>
    </row>
    <row r="68" spans="1:22" ht="25.5" customHeight="1">
      <c r="A68" s="353"/>
      <c r="B68" s="3339" t="s">
        <v>394</v>
      </c>
      <c r="C68" s="3339"/>
      <c r="D68" s="354"/>
      <c r="E68" s="77"/>
      <c r="F68" s="355"/>
      <c r="G68" s="3395"/>
      <c r="H68" s="310"/>
      <c r="I68" s="1290"/>
      <c r="J68" s="2034"/>
      <c r="K68" s="1975">
        <v>3</v>
      </c>
      <c r="L68" s="3405" t="s">
        <v>393</v>
      </c>
      <c r="M68" s="3405"/>
      <c r="N68" s="1291">
        <f ca="1">C42</f>
        <v>19935</v>
      </c>
      <c r="O68" s="1291"/>
      <c r="P68" s="1291"/>
      <c r="Q68" s="2027"/>
      <c r="R68" s="2027"/>
      <c r="S68" s="2027"/>
      <c r="T68" s="2027"/>
      <c r="U68" s="2027"/>
      <c r="V68" s="2027"/>
    </row>
    <row r="69" spans="1:22" ht="12" customHeight="1">
      <c r="A69" s="356"/>
      <c r="B69" s="3339" t="s">
        <v>395</v>
      </c>
      <c r="C69" s="3339"/>
      <c r="D69" s="357"/>
      <c r="E69" s="73"/>
      <c r="F69" s="355"/>
      <c r="G69" s="3396"/>
      <c r="H69" s="310"/>
      <c r="I69" s="1290"/>
      <c r="J69" s="2034"/>
      <c r="K69" s="1292">
        <v>4</v>
      </c>
      <c r="L69" s="3410" t="s">
        <v>2881</v>
      </c>
      <c r="M69" s="3411"/>
      <c r="N69" s="1293">
        <f ca="1">C44</f>
        <v>19935</v>
      </c>
      <c r="O69" s="1293"/>
      <c r="P69" s="1293"/>
      <c r="Q69" s="2027"/>
      <c r="R69" s="2027"/>
      <c r="S69" s="2027"/>
      <c r="T69" s="2027"/>
      <c r="U69" s="2027"/>
      <c r="V69" s="2027"/>
    </row>
    <row r="70" spans="1:22" ht="24" customHeight="1">
      <c r="A70" s="358" t="s">
        <v>396</v>
      </c>
      <c r="B70" s="3339" t="s">
        <v>397</v>
      </c>
      <c r="C70" s="3339"/>
      <c r="D70" s="357">
        <f ca="1">ROUND(D63*'数据-取费表'!B41/(1+'数据-取费表'!C42),0)</f>
        <v>638</v>
      </c>
      <c r="E70" s="17" t="s">
        <v>398</v>
      </c>
      <c r="F70" s="359">
        <f>'数据-取费表'!B41</f>
        <v>5.6000000000000001E-2</v>
      </c>
      <c r="G70" s="360"/>
      <c r="H70" s="310"/>
      <c r="I70" s="1290"/>
      <c r="J70" s="2034"/>
      <c r="K70" s="3085"/>
      <c r="L70" s="3086"/>
      <c r="M70" s="3086"/>
      <c r="N70" s="3087" t="s">
        <v>2886</v>
      </c>
      <c r="O70" s="3086"/>
      <c r="P70" s="3088"/>
      <c r="Q70" s="2027"/>
      <c r="R70" s="2027"/>
      <c r="S70" s="2027"/>
      <c r="T70" s="2027"/>
      <c r="U70" s="2027"/>
      <c r="V70" s="2027"/>
    </row>
    <row r="71" spans="1:22" ht="12" customHeight="1">
      <c r="A71" s="358" t="s">
        <v>404</v>
      </c>
      <c r="B71" s="3340" t="s">
        <v>405</v>
      </c>
      <c r="C71" s="3341"/>
      <c r="D71" s="357">
        <f ca="1">ROUND(D63*'数据-取费表'!B41/(1+'数据-取费表'!C42),0)</f>
        <v>638</v>
      </c>
      <c r="E71" s="17" t="s">
        <v>398</v>
      </c>
      <c r="F71" s="359">
        <f>'数据-取费表'!B41</f>
        <v>5.6000000000000001E-2</v>
      </c>
      <c r="G71" s="360"/>
      <c r="H71" s="310"/>
      <c r="I71" s="1290"/>
      <c r="J71" s="2034"/>
      <c r="K71" s="3084" t="s">
        <v>399</v>
      </c>
      <c r="L71" s="3412" t="s">
        <v>400</v>
      </c>
      <c r="M71" s="3412"/>
      <c r="N71" s="3084" t="s">
        <v>401</v>
      </c>
      <c r="O71" s="3084" t="s">
        <v>402</v>
      </c>
      <c r="P71" s="3084" t="s">
        <v>403</v>
      </c>
      <c r="Q71" s="2027"/>
      <c r="R71" s="2027"/>
      <c r="S71" s="2027"/>
      <c r="T71" s="2027"/>
      <c r="U71" s="2027"/>
      <c r="V71" s="2027"/>
    </row>
    <row r="72" spans="1:22" ht="12" customHeight="1">
      <c r="A72" s="358" t="s">
        <v>407</v>
      </c>
      <c r="B72" s="3340" t="s">
        <v>408</v>
      </c>
      <c r="C72" s="3341"/>
      <c r="D72" s="357">
        <f ca="1">C86</f>
        <v>526</v>
      </c>
      <c r="E72" s="73" t="s">
        <v>409</v>
      </c>
      <c r="F72" s="359">
        <f>'数据-取费表'!B41</f>
        <v>5.6000000000000001E-2</v>
      </c>
      <c r="G72" s="360"/>
      <c r="H72" s="1296"/>
      <c r="I72" s="1290"/>
      <c r="J72" s="2034"/>
      <c r="K72" s="1975">
        <v>1</v>
      </c>
      <c r="L72" s="3387" t="s">
        <v>406</v>
      </c>
      <c r="M72" s="3387"/>
      <c r="N72" s="1294">
        <f ca="1">D66</f>
        <v>638</v>
      </c>
      <c r="O72" s="1858" t="str">
        <f>E66</f>
        <v>销售额×税（费）率</v>
      </c>
      <c r="P72" s="1295">
        <f>F66</f>
        <v>5.6000000000000001E-2</v>
      </c>
      <c r="Q72" s="2027"/>
      <c r="R72" s="2027"/>
      <c r="S72" s="2027"/>
      <c r="T72" s="2027"/>
      <c r="U72" s="2027"/>
      <c r="V72" s="2027"/>
    </row>
    <row r="73" spans="1:22" ht="24" customHeight="1">
      <c r="A73" s="3381" t="s">
        <v>411</v>
      </c>
      <c r="B73" s="3349"/>
      <c r="C73" s="3349"/>
      <c r="D73" s="361">
        <f>IF(H73="个人住宅",0,ROUND(D63*I73,0))</f>
        <v>0</v>
      </c>
      <c r="E73" s="17" t="s">
        <v>412</v>
      </c>
      <c r="F73" s="359" t="str">
        <f>IF(H73="正常",I73,"免征")</f>
        <v>免征</v>
      </c>
      <c r="G73" s="360"/>
      <c r="H73" s="191" t="s">
        <v>2454</v>
      </c>
      <c r="I73" s="359">
        <f>'数据-取费表'!B49</f>
        <v>5.0000000000000001E-4</v>
      </c>
      <c r="J73" s="2034"/>
      <c r="K73" s="1975">
        <v>2</v>
      </c>
      <c r="L73" s="3387" t="s">
        <v>410</v>
      </c>
      <c r="M73" s="3387"/>
      <c r="N73" s="1294">
        <f t="shared" ref="N73:P74" si="1">D73</f>
        <v>0</v>
      </c>
      <c r="O73" s="1858" t="str">
        <f t="shared" si="1"/>
        <v>销售额×税（费）率</v>
      </c>
      <c r="P73" s="1295" t="str">
        <f t="shared" si="1"/>
        <v>免征</v>
      </c>
      <c r="Q73" s="2027"/>
      <c r="R73" s="2027"/>
      <c r="S73" s="2027"/>
      <c r="T73" s="2027"/>
      <c r="U73" s="2027"/>
      <c r="V73" s="2027"/>
    </row>
    <row r="74" spans="1:22" ht="24.75">
      <c r="A74" s="3381" t="s">
        <v>415</v>
      </c>
      <c r="B74" s="3349"/>
      <c r="C74" s="3349"/>
      <c r="D74" s="361">
        <f ca="1">IF(H74="个人住宅",D75,D76)</f>
        <v>6115</v>
      </c>
      <c r="E74" s="17" t="s">
        <v>416</v>
      </c>
      <c r="F74" s="359" t="str">
        <f>IF(H74="正常",F76,"免征")</f>
        <v>——</v>
      </c>
      <c r="G74" s="981" t="s">
        <v>417</v>
      </c>
      <c r="H74" s="362" t="s">
        <v>413</v>
      </c>
      <c r="I74" s="42"/>
      <c r="J74" s="2034"/>
      <c r="K74" s="1975">
        <v>3</v>
      </c>
      <c r="L74" s="3387" t="s">
        <v>414</v>
      </c>
      <c r="M74" s="3387"/>
      <c r="N74" s="1294">
        <f t="shared" ca="1" si="1"/>
        <v>6115</v>
      </c>
      <c r="O74" s="1858" t="str">
        <f t="shared" si="1"/>
        <v>增值额×税（费）率</v>
      </c>
      <c r="P74" s="1297" t="str">
        <f t="shared" si="1"/>
        <v>——</v>
      </c>
      <c r="Q74" s="2027"/>
      <c r="R74" s="2027"/>
      <c r="S74" s="2027"/>
      <c r="T74" s="2027"/>
      <c r="U74" s="2027"/>
      <c r="V74" s="2027"/>
    </row>
    <row r="75" spans="1:22" ht="24">
      <c r="A75" s="358" t="s">
        <v>418</v>
      </c>
      <c r="B75" s="3337" t="s">
        <v>419</v>
      </c>
      <c r="C75" s="3367"/>
      <c r="D75" s="363">
        <v>0</v>
      </c>
      <c r="E75" s="41" t="s">
        <v>420</v>
      </c>
      <c r="F75" s="364"/>
      <c r="G75" s="360"/>
      <c r="H75" s="42"/>
      <c r="I75" s="42"/>
      <c r="J75" s="2034"/>
      <c r="K75" s="3077">
        <f>IF(H77="非个人房产","",4)</f>
        <v>4</v>
      </c>
      <c r="L75" s="3387" t="str">
        <f>IF(H77="非个人房产","——","个人所得税")</f>
        <v>个人所得税</v>
      </c>
      <c r="M75" s="3387"/>
      <c r="N75" s="1298">
        <f ca="1">D77</f>
        <v>120</v>
      </c>
      <c r="O75" s="1871" t="str">
        <f>E77</f>
        <v>销售额×税（费）率</v>
      </c>
      <c r="P75" s="1299">
        <f>F77</f>
        <v>0.01</v>
      </c>
      <c r="Q75" s="2027"/>
      <c r="R75" s="2027"/>
      <c r="S75" s="2027"/>
      <c r="T75" s="2027"/>
      <c r="U75" s="2027"/>
      <c r="V75" s="2027"/>
    </row>
    <row r="76" spans="1:22" ht="24.75">
      <c r="A76" s="358" t="s">
        <v>396</v>
      </c>
      <c r="B76" s="3337" t="s">
        <v>422</v>
      </c>
      <c r="C76" s="3338"/>
      <c r="D76" s="361">
        <f ca="1">IF(H76="转让取得",C99,C115)</f>
        <v>6115</v>
      </c>
      <c r="E76" s="17" t="s">
        <v>423</v>
      </c>
      <c r="F76" s="53" t="s">
        <v>21</v>
      </c>
      <c r="G76" s="360"/>
      <c r="H76" s="362" t="s">
        <v>424</v>
      </c>
      <c r="I76" s="42"/>
      <c r="J76" s="2034"/>
      <c r="K76" s="3077" t="str">
        <f>IF(项目基本情况!K6="上海银行",IF(K75="",4,K75+1),"")</f>
        <v/>
      </c>
      <c r="L76" s="3398" t="str">
        <f>IF(项目基本情况!K6="上海银行","其他处置费用","")</f>
        <v/>
      </c>
      <c r="M76" s="3399"/>
      <c r="N76" s="1294" t="str">
        <f>IF(项目基本情况!K6="上海银行",N89,"")</f>
        <v/>
      </c>
      <c r="O76" s="3400" t="str">
        <f>IF(项目基本情况!K6="上海银行","包含处置中涉及的律师、诉讼、拍卖、评估等费用","")</f>
        <v/>
      </c>
      <c r="P76" s="3401"/>
      <c r="Q76" s="2027"/>
      <c r="R76" s="2027"/>
      <c r="S76" s="2027"/>
      <c r="T76" s="2027"/>
      <c r="U76" s="2027"/>
      <c r="V76" s="2027"/>
    </row>
    <row r="77" spans="1:22" ht="26.25" thickBot="1">
      <c r="A77" s="3389" t="s">
        <v>426</v>
      </c>
      <c r="B77" s="3390"/>
      <c r="C77" s="3390"/>
      <c r="D77" s="365">
        <f ca="1">IF(H77="非个人房产","——",IF(H77="个人住宅",0,ROUND(D63*I77,0)))</f>
        <v>120</v>
      </c>
      <c r="E77" s="366" t="str">
        <f>IF(H77="非个人房产","——","销售额×税（费）率")</f>
        <v>销售额×税（费）率</v>
      </c>
      <c r="F77" s="367">
        <f>IF(H77="非个人房产","——",IF(H77="个人住宅","免征",I77))</f>
        <v>0.01</v>
      </c>
      <c r="G77" s="982" t="s">
        <v>417</v>
      </c>
      <c r="H77" s="362" t="s">
        <v>2882</v>
      </c>
      <c r="I77" s="368">
        <v>0.01</v>
      </c>
      <c r="J77" s="2034"/>
      <c r="K77" s="3388">
        <f>IF(AND(K75="",K76=""),4,IF(项目基本情况!K6="上海银行",K76+1,K75+1))</f>
        <v>5</v>
      </c>
      <c r="L77" s="3387" t="s">
        <v>2883</v>
      </c>
      <c r="M77" s="3083" t="s">
        <v>421</v>
      </c>
      <c r="N77" s="1300"/>
      <c r="O77" s="1301">
        <f ca="1">SUMIF(N72:N76,"&lt;9e307")</f>
        <v>6873</v>
      </c>
      <c r="P77" s="1302"/>
      <c r="Q77" s="3081">
        <f ca="1">O77/N69</f>
        <v>0.34477050413844995</v>
      </c>
      <c r="R77" s="2027"/>
      <c r="S77" s="2027"/>
      <c r="T77" s="2027"/>
      <c r="U77" s="2027"/>
      <c r="V77" s="2027"/>
    </row>
    <row r="78" spans="1:22" ht="12" customHeight="1">
      <c r="A78" s="1303"/>
      <c r="B78" s="310"/>
      <c r="C78" s="310"/>
      <c r="D78" s="310"/>
      <c r="E78" s="42"/>
      <c r="F78" s="42"/>
      <c r="G78" s="42"/>
      <c r="H78" s="1001"/>
      <c r="I78" s="310"/>
      <c r="J78" s="2034"/>
      <c r="K78" s="3388"/>
      <c r="L78" s="3387"/>
      <c r="M78" s="3083" t="s">
        <v>425</v>
      </c>
      <c r="N78" s="1300"/>
      <c r="O78" s="1301" t="str">
        <f ca="1">NUMBERSTRING(INT(O77*10000),2)&amp;"元整"</f>
        <v>陆仟捌佰柒拾叁万元整</v>
      </c>
      <c r="P78" s="1302"/>
      <c r="Q78" s="2027"/>
      <c r="R78" s="2027"/>
      <c r="S78" s="2027"/>
      <c r="T78" s="2027"/>
      <c r="U78" s="2027"/>
      <c r="V78" s="2027"/>
    </row>
    <row r="79" spans="1:22" ht="13.5" thickBot="1">
      <c r="A79" s="3382" t="s">
        <v>427</v>
      </c>
      <c r="B79" s="3382"/>
      <c r="C79" s="3382"/>
      <c r="D79" s="3382"/>
      <c r="E79" s="3382"/>
      <c r="F79" s="42"/>
      <c r="G79" s="42"/>
      <c r="H79" s="1001"/>
      <c r="I79" s="310"/>
      <c r="J79" s="2034"/>
      <c r="K79" s="3408">
        <f>K77+1</f>
        <v>6</v>
      </c>
      <c r="L79" s="3387" t="s">
        <v>2884</v>
      </c>
      <c r="M79" s="3083" t="s">
        <v>421</v>
      </c>
      <c r="N79" s="1300"/>
      <c r="O79" s="1301">
        <f ca="1">N69-O77</f>
        <v>13062</v>
      </c>
      <c r="P79" s="1302"/>
      <c r="Q79" s="2027"/>
      <c r="R79" s="2027"/>
      <c r="S79" s="2027"/>
      <c r="T79" s="2027"/>
      <c r="U79" s="2027"/>
      <c r="V79" s="2027"/>
    </row>
    <row r="80" spans="1:22" ht="25.5">
      <c r="A80" s="3377" t="s">
        <v>428</v>
      </c>
      <c r="B80" s="3378"/>
      <c r="C80" s="992"/>
      <c r="D80" s="992" t="s">
        <v>429</v>
      </c>
      <c r="E80" s="369" t="s">
        <v>430</v>
      </c>
      <c r="F80" s="42"/>
      <c r="G80" s="42"/>
      <c r="H80" s="1001"/>
      <c r="I80" s="310"/>
      <c r="J80" s="2027"/>
      <c r="K80" s="3409"/>
      <c r="L80" s="3387"/>
      <c r="M80" s="3083" t="s">
        <v>425</v>
      </c>
      <c r="N80" s="1300"/>
      <c r="O80" s="1301" t="str">
        <f ca="1">NUMBERSTRING(INT(O79*10000),2)&amp;"元整"</f>
        <v>壹亿叁仟零陆拾贰万元整</v>
      </c>
      <c r="P80" s="1302"/>
      <c r="Q80" s="2027"/>
      <c r="R80" s="2027"/>
      <c r="S80" s="2027"/>
      <c r="T80" s="2027"/>
      <c r="U80" s="2027"/>
      <c r="V80" s="2027"/>
    </row>
    <row r="81" spans="1:26" ht="13.5" thickBot="1">
      <c r="A81" s="380" t="s">
        <v>1823</v>
      </c>
      <c r="B81" s="370" t="s">
        <v>431</v>
      </c>
      <c r="C81" s="371">
        <f ca="1">ROUND((C82+C83)/(1+'数据-取费表'!C42),0)</f>
        <v>11391</v>
      </c>
      <c r="D81" s="372"/>
      <c r="E81" s="373"/>
      <c r="F81" s="42"/>
      <c r="G81" s="42"/>
      <c r="H81" s="1001"/>
      <c r="I81" s="310"/>
      <c r="J81" s="2027"/>
      <c r="K81" s="3077">
        <f>K79+1</f>
        <v>7</v>
      </c>
      <c r="L81" s="3385" t="s">
        <v>2885</v>
      </c>
      <c r="M81" s="3386"/>
      <c r="N81" s="1304"/>
      <c r="O81" s="1305">
        <f ca="1">ROUND(O79*10000/'数据-汇总表'!E3,0)</f>
        <v>4229</v>
      </c>
      <c r="P81" s="1306"/>
      <c r="Q81" s="2027"/>
      <c r="R81" s="2027"/>
      <c r="S81" s="2027"/>
      <c r="T81" s="2027"/>
      <c r="U81" s="2027"/>
      <c r="V81" s="2027"/>
    </row>
    <row r="82" spans="1:26" ht="13.5" thickTop="1">
      <c r="A82" s="374" t="s">
        <v>1824</v>
      </c>
      <c r="B82" s="375" t="s">
        <v>432</v>
      </c>
      <c r="C82" s="376">
        <f ca="1">D63</f>
        <v>11961</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1825</v>
      </c>
      <c r="B83" s="375" t="s">
        <v>433</v>
      </c>
      <c r="C83" s="379">
        <v>0</v>
      </c>
      <c r="D83" s="377"/>
      <c r="E83" s="378"/>
      <c r="F83" s="42"/>
      <c r="G83" s="42"/>
      <c r="H83" s="1001"/>
      <c r="I83" s="310"/>
      <c r="J83" s="2027"/>
      <c r="K83" s="3397" t="s">
        <v>2872</v>
      </c>
      <c r="L83" s="3089" t="s">
        <v>2873</v>
      </c>
      <c r="M83" s="3079">
        <f ca="1">IF(N69&gt;10000,N69*0.5%,IF(AND(N69&gt;1000,N69&lt;=10000),N69*1%,IF(AND(N69&gt;100,N69&lt;=1000),N69*3%,IF(AND(N69&gt;10,N69&lt;=100),N69*5%,N69*8%))))</f>
        <v>99.674999999999997</v>
      </c>
      <c r="N83" s="53">
        <f ca="1">ROUND(M83,1)</f>
        <v>99.7</v>
      </c>
      <c r="O83" s="3082"/>
      <c r="P83" s="2027"/>
      <c r="Q83" s="2027"/>
      <c r="R83" s="2027"/>
      <c r="S83" s="2027"/>
      <c r="T83" s="2027"/>
      <c r="U83" s="2027"/>
      <c r="V83" s="2027"/>
    </row>
    <row r="84" spans="1:26" ht="12.75">
      <c r="A84" s="380" t="s">
        <v>1826</v>
      </c>
      <c r="B84" s="381" t="s">
        <v>434</v>
      </c>
      <c r="C84" s="382">
        <v>2000</v>
      </c>
      <c r="D84" s="383" t="s">
        <v>19</v>
      </c>
      <c r="E84" s="3124" t="s">
        <v>2939</v>
      </c>
      <c r="F84" s="42"/>
      <c r="G84" s="42"/>
      <c r="H84" s="1001"/>
      <c r="I84" s="310"/>
      <c r="J84" s="2027"/>
      <c r="K84" s="3397"/>
      <c r="L84" s="3089" t="s">
        <v>2874</v>
      </c>
      <c r="M84" s="3079">
        <f ca="1">IF(N69&gt;2000,N69*0.5%,IF(AND(N69&gt;1000,N69&lt;=2000),N69*0.6%,IF(AND(N69&gt;500,N69&lt;=1000),N69*0.7%,IF(AND(N69&gt;200,N69&lt;=500),N69*0.8%,IF(AND(N69&gt;100,N69&lt;=200),N69*0.9%,IF(AND(N69&gt;50,N69&lt;=100),N69*1%,IF(AND(N69&gt;20,N69&lt;=50),N69*1.5%,IF(AND(N69&gt;10,N69&lt;=20),N69*2%,IF(AND(N69&gt;1,N69&lt;=10),N69*2.5%)))))))))</f>
        <v>99.674999999999997</v>
      </c>
      <c r="N84" s="53">
        <f t="shared" ref="N84:N85" ca="1" si="2">ROUND(M84,1)</f>
        <v>99.7</v>
      </c>
      <c r="O84" s="2027" t="s">
        <v>2875</v>
      </c>
      <c r="P84" s="2027"/>
      <c r="Q84" s="2027"/>
      <c r="R84" s="2027"/>
      <c r="S84" s="2027"/>
      <c r="T84" s="2027"/>
      <c r="U84" s="2027"/>
      <c r="V84" s="2027"/>
    </row>
    <row r="85" spans="1:26" ht="12.75">
      <c r="A85" s="380" t="s">
        <v>1827</v>
      </c>
      <c r="B85" s="381" t="s">
        <v>435</v>
      </c>
      <c r="C85" s="384">
        <f ca="1">C81-C84</f>
        <v>9391</v>
      </c>
      <c r="D85" s="377" t="s">
        <v>19</v>
      </c>
      <c r="E85" s="378"/>
      <c r="F85" s="42"/>
      <c r="G85" s="42"/>
      <c r="H85" s="1001"/>
      <c r="I85" s="310"/>
      <c r="J85" s="2027"/>
      <c r="K85" s="3397"/>
      <c r="L85" s="3089" t="s">
        <v>2876</v>
      </c>
      <c r="M85" s="3079">
        <f ca="1">IF(N69&gt;1000,N69*0.1%,IF(AND(N69&gt;500,N69&lt;=1000),N69*0.5%,IF(AND(N69&gt;50,N69&lt;=500),N69*1%,IF(AND(N69&gt;1,N69&lt;=50),N69*1.5%))))</f>
        <v>19.934999999999999</v>
      </c>
      <c r="N85" s="53">
        <f t="shared" ca="1" si="2"/>
        <v>19.899999999999999</v>
      </c>
      <c r="O85" s="2027" t="s">
        <v>2875</v>
      </c>
      <c r="P85" s="2027"/>
      <c r="Q85" s="2027"/>
      <c r="R85" s="2027"/>
      <c r="S85" s="2027"/>
      <c r="T85" s="2027"/>
      <c r="U85" s="2027"/>
      <c r="V85" s="2027"/>
    </row>
    <row r="86" spans="1:26" ht="13.5" thickBot="1">
      <c r="A86" s="385" t="s">
        <v>1828</v>
      </c>
      <c r="B86" s="386" t="s">
        <v>436</v>
      </c>
      <c r="C86" s="387">
        <f ca="1">IF(C85&lt;=0,0,ROUND(C85*D86,0))</f>
        <v>526</v>
      </c>
      <c r="D86" s="388">
        <f>'数据-取费表'!B41</f>
        <v>5.6000000000000001E-2</v>
      </c>
      <c r="E86" s="389"/>
      <c r="F86" s="42"/>
      <c r="G86" s="42"/>
      <c r="H86" s="1001"/>
      <c r="I86" s="310"/>
      <c r="J86" s="2027"/>
      <c r="K86" s="3397"/>
      <c r="L86" s="3089" t="s">
        <v>2877</v>
      </c>
      <c r="M86" s="3079">
        <f ca="1">N69*0.5%</f>
        <v>99.674999999999997</v>
      </c>
      <c r="N86" s="53">
        <f ca="1">IF(M86&gt;0.5,0.5,ROUND(M86,0))</f>
        <v>0.5</v>
      </c>
      <c r="O86" s="2027" t="s">
        <v>2878</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97"/>
      <c r="L87" s="3089" t="s">
        <v>2879</v>
      </c>
      <c r="M87" s="3079">
        <f ca="1">IF(N69&gt;=10000,(8.25+(N69-10000)*0.01%),IF(AND(N69&gt;=8000,N69&lt;10000),(7.85+(N69-8000)*0.02%),IF(AND(N69&gt;=5000,N69&lt;8000),(6.65+(N69-5000)*0.04%),IF(AND(N69&gt;=2000,N69&lt;5000),(4.25+(PN69-2000)*0.08%),IF(AND(N69&gt;=1000,N69&lt;2000),(2.75+(N69-1000)*0.15%),IF(AND(N69&gt;=100,N69&lt;1000),(0.5+(N69-100)*0.25%),IF(AND(N69&gt;0,N69&lt;100),N69*0.5%)))))))</f>
        <v>9.2435000000000009</v>
      </c>
      <c r="N87" s="53">
        <f ca="1">ROUND(M87*0.9,1)</f>
        <v>8.3000000000000007</v>
      </c>
      <c r="O87" s="3082"/>
      <c r="P87" s="310"/>
      <c r="Q87" s="2027"/>
      <c r="R87" s="2027"/>
      <c r="S87" s="2027"/>
      <c r="T87" s="2027"/>
      <c r="U87" s="2027"/>
      <c r="V87" s="2027"/>
      <c r="W87" s="291"/>
      <c r="X87" s="291"/>
      <c r="Y87" s="291"/>
      <c r="Z87" s="291"/>
    </row>
    <row r="88" spans="1:26" s="1312" customFormat="1" ht="15" thickBot="1">
      <c r="A88" s="3379" t="s">
        <v>437</v>
      </c>
      <c r="B88" s="3380"/>
      <c r="C88" s="3380"/>
      <c r="D88" s="3380"/>
      <c r="E88" s="3380"/>
      <c r="F88" s="3380"/>
      <c r="G88" s="3380"/>
      <c r="H88" s="3380"/>
      <c r="I88" s="1313"/>
      <c r="J88" s="2035"/>
      <c r="K88" s="3397"/>
      <c r="L88" s="3089" t="s">
        <v>2880</v>
      </c>
      <c r="M88" s="3079">
        <f ca="1">IF(N69&gt;10000,N69*0.5%,IF(AND(N69&gt;5000,N69&lt;=10000),N69*1%,IF(AND(N69&gt;1000,N69&lt;=5000),N69*2%,IF(AND(N69&gt;200,N69&lt;=1000),N69*3%,N69*5%))))</f>
        <v>99.674999999999997</v>
      </c>
      <c r="N88" s="53">
        <f ca="1">ROUND(M88,1)</f>
        <v>99.7</v>
      </c>
      <c r="O88" s="3082"/>
      <c r="P88" s="11"/>
      <c r="Q88" s="2032"/>
      <c r="R88" s="2032"/>
      <c r="S88" s="2032"/>
      <c r="T88" s="2032"/>
      <c r="U88" s="2032"/>
      <c r="V88" s="2032"/>
      <c r="W88" s="2036"/>
      <c r="X88" s="2036"/>
      <c r="Y88" s="2036"/>
      <c r="Z88" s="2036"/>
    </row>
    <row r="89" spans="1:26" s="1312" customFormat="1" ht="14.25">
      <c r="A89" s="3377" t="s">
        <v>428</v>
      </c>
      <c r="B89" s="3378"/>
      <c r="C89" s="992"/>
      <c r="D89" s="992" t="s">
        <v>429</v>
      </c>
      <c r="E89" s="390" t="s">
        <v>438</v>
      </c>
      <c r="F89" s="391"/>
      <c r="G89" s="391"/>
      <c r="H89" s="392"/>
      <c r="I89" s="1314"/>
      <c r="J89" s="2037"/>
      <c r="K89" s="3397"/>
      <c r="L89" s="3089" t="s">
        <v>27</v>
      </c>
      <c r="M89" s="3080"/>
      <c r="N89" s="53">
        <f ca="1">ROUND(SUM(N83:N88),0)</f>
        <v>328</v>
      </c>
      <c r="O89" s="3090">
        <f ca="1">N89/N69</f>
        <v>1.6453473789816906E-2</v>
      </c>
      <c r="P89" s="2032"/>
      <c r="Q89" s="2032"/>
      <c r="R89" s="2032"/>
      <c r="S89" s="2032"/>
      <c r="T89" s="2032"/>
      <c r="U89" s="2032"/>
      <c r="V89" s="2032"/>
      <c r="W89" s="2036"/>
      <c r="X89" s="2036"/>
      <c r="Y89" s="2036"/>
      <c r="Z89" s="2036"/>
    </row>
    <row r="90" spans="1:26" s="1312" customFormat="1" ht="14.25">
      <c r="A90" s="380" t="s">
        <v>1823</v>
      </c>
      <c r="B90" s="381" t="s">
        <v>439</v>
      </c>
      <c r="C90" s="384">
        <f ca="1">ROUND(D63/(1+'数据-取费表'!C42),0)</f>
        <v>11391</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1829</v>
      </c>
      <c r="B91" s="347" t="s">
        <v>440</v>
      </c>
      <c r="C91" s="384">
        <f ca="1">C92+C96</f>
        <v>2629</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1830</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1831</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1832</v>
      </c>
      <c r="B94" s="399" t="s">
        <v>446</v>
      </c>
      <c r="C94" s="377">
        <f>IF(F93="购房发票",ROUND(C93*H93*5%,0),0)</f>
        <v>500</v>
      </c>
      <c r="D94" s="400">
        <v>0.05</v>
      </c>
      <c r="E94" s="3340" t="s">
        <v>447</v>
      </c>
      <c r="F94" s="3339"/>
      <c r="G94" s="3339"/>
      <c r="H94" s="337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1834</v>
      </c>
      <c r="B96" s="375" t="s">
        <v>450</v>
      </c>
      <c r="C96" s="404">
        <f ca="1">ROUND(D63*D96/(1+'数据-取费表'!C42),0)</f>
        <v>68</v>
      </c>
      <c r="D96" s="405">
        <f>'数据-取费表'!B43</f>
        <v>6.000000000000001E-3</v>
      </c>
      <c r="E96" s="3368" t="s">
        <v>2427</v>
      </c>
      <c r="F96" s="3369"/>
      <c r="G96" s="3369"/>
      <c r="H96" s="337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1835</v>
      </c>
      <c r="B97" s="381" t="s">
        <v>451</v>
      </c>
      <c r="C97" s="384">
        <f ca="1">C90-C91</f>
        <v>8762</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1836</v>
      </c>
      <c r="B98" s="381" t="s">
        <v>452</v>
      </c>
      <c r="C98" s="406">
        <f ca="1">IF(C97&lt;=0,0,C97/C91)</f>
        <v>3.3328261696462533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1837</v>
      </c>
      <c r="B99" s="386" t="s">
        <v>453</v>
      </c>
      <c r="C99" s="407">
        <f ca="1">ROUND(IF(C97&lt;=0,0,IF(C98&gt;=200%,C97*60%-C91*35%,IF(C98&gt;=100%,C97*50%-C91*15%,IF(C98&gt;=50%,C97*40%-C91*5%,IF(C98&lt;50%,C97*30%,0))))),0)</f>
        <v>4337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79" t="s">
        <v>454</v>
      </c>
      <c r="B101" s="3380"/>
      <c r="C101" s="3380"/>
      <c r="D101" s="3380"/>
      <c r="E101" s="3380"/>
      <c r="F101" s="3380"/>
      <c r="G101" s="3380"/>
      <c r="H101" s="3380"/>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77" t="s">
        <v>428</v>
      </c>
      <c r="B102" s="3378"/>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1823</v>
      </c>
      <c r="B103" s="381" t="s">
        <v>439</v>
      </c>
      <c r="C103" s="384">
        <f ca="1">ROUND(D63/(1+'数据-取费表'!C42),0)</f>
        <v>11391</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1829</v>
      </c>
      <c r="B104" s="347" t="s">
        <v>440</v>
      </c>
      <c r="C104" s="384">
        <f ca="1">IF(H106="仅含出让金",C105+C108+C109+C110+C111+C112,C105+C109+C110+C111+C112)</f>
        <v>758</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1830</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1831</v>
      </c>
      <c r="B106" s="375" t="s">
        <v>456</v>
      </c>
      <c r="C106" s="415">
        <v>555</v>
      </c>
      <c r="D106" s="405"/>
      <c r="E106" s="416" t="s">
        <v>457</v>
      </c>
      <c r="F106" s="984"/>
      <c r="G106" s="417" t="s">
        <v>458</v>
      </c>
      <c r="H106" s="418"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1832</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1838</v>
      </c>
      <c r="B109" s="375" t="s">
        <v>461</v>
      </c>
      <c r="C109" s="404">
        <f>IF(H109="——",IF(F1="现房",'剩余法-现房'!C18,'剩余法-待开发'!C18),I109)</f>
        <v>55</v>
      </c>
      <c r="D109" s="405"/>
      <c r="E109" s="3371" t="s">
        <v>462</v>
      </c>
      <c r="F109" s="3369"/>
      <c r="G109" s="3369"/>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1839</v>
      </c>
      <c r="B110" s="375" t="s">
        <v>463</v>
      </c>
      <c r="C110" s="404">
        <f>ROUND((C105+C108+C109)*D110,0)</f>
        <v>63</v>
      </c>
      <c r="D110" s="405">
        <v>0.1</v>
      </c>
      <c r="E110" s="3371" t="s">
        <v>464</v>
      </c>
      <c r="F110" s="3369"/>
      <c r="G110" s="3369"/>
      <c r="H110" s="3370"/>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1840</v>
      </c>
      <c r="B111" s="375" t="s">
        <v>450</v>
      </c>
      <c r="C111" s="404">
        <f ca="1">ROUND(D63*D111/(1+'数据-取费表'!C42),0)</f>
        <v>68</v>
      </c>
      <c r="D111" s="405">
        <f>'数据-取费表'!B43</f>
        <v>6.000000000000001E-3</v>
      </c>
      <c r="E111" s="3368" t="s">
        <v>2427</v>
      </c>
      <c r="F111" s="3369"/>
      <c r="G111" s="3369"/>
      <c r="H111" s="3370"/>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1841</v>
      </c>
      <c r="B112" s="375" t="s">
        <v>465</v>
      </c>
      <c r="C112" s="404">
        <f>ROUND(C108*D112,0)</f>
        <v>0</v>
      </c>
      <c r="D112" s="405">
        <v>0.2</v>
      </c>
      <c r="E112" s="3371" t="s">
        <v>2452</v>
      </c>
      <c r="F112" s="3369"/>
      <c r="G112" s="3369"/>
      <c r="H112" s="3370"/>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1835</v>
      </c>
      <c r="B113" s="381" t="s">
        <v>451</v>
      </c>
      <c r="C113" s="384">
        <f ca="1">ROUND(C103-C104,0)</f>
        <v>10633</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1836</v>
      </c>
      <c r="B114" s="381" t="s">
        <v>452</v>
      </c>
      <c r="C114" s="406">
        <f ca="1">IF(C113&lt;=0,0,C113/C104)</f>
        <v>14.027704485488126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1837</v>
      </c>
      <c r="B115" s="386" t="s">
        <v>453</v>
      </c>
      <c r="C115" s="407">
        <f ca="1">ROUND(IF(C113&lt;=0,0,IF(C114&gt;=200%,C113*60%-C104*35%,IF(C114&gt;=100%,C113*50%-C104*15%,IF(C114&gt;=50%,C113*40%-C104*5%,IF(C114&lt;50%,C113*30%,0))))),0)</f>
        <v>6115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I47" sqref="I47"/>
    </sheetView>
  </sheetViews>
  <sheetFormatPr defaultColWidth="6.625" defaultRowHeight="12.75"/>
  <cols>
    <col min="1" max="1" width="10.125" style="2123" customWidth="1"/>
    <col min="2" max="2" width="25.62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7</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2650</v>
      </c>
      <c r="B6" s="432"/>
      <c r="C6" s="1621">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1845</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1847</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1864</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1848</v>
      </c>
      <c r="B13" s="448" t="s">
        <v>479</v>
      </c>
      <c r="C13" s="449">
        <f ca="1">IF(B1="",'数据-取费表'!M16,INDIRECT("'数据-取费表'!M"&amp;$K$1)+INDIRECT("'数据-取费表'!t"&amp;$K$1))</f>
        <v>10809</v>
      </c>
      <c r="D13" s="450"/>
      <c r="E13" s="364"/>
      <c r="F13" s="451"/>
      <c r="G13" s="443"/>
      <c r="H13" s="446"/>
      <c r="I13" s="446"/>
      <c r="J13" s="446"/>
      <c r="K13" s="447"/>
    </row>
    <row r="14" spans="1:41" s="2115" customFormat="1" ht="13.5" customHeight="1">
      <c r="A14" s="1631" t="s">
        <v>1849</v>
      </c>
      <c r="B14" s="448" t="s">
        <v>480</v>
      </c>
      <c r="C14" s="53">
        <f ca="1">ROUND(C13*F14,0)</f>
        <v>540</v>
      </c>
      <c r="D14" s="450"/>
      <c r="E14" s="364"/>
      <c r="F14" s="452">
        <f>'数据-取费表'!B33</f>
        <v>0.05</v>
      </c>
      <c r="G14" s="443" t="s">
        <v>502</v>
      </c>
      <c r="H14" s="446"/>
      <c r="I14" s="446"/>
      <c r="J14" s="446"/>
      <c r="K14" s="447"/>
    </row>
    <row r="15" spans="1:41" s="2115" customFormat="1" ht="13.5" customHeight="1">
      <c r="A15" s="1631" t="s">
        <v>1850</v>
      </c>
      <c r="B15" s="448" t="s">
        <v>482</v>
      </c>
      <c r="C15" s="53">
        <f ca="1">ROUND(IF(B1="",SUMIF('数据-取费表'!C:C,"住宅",'数据-取费表'!M:M)*F15,IF(INDIRECT("'数据-取费表'!c"&amp;$K$1)="住宅",INDIRECT("'数据-取费表'!M"&amp;$K$1)*F15,0)),0)</f>
        <v>1081</v>
      </c>
      <c r="D15" s="450"/>
      <c r="E15" s="364"/>
      <c r="F15" s="452">
        <f>'数据-取费表'!B34</f>
        <v>0.1</v>
      </c>
      <c r="G15" s="443" t="s">
        <v>502</v>
      </c>
      <c r="H15" s="446"/>
      <c r="I15" s="446"/>
      <c r="J15" s="446"/>
      <c r="K15" s="447"/>
    </row>
    <row r="16" spans="1:41" s="2116" customFormat="1" ht="13.5" customHeight="1">
      <c r="A16" s="1631" t="s">
        <v>1851</v>
      </c>
      <c r="B16" s="448" t="s">
        <v>484</v>
      </c>
      <c r="C16" s="53">
        <f ca="1">ROUND(D16*E16/10000,0)</f>
        <v>1544</v>
      </c>
      <c r="D16" s="450">
        <f ca="1">IF(B1="",'数据-汇总表'!E3,INDIRECT("'数据-取费表'!K"&amp;$K$1)+INDIRECT("'数据-取费表'!S"&amp;$K$1))</f>
        <v>30884</v>
      </c>
      <c r="E16" s="53">
        <f>'数据-取费表'!B35</f>
        <v>500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1852</v>
      </c>
      <c r="B17" s="448" t="s">
        <v>485</v>
      </c>
      <c r="C17" s="453">
        <f ca="1">ROUND(C13*F17,0)</f>
        <v>162</v>
      </c>
      <c r="D17" s="454"/>
      <c r="E17" s="453"/>
      <c r="F17" s="455">
        <f>'数据-取费表'!B36</f>
        <v>1.4999999999999999E-2</v>
      </c>
      <c r="G17" s="443" t="s">
        <v>502</v>
      </c>
      <c r="H17" s="456"/>
      <c r="I17" s="456"/>
      <c r="J17" s="456"/>
      <c r="K17" s="457"/>
    </row>
    <row r="18" spans="1:14" s="2118" customFormat="1" ht="13.5" customHeight="1">
      <c r="A18" s="1632" t="s">
        <v>1853</v>
      </c>
      <c r="B18" s="458" t="s">
        <v>487</v>
      </c>
      <c r="C18" s="459">
        <f ca="1">SUM(C13:C17)</f>
        <v>14136</v>
      </c>
      <c r="D18" s="460"/>
      <c r="E18" s="461"/>
      <c r="F18" s="461"/>
      <c r="G18" s="1325" t="s">
        <v>2431</v>
      </c>
      <c r="H18" s="446"/>
      <c r="I18" s="446"/>
      <c r="J18" s="446"/>
      <c r="K18" s="447"/>
    </row>
    <row r="19" spans="1:14" s="2118" customFormat="1" ht="13.5" customHeight="1">
      <c r="A19" s="1632" t="s">
        <v>1854</v>
      </c>
      <c r="B19" s="458" t="s">
        <v>493</v>
      </c>
      <c r="C19" s="459">
        <f ca="1">ROUND(C18*F19,0)</f>
        <v>424</v>
      </c>
      <c r="D19" s="461"/>
      <c r="E19" s="461"/>
      <c r="F19" s="465">
        <f>'数据-取费表'!B37</f>
        <v>0.03</v>
      </c>
      <c r="G19" s="443" t="s">
        <v>503</v>
      </c>
      <c r="H19" s="446"/>
      <c r="I19" s="446"/>
      <c r="J19" s="446"/>
      <c r="K19" s="447"/>
      <c r="L19" s="2120"/>
      <c r="M19" s="2120"/>
      <c r="N19" s="2120"/>
    </row>
    <row r="20" spans="1:14" s="2118" customFormat="1" ht="13.5" customHeight="1">
      <c r="A20" s="1632" t="s">
        <v>1855</v>
      </c>
      <c r="B20" s="458" t="s">
        <v>504</v>
      </c>
      <c r="C20" s="3053">
        <f>F20</f>
        <v>0.05</v>
      </c>
      <c r="D20" s="468" t="s">
        <v>505</v>
      </c>
      <c r="E20" s="468"/>
      <c r="F20" s="485">
        <f>'数据-取费表'!B38</f>
        <v>0.05</v>
      </c>
      <c r="G20" s="1325" t="s">
        <v>506</v>
      </c>
      <c r="H20" s="446"/>
      <c r="I20" s="446"/>
      <c r="J20" s="446"/>
      <c r="K20" s="447"/>
      <c r="L20" s="2120"/>
      <c r="M20" s="2120"/>
      <c r="N20" s="2120"/>
    </row>
    <row r="21" spans="1:14" s="2120" customFormat="1" ht="13.5" customHeight="1">
      <c r="A21" s="1632" t="s">
        <v>1858</v>
      </c>
      <c r="B21" s="460" t="s">
        <v>494</v>
      </c>
      <c r="C21" s="469">
        <f ca="1">C22</f>
        <v>516</v>
      </c>
      <c r="D21" s="466">
        <f ca="1">C23</f>
        <v>1.8E-3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2453</v>
      </c>
    </row>
    <row r="22" spans="1:14" s="2119" customFormat="1" ht="13.5" customHeight="1">
      <c r="A22" s="1631" t="s">
        <v>1848</v>
      </c>
      <c r="B22" s="1326" t="s">
        <v>2434</v>
      </c>
      <c r="C22" s="486">
        <f ca="1">ROUND(IF('数据-取费表'!B22&lt;=1,(C18+C19)*F21*'数据-取费表'!B20/2,(C18+C19)*(POWER((1+F21),'数据-取费表'!B20/2)-1)),0)</f>
        <v>516</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1849</v>
      </c>
      <c r="B23" s="1326" t="s">
        <v>508</v>
      </c>
      <c r="C23" s="487">
        <f ca="1">ROUND(IF('数据-取费表'!B22&lt;=1,F20*F21*'数据-取费表'!B20/2,F20*(POWER((1+F21),'数据-取费表'!B20/2)-1)),4)</f>
        <v>1.8E-3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1859</v>
      </c>
      <c r="B24" s="3055" t="s">
        <v>2830</v>
      </c>
      <c r="C24" s="477">
        <f ca="1">C25</f>
        <v>5096</v>
      </c>
      <c r="D24" s="488">
        <f ca="1">C26</f>
        <v>1.7500000000000002E-2</v>
      </c>
      <c r="E24" s="468" t="s">
        <v>507</v>
      </c>
      <c r="F24" s="478">
        <f ca="1">IF(B1="",'数据-取费表'!Q16,INDIRECT("'数据-取费表'!q"&amp;$K$1))</f>
        <v>0.35</v>
      </c>
      <c r="G24" s="443"/>
      <c r="H24" s="446"/>
      <c r="I24" s="446"/>
      <c r="J24" s="446"/>
      <c r="K24" s="447"/>
    </row>
    <row r="25" spans="1:14" s="2119" customFormat="1" ht="13.5" customHeight="1">
      <c r="A25" s="1631" t="s">
        <v>1848</v>
      </c>
      <c r="B25" s="1326" t="s">
        <v>2435</v>
      </c>
      <c r="C25" s="489">
        <f ca="1">ROUND((C18+C19)*F24,0)</f>
        <v>5096</v>
      </c>
      <c r="D25" s="471"/>
      <c r="E25" s="472"/>
      <c r="F25" s="479"/>
      <c r="G25" s="1324" t="s">
        <v>2432</v>
      </c>
      <c r="H25" s="456"/>
      <c r="I25" s="456"/>
      <c r="J25" s="456"/>
      <c r="K25" s="457"/>
    </row>
    <row r="26" spans="1:14" s="2119" customFormat="1" ht="13.5" customHeight="1">
      <c r="A26" s="1631" t="s">
        <v>1849</v>
      </c>
      <c r="B26" s="1326" t="s">
        <v>509</v>
      </c>
      <c r="C26" s="490">
        <f ca="1">ROUND(F20*F24,4)</f>
        <v>1.7500000000000002E-2</v>
      </c>
      <c r="D26" s="471"/>
      <c r="E26" s="480"/>
      <c r="F26" s="479"/>
      <c r="G26" s="1324" t="s">
        <v>510</v>
      </c>
      <c r="H26" s="456"/>
      <c r="I26" s="456"/>
      <c r="J26" s="456"/>
      <c r="K26" s="457"/>
    </row>
    <row r="27" spans="1:14" s="2119" customFormat="1" ht="13.5" customHeight="1">
      <c r="A27" s="1635" t="s">
        <v>1867</v>
      </c>
      <c r="B27" s="458" t="s">
        <v>511</v>
      </c>
      <c r="C27" s="3054">
        <f>ROUND(F27/(1+'数据-取费表'!C42),4)</f>
        <v>5.33E-2</v>
      </c>
      <c r="D27" s="461" t="s">
        <v>2828</v>
      </c>
      <c r="E27" s="461"/>
      <c r="F27" s="465">
        <f>'数据-取费表'!B41</f>
        <v>5.6000000000000001E-2</v>
      </c>
      <c r="G27" s="1959" t="s">
        <v>2291</v>
      </c>
      <c r="H27" s="446"/>
      <c r="I27" s="446"/>
      <c r="J27" s="446"/>
      <c r="K27" s="447"/>
    </row>
    <row r="28" spans="1:14" s="2120" customFormat="1" ht="13.5" customHeight="1">
      <c r="A28" s="1635" t="s">
        <v>1868</v>
      </c>
      <c r="B28" s="475" t="s">
        <v>512</v>
      </c>
      <c r="C28" s="469">
        <f ca="1">ROUND((C18+C19+C21+C24)/(1-C20-D21-D24-C27),0)</f>
        <v>22991</v>
      </c>
      <c r="D28" s="476"/>
      <c r="E28" s="468"/>
      <c r="F28" s="470"/>
      <c r="G28" s="1325" t="s">
        <v>2433</v>
      </c>
      <c r="H28" s="446"/>
      <c r="I28" s="446"/>
      <c r="J28" s="446"/>
      <c r="K28" s="447"/>
    </row>
    <row r="29" spans="1:14" s="2120" customFormat="1" ht="13.5" customHeight="1">
      <c r="A29" s="1635" t="s">
        <v>1869</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505" t="s">
        <v>1865</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tabSelected="1" view="pageBreakPreview" topLeftCell="A17" zoomScale="80" zoomScaleNormal="95" zoomScaleSheetLayoutView="80" zoomScalePageLayoutView="95" workbookViewId="0">
      <selection activeCell="I63" sqref="I63"/>
    </sheetView>
  </sheetViews>
  <sheetFormatPr defaultColWidth="8.875" defaultRowHeight="14.25"/>
  <cols>
    <col min="1" max="2" width="15.625" style="1335" customWidth="1"/>
    <col min="3" max="3" width="15.125" style="1335" customWidth="1"/>
    <col min="4" max="4" width="12.125" style="1335" customWidth="1"/>
    <col min="5" max="5" width="16.125" style="1335" customWidth="1"/>
    <col min="6" max="6" width="12.125" style="1335" customWidth="1"/>
    <col min="7" max="7" width="15.625" style="1335" customWidth="1"/>
    <col min="8" max="8" width="12.125" style="1335" customWidth="1"/>
    <col min="9" max="9" width="15.62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7684</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1684</v>
      </c>
      <c r="B3" s="509">
        <f>ROUND(B2*10000/'数据-汇总表'!E3,0)</f>
        <v>2488</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1493</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100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422" t="s">
        <v>522</v>
      </c>
      <c r="D6" s="3423"/>
      <c r="E6" s="3422" t="s">
        <v>523</v>
      </c>
      <c r="F6" s="3423"/>
      <c r="G6" s="3422" t="s">
        <v>524</v>
      </c>
      <c r="H6" s="3423"/>
      <c r="I6" s="3422" t="s">
        <v>525</v>
      </c>
      <c r="J6" s="3423"/>
      <c r="K6" s="513" t="s">
        <v>526</v>
      </c>
      <c r="L6" s="2132"/>
      <c r="M6" s="2131"/>
      <c r="N6" s="2131"/>
      <c r="O6" s="2133"/>
      <c r="P6" s="3424" t="s">
        <v>527</v>
      </c>
      <c r="Q6" s="3425"/>
      <c r="R6" s="3430" t="s">
        <v>523</v>
      </c>
      <c r="S6" s="3431"/>
      <c r="T6" s="3430" t="s">
        <v>524</v>
      </c>
      <c r="U6" s="3431"/>
      <c r="V6" s="3417" t="s">
        <v>525</v>
      </c>
      <c r="W6" s="3417"/>
      <c r="X6" s="1565"/>
      <c r="Y6" s="3430" t="s">
        <v>527</v>
      </c>
      <c r="Z6" s="3431"/>
      <c r="AA6" s="3419" t="s">
        <v>523</v>
      </c>
      <c r="AB6" s="3420" t="s">
        <v>524</v>
      </c>
      <c r="AC6" s="3419" t="s">
        <v>525</v>
      </c>
    </row>
    <row r="7" spans="1:30" ht="43.5" customHeight="1">
      <c r="A7" s="514"/>
      <c r="B7" s="515"/>
      <c r="C7" s="3438" t="s">
        <v>2926</v>
      </c>
      <c r="D7" s="3439"/>
      <c r="E7" s="3438" t="str">
        <f>土地案例!A3</f>
        <v>兴隆旅游度假区莲兴大道南侧、碑头水库北侧</v>
      </c>
      <c r="F7" s="3439"/>
      <c r="G7" s="3438" t="str">
        <f>土地案例!A4</f>
        <v>龙滚镇福塘村委会分洪口南岸</v>
      </c>
      <c r="H7" s="3439"/>
      <c r="I7" s="3438" t="str">
        <f>土地案例!A5</f>
        <v>兴隆旅游度假区莲兴大道南侧、碑头水库北侧</v>
      </c>
      <c r="J7" s="3439"/>
      <c r="K7" s="513"/>
      <c r="L7" s="2132"/>
      <c r="M7" s="2131"/>
      <c r="N7" s="2131"/>
      <c r="O7" s="2133"/>
      <c r="P7" s="3426"/>
      <c r="Q7" s="3427"/>
      <c r="R7" s="3432"/>
      <c r="S7" s="3433"/>
      <c r="T7" s="3432"/>
      <c r="U7" s="3433"/>
      <c r="V7" s="3417"/>
      <c r="W7" s="3417"/>
      <c r="X7" s="1565"/>
      <c r="Y7" s="3432"/>
      <c r="Z7" s="3433"/>
      <c r="AA7" s="3420"/>
      <c r="AB7" s="3420"/>
      <c r="AC7" s="3420"/>
    </row>
    <row r="8" spans="1:30" ht="21" thickBot="1">
      <c r="A8" s="514"/>
      <c r="B8" s="515"/>
      <c r="C8" s="3440" t="s">
        <v>2930</v>
      </c>
      <c r="D8" s="3441"/>
      <c r="E8" s="3440" t="s">
        <v>2930</v>
      </c>
      <c r="F8" s="3441"/>
      <c r="G8" s="3436" t="s">
        <v>2930</v>
      </c>
      <c r="H8" s="3437"/>
      <c r="I8" s="3436" t="s">
        <v>2930</v>
      </c>
      <c r="J8" s="3437"/>
      <c r="K8" s="513" t="s">
        <v>528</v>
      </c>
      <c r="L8" s="2132"/>
      <c r="M8" s="2131"/>
      <c r="N8" s="2131"/>
      <c r="O8" s="2133"/>
      <c r="P8" s="3428"/>
      <c r="Q8" s="3429"/>
      <c r="R8" s="3432"/>
      <c r="S8" s="3433"/>
      <c r="T8" s="3434"/>
      <c r="U8" s="3435"/>
      <c r="V8" s="3417"/>
      <c r="W8" s="3417"/>
      <c r="X8" s="1565"/>
      <c r="Y8" s="3434"/>
      <c r="Z8" s="3435"/>
      <c r="AA8" s="3421"/>
      <c r="AB8" s="3421"/>
      <c r="AC8" s="3421"/>
    </row>
    <row r="9" spans="1:30" s="1218" customFormat="1" ht="21" thickBot="1">
      <c r="A9" s="2935"/>
      <c r="B9" s="2942" t="s">
        <v>529</v>
      </c>
      <c r="C9" s="2934">
        <f>'数据-取费表'!B2</f>
        <v>43224</v>
      </c>
      <c r="D9" s="519">
        <v>100</v>
      </c>
      <c r="E9" s="520" t="str">
        <f>土地案例!L3</f>
        <v>2016-02-16</v>
      </c>
      <c r="F9" s="521">
        <f>SUMIF(72:72,YEAR(E9)&amp;"-"&amp;INT((MONTH(E9)+2)/3),73:73)</f>
        <v>86.5</v>
      </c>
      <c r="G9" s="522" t="str">
        <f>土地案例!L4</f>
        <v>2016-02-16</v>
      </c>
      <c r="H9" s="519">
        <f>SUMIF(72:72,YEAR(G9)&amp;"-"&amp;INT((MONTH(G9)+2)/3),73:73)</f>
        <v>86.5</v>
      </c>
      <c r="I9" s="522" t="str">
        <f>土地案例!L5</f>
        <v>2016-02-16</v>
      </c>
      <c r="J9" s="519">
        <f>SUMIF(72:72,YEAR(I9)&amp;"-"&amp;INT((MONTH(I9)+2)/3),73:73)</f>
        <v>86.5</v>
      </c>
      <c r="K9" s="523"/>
      <c r="L9" s="2134"/>
      <c r="M9" s="2131"/>
      <c r="N9" s="2131"/>
      <c r="O9" s="2135"/>
      <c r="P9" s="3447" t="s">
        <v>530</v>
      </c>
      <c r="Q9" s="3449"/>
      <c r="R9" s="1566" t="s">
        <v>8</v>
      </c>
      <c r="S9" s="1567">
        <f t="shared" ref="S9:S17" si="0">F9</f>
        <v>86.5</v>
      </c>
      <c r="T9" s="1566" t="s">
        <v>8</v>
      </c>
      <c r="U9" s="1567">
        <f t="shared" ref="U9:U17" si="1">H9</f>
        <v>86.5</v>
      </c>
      <c r="V9" s="1566" t="s">
        <v>8</v>
      </c>
      <c r="W9" s="1567">
        <f t="shared" ref="W9:W17" si="2">J9</f>
        <v>86.5</v>
      </c>
      <c r="X9" s="1568"/>
      <c r="Y9" s="3447" t="s">
        <v>530</v>
      </c>
      <c r="Z9" s="3448"/>
      <c r="AA9" s="1569">
        <f>D9/F9</f>
        <v>1.1560693641618498</v>
      </c>
      <c r="AB9" s="1569">
        <f>D9/H9</f>
        <v>1.1560693641618498</v>
      </c>
      <c r="AC9" s="1569">
        <f>D9/J9</f>
        <v>1.1560693641618498</v>
      </c>
    </row>
    <row r="10" spans="1:30" s="1218" customFormat="1" ht="21" thickBot="1">
      <c r="A10" s="2936"/>
      <c r="B10" s="2943" t="s">
        <v>531</v>
      </c>
      <c r="C10" s="855" t="s">
        <v>532</v>
      </c>
      <c r="D10" s="519">
        <v>100</v>
      </c>
      <c r="E10" s="524" t="s">
        <v>2993</v>
      </c>
      <c r="F10" s="521">
        <f>SUMIF(75:75,E10,76:76)-SUMIF(75:75,C10,76:76)+100</f>
        <v>100</v>
      </c>
      <c r="G10" s="524" t="s">
        <v>2993</v>
      </c>
      <c r="H10" s="519">
        <f>SUMIF(75:75,G10,76:76)-SUMIF(75:75,C10,76:76)+100</f>
        <v>100</v>
      </c>
      <c r="I10" s="524" t="s">
        <v>2993</v>
      </c>
      <c r="J10" s="519">
        <f>SUMIF(75:75,I10,76:76)-SUMIF(75:75,C10,76:76)+100</f>
        <v>100</v>
      </c>
      <c r="K10" s="523"/>
      <c r="L10" s="2134"/>
      <c r="M10" s="2131"/>
      <c r="N10" s="2131"/>
      <c r="O10" s="2135"/>
      <c r="P10" s="3447" t="s">
        <v>533</v>
      </c>
      <c r="Q10" s="3448"/>
      <c r="R10" s="1566" t="s">
        <v>8</v>
      </c>
      <c r="S10" s="1567">
        <f t="shared" si="0"/>
        <v>100</v>
      </c>
      <c r="T10" s="1566" t="s">
        <v>8</v>
      </c>
      <c r="U10" s="1567">
        <f t="shared" si="1"/>
        <v>100</v>
      </c>
      <c r="V10" s="1566" t="s">
        <v>8</v>
      </c>
      <c r="W10" s="1567">
        <f t="shared" si="2"/>
        <v>100</v>
      </c>
      <c r="X10" s="1568"/>
      <c r="Y10" s="3447" t="s">
        <v>533</v>
      </c>
      <c r="Z10" s="3448"/>
      <c r="AA10" s="1569">
        <f t="shared" ref="AA10:AA47" si="3">D10/F10</f>
        <v>1</v>
      </c>
      <c r="AB10" s="1569">
        <f t="shared" ref="AB10:AB47" si="4">D10/H10</f>
        <v>1</v>
      </c>
      <c r="AC10" s="1569">
        <f t="shared" ref="AC10:AC47" si="5">D10/J10</f>
        <v>1</v>
      </c>
    </row>
    <row r="11" spans="1:30" s="1218" customFormat="1" ht="42.75">
      <c r="A11" s="2937"/>
      <c r="B11" s="2944" t="s">
        <v>2754</v>
      </c>
      <c r="C11" s="2931" t="s">
        <v>922</v>
      </c>
      <c r="D11" s="253">
        <v>100</v>
      </c>
      <c r="E11" s="525" t="s">
        <v>2999</v>
      </c>
      <c r="F11" s="253">
        <f>SUMIF(77:77,E11,78:78)-SUMIF(77:77,C11,78:78)+100</f>
        <v>100</v>
      </c>
      <c r="G11" s="525" t="s">
        <v>2999</v>
      </c>
      <c r="H11" s="253">
        <f>SUMIF(77:77,G11,78:78)-SUMIF(77:77,C11,78:78)+100</f>
        <v>100</v>
      </c>
      <c r="I11" s="525" t="s">
        <v>2999</v>
      </c>
      <c r="J11" s="253">
        <f>SUMIF(77:77,I11,78:78)-SUMIF(77:77,C11,78:78)+100</f>
        <v>100</v>
      </c>
      <c r="K11" s="523"/>
      <c r="L11" s="2134"/>
      <c r="M11" s="2131"/>
      <c r="N11" s="2131"/>
      <c r="O11" s="2136"/>
      <c r="P11" s="3416" t="s">
        <v>535</v>
      </c>
      <c r="Q11" s="1149" t="str">
        <f t="shared" ref="Q11:Q17" si="6">B11</f>
        <v>用途</v>
      </c>
      <c r="R11" s="1566" t="s">
        <v>8</v>
      </c>
      <c r="S11" s="1567">
        <f t="shared" si="0"/>
        <v>100</v>
      </c>
      <c r="T11" s="1566" t="s">
        <v>8</v>
      </c>
      <c r="U11" s="1567">
        <f t="shared" si="1"/>
        <v>100</v>
      </c>
      <c r="V11" s="1566" t="s">
        <v>8</v>
      </c>
      <c r="W11" s="1567">
        <f t="shared" si="2"/>
        <v>100</v>
      </c>
      <c r="X11" s="1568"/>
      <c r="Y11" s="3362" t="s">
        <v>536</v>
      </c>
      <c r="Z11" s="1148" t="str">
        <f t="shared" ref="Z11:Z17" si="7">Q11</f>
        <v>用途</v>
      </c>
      <c r="AA11" s="1569">
        <f t="shared" si="3"/>
        <v>1</v>
      </c>
      <c r="AB11" s="1569">
        <f t="shared" si="4"/>
        <v>1</v>
      </c>
      <c r="AC11" s="1569">
        <f t="shared" si="5"/>
        <v>1</v>
      </c>
    </row>
    <row r="12" spans="1:30" s="1336" customFormat="1" ht="27">
      <c r="A12" s="2938"/>
      <c r="B12" s="2943" t="s">
        <v>2755</v>
      </c>
      <c r="C12" s="909">
        <f>项目基本情况!D19</f>
        <v>61.7</v>
      </c>
      <c r="D12" s="254">
        <v>100</v>
      </c>
      <c r="E12" s="528" t="s">
        <v>3070</v>
      </c>
      <c r="F12" s="254">
        <f>ROUND(100/'数据-取费表'!G16,0)</f>
        <v>102</v>
      </c>
      <c r="G12" s="529" t="s">
        <v>3070</v>
      </c>
      <c r="H12" s="254">
        <f>ROUND(100/'数据-取费表'!G16,0)</f>
        <v>102</v>
      </c>
      <c r="I12" s="529" t="s">
        <v>3070</v>
      </c>
      <c r="J12" s="254">
        <f>ROUND(100/'数据-取费表'!G16,0)</f>
        <v>102</v>
      </c>
      <c r="K12" s="530"/>
      <c r="L12" s="2137"/>
      <c r="M12" s="2131"/>
      <c r="N12" s="2131"/>
      <c r="O12" s="2138"/>
      <c r="P12" s="3416"/>
      <c r="Q12" s="1149" t="str">
        <f t="shared" si="6"/>
        <v>土地使用年限（年）</v>
      </c>
      <c r="R12" s="1566" t="s">
        <v>8</v>
      </c>
      <c r="S12" s="1567">
        <f t="shared" si="0"/>
        <v>102</v>
      </c>
      <c r="T12" s="1566" t="s">
        <v>8</v>
      </c>
      <c r="U12" s="1567">
        <f t="shared" si="1"/>
        <v>102</v>
      </c>
      <c r="V12" s="1566" t="s">
        <v>8</v>
      </c>
      <c r="W12" s="1567">
        <f t="shared" si="2"/>
        <v>102</v>
      </c>
      <c r="X12" s="1568"/>
      <c r="Y12" s="3362"/>
      <c r="Z12" s="1148" t="str">
        <f t="shared" si="7"/>
        <v>土地使用年限（年）</v>
      </c>
      <c r="AA12" s="1569">
        <f t="shared" si="3"/>
        <v>0.98039215686274506</v>
      </c>
      <c r="AB12" s="1569">
        <f t="shared" si="4"/>
        <v>0.98039215686274506</v>
      </c>
      <c r="AC12" s="1569">
        <f t="shared" si="5"/>
        <v>0.98039215686274506</v>
      </c>
    </row>
    <row r="13" spans="1:30" ht="21" thickBot="1">
      <c r="A13" s="2939"/>
      <c r="B13" s="2943" t="s">
        <v>2756</v>
      </c>
      <c r="C13" s="533">
        <f>'数据-汇总表'!I6</f>
        <v>0.6</v>
      </c>
      <c r="D13" s="254">
        <v>100</v>
      </c>
      <c r="E13" s="532">
        <v>1.01</v>
      </c>
      <c r="F13" s="254">
        <f>LOOKUP(E13,82:82,83:83)-LOOKUP(C13,82:82,83:83)+100</f>
        <v>90</v>
      </c>
      <c r="G13" s="533">
        <v>1</v>
      </c>
      <c r="H13" s="254">
        <f>LOOKUP(G13,82:82,83:83)-LOOKUP(C13,82:82,83:83)+100</f>
        <v>90</v>
      </c>
      <c r="I13" s="532">
        <v>1.01</v>
      </c>
      <c r="J13" s="254">
        <f>LOOKUP(I13,82:82,83:83)-LOOKUP(C13,82:82,83:83)+100</f>
        <v>90</v>
      </c>
      <c r="K13" s="534">
        <v>10</v>
      </c>
      <c r="L13" s="2139"/>
      <c r="M13" s="2131"/>
      <c r="N13" s="2131"/>
      <c r="O13" s="2140"/>
      <c r="P13" s="3416"/>
      <c r="Q13" s="1149" t="str">
        <f t="shared" si="6"/>
        <v>容积率</v>
      </c>
      <c r="R13" s="1566" t="s">
        <v>8</v>
      </c>
      <c r="S13" s="1567">
        <f t="shared" si="0"/>
        <v>90</v>
      </c>
      <c r="T13" s="1566" t="s">
        <v>8</v>
      </c>
      <c r="U13" s="1567">
        <f t="shared" si="1"/>
        <v>90</v>
      </c>
      <c r="V13" s="1566" t="s">
        <v>8</v>
      </c>
      <c r="W13" s="1567">
        <f t="shared" si="2"/>
        <v>90</v>
      </c>
      <c r="X13" s="1568"/>
      <c r="Y13" s="3362"/>
      <c r="Z13" s="1148" t="str">
        <f t="shared" si="7"/>
        <v>容积率</v>
      </c>
      <c r="AA13" s="1569">
        <f t="shared" si="3"/>
        <v>1.1111111111111112</v>
      </c>
      <c r="AB13" s="1569">
        <f t="shared" si="4"/>
        <v>1.1111111111111112</v>
      </c>
      <c r="AC13" s="1569">
        <f t="shared" si="5"/>
        <v>1.1111111111111112</v>
      </c>
    </row>
    <row r="14" spans="1:30" s="1218" customFormat="1" ht="20.25" hidden="1">
      <c r="A14" s="2936"/>
      <c r="B14" s="2945" t="s">
        <v>2757</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16"/>
      <c r="Q14" s="1149" t="str">
        <f t="shared" si="6"/>
        <v>配建</v>
      </c>
      <c r="R14" s="1566" t="s">
        <v>8</v>
      </c>
      <c r="S14" s="1567">
        <f t="shared" si="0"/>
        <v>100</v>
      </c>
      <c r="T14" s="1566" t="s">
        <v>8</v>
      </c>
      <c r="U14" s="1567">
        <f t="shared" si="1"/>
        <v>100</v>
      </c>
      <c r="V14" s="1566" t="s">
        <v>8</v>
      </c>
      <c r="W14" s="1567">
        <f t="shared" si="2"/>
        <v>100</v>
      </c>
      <c r="X14" s="1568"/>
      <c r="Y14" s="3362"/>
      <c r="Z14" s="1148" t="str">
        <f t="shared" si="7"/>
        <v>配建</v>
      </c>
      <c r="AA14" s="1569">
        <f>D14/F14</f>
        <v>1</v>
      </c>
      <c r="AB14" s="1569">
        <f>D14/H14</f>
        <v>1</v>
      </c>
      <c r="AC14" s="1569">
        <f>D14/J14</f>
        <v>1</v>
      </c>
    </row>
    <row r="15" spans="1:30" ht="20.25" hidden="1">
      <c r="A15" s="2940"/>
      <c r="B15" s="2946"/>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16"/>
      <c r="Q15" s="1149">
        <f t="shared" si="6"/>
        <v>0</v>
      </c>
      <c r="R15" s="1566" t="s">
        <v>8</v>
      </c>
      <c r="S15" s="1567">
        <f t="shared" si="0"/>
        <v>100</v>
      </c>
      <c r="T15" s="1566" t="s">
        <v>8</v>
      </c>
      <c r="U15" s="1567">
        <f t="shared" si="1"/>
        <v>100</v>
      </c>
      <c r="V15" s="1566" t="s">
        <v>8</v>
      </c>
      <c r="W15" s="1567">
        <f t="shared" si="2"/>
        <v>100</v>
      </c>
      <c r="X15" s="1568"/>
      <c r="Y15" s="3362"/>
      <c r="Z15" s="1148">
        <f t="shared" si="7"/>
        <v>0</v>
      </c>
      <c r="AA15" s="1569">
        <f>D15/F15</f>
        <v>1</v>
      </c>
      <c r="AB15" s="1569">
        <f>D15/H15</f>
        <v>1</v>
      </c>
      <c r="AC15" s="1569">
        <f>D15/J15</f>
        <v>1</v>
      </c>
    </row>
    <row r="16" spans="1:30" ht="21" hidden="1" thickBot="1">
      <c r="A16" s="2941"/>
      <c r="B16" s="2947"/>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16"/>
      <c r="Q16" s="1149">
        <f t="shared" si="6"/>
        <v>0</v>
      </c>
      <c r="R16" s="1566" t="s">
        <v>8</v>
      </c>
      <c r="S16" s="1567">
        <f t="shared" si="0"/>
        <v>100</v>
      </c>
      <c r="T16" s="1566" t="s">
        <v>8</v>
      </c>
      <c r="U16" s="1567">
        <f t="shared" si="1"/>
        <v>100</v>
      </c>
      <c r="V16" s="1566" t="s">
        <v>8</v>
      </c>
      <c r="W16" s="1567">
        <f t="shared" si="2"/>
        <v>100</v>
      </c>
      <c r="X16" s="1568"/>
      <c r="Y16" s="3362"/>
      <c r="Z16" s="1148">
        <f t="shared" si="7"/>
        <v>0</v>
      </c>
      <c r="AA16" s="1569">
        <f>D16/F16</f>
        <v>1</v>
      </c>
      <c r="AB16" s="1569">
        <f>D16/H16</f>
        <v>1</v>
      </c>
      <c r="AC16" s="1569">
        <f>D16/J16</f>
        <v>1</v>
      </c>
    </row>
    <row r="17" spans="1:29" ht="99.75">
      <c r="A17" s="293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1"/>
      <c r="M17" s="2131"/>
      <c r="N17" s="2131"/>
      <c r="O17" s="2140"/>
      <c r="P17" s="3450" t="s">
        <v>540</v>
      </c>
      <c r="Q17" s="1570" t="str">
        <f t="shared" si="6"/>
        <v>居住社区成熟度</v>
      </c>
      <c r="R17" s="1571" t="s">
        <v>8</v>
      </c>
      <c r="S17" s="1572">
        <f t="shared" si="0"/>
        <v>100</v>
      </c>
      <c r="T17" s="1571" t="s">
        <v>8</v>
      </c>
      <c r="U17" s="1572">
        <f t="shared" si="1"/>
        <v>100</v>
      </c>
      <c r="V17" s="1571" t="s">
        <v>8</v>
      </c>
      <c r="W17" s="1572">
        <f t="shared" si="2"/>
        <v>100</v>
      </c>
      <c r="X17" s="1565"/>
      <c r="Y17" s="3450" t="s">
        <v>540</v>
      </c>
      <c r="Z17" s="1573" t="str">
        <f t="shared" si="7"/>
        <v>居住社区成熟度</v>
      </c>
      <c r="AA17" s="1574">
        <f t="shared" si="3"/>
        <v>1</v>
      </c>
      <c r="AB17" s="1574">
        <f t="shared" si="4"/>
        <v>1</v>
      </c>
      <c r="AC17" s="1574">
        <f t="shared" si="5"/>
        <v>1</v>
      </c>
    </row>
    <row r="18" spans="1:29" ht="20.25">
      <c r="A18" s="531"/>
      <c r="B18" s="552"/>
      <c r="C18" s="553" t="s">
        <v>3082</v>
      </c>
      <c r="D18" s="556"/>
      <c r="E18" s="557" t="s">
        <v>3082</v>
      </c>
      <c r="F18" s="554"/>
      <c r="G18" s="555" t="s">
        <v>3082</v>
      </c>
      <c r="H18" s="558"/>
      <c r="I18" s="557" t="s">
        <v>3082</v>
      </c>
      <c r="J18" s="554"/>
      <c r="K18" s="530"/>
      <c r="L18" s="2141"/>
      <c r="M18" s="2131"/>
      <c r="N18" s="2131"/>
      <c r="O18" s="2140"/>
      <c r="P18" s="3451"/>
      <c r="Q18" s="1570"/>
      <c r="R18" s="1571"/>
      <c r="S18" s="1572"/>
      <c r="T18" s="1571"/>
      <c r="U18" s="1572"/>
      <c r="V18" s="1571"/>
      <c r="W18" s="1572"/>
      <c r="X18" s="1565"/>
      <c r="Y18" s="3451"/>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451"/>
      <c r="Q19" s="1570" t="str">
        <f>B19</f>
        <v>商业繁华度</v>
      </c>
      <c r="R19" s="1571" t="s">
        <v>8</v>
      </c>
      <c r="S19" s="1572">
        <f>F19</f>
        <v>100</v>
      </c>
      <c r="T19" s="1571" t="s">
        <v>8</v>
      </c>
      <c r="U19" s="1572">
        <f>H19</f>
        <v>100</v>
      </c>
      <c r="V19" s="1571" t="s">
        <v>8</v>
      </c>
      <c r="W19" s="1572">
        <f>J19</f>
        <v>100</v>
      </c>
      <c r="X19" s="1565"/>
      <c r="Y19" s="3451"/>
      <c r="Z19" s="1573" t="str">
        <f>Q19</f>
        <v>商业繁华度</v>
      </c>
      <c r="AA19" s="1574">
        <f t="shared" si="3"/>
        <v>1</v>
      </c>
      <c r="AB19" s="1574">
        <f t="shared" si="4"/>
        <v>1</v>
      </c>
      <c r="AC19" s="1574">
        <f t="shared" si="5"/>
        <v>1</v>
      </c>
    </row>
    <row r="20" spans="1:29" ht="20.25">
      <c r="A20" s="531"/>
      <c r="B20" s="565"/>
      <c r="C20" s="566" t="s">
        <v>3082</v>
      </c>
      <c r="D20" s="562"/>
      <c r="E20" s="566" t="s">
        <v>3082</v>
      </c>
      <c r="F20" s="558"/>
      <c r="G20" s="566" t="s">
        <v>3082</v>
      </c>
      <c r="H20" s="554"/>
      <c r="I20" s="566" t="s">
        <v>3082</v>
      </c>
      <c r="J20" s="554"/>
      <c r="K20" s="530"/>
      <c r="L20" s="2141"/>
      <c r="M20" s="2131"/>
      <c r="N20" s="2131"/>
      <c r="O20" s="2140"/>
      <c r="P20" s="3451"/>
      <c r="Q20" s="1570"/>
      <c r="R20" s="1571"/>
      <c r="S20" s="1572"/>
      <c r="T20" s="1571"/>
      <c r="U20" s="1572"/>
      <c r="V20" s="1571"/>
      <c r="W20" s="1572"/>
      <c r="X20" s="1565"/>
      <c r="Y20" s="3451"/>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51"/>
      <c r="Q21" s="1570" t="str">
        <f>B21</f>
        <v>办公集聚程度</v>
      </c>
      <c r="R21" s="1571" t="s">
        <v>8</v>
      </c>
      <c r="S21" s="1572">
        <f>F21</f>
        <v>100</v>
      </c>
      <c r="T21" s="1571" t="s">
        <v>8</v>
      </c>
      <c r="U21" s="1572">
        <f>H21</f>
        <v>100</v>
      </c>
      <c r="V21" s="1571" t="s">
        <v>8</v>
      </c>
      <c r="W21" s="1572">
        <f>J21</f>
        <v>100</v>
      </c>
      <c r="X21" s="1565"/>
      <c r="Y21" s="3451"/>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451"/>
      <c r="Q22" s="1570"/>
      <c r="R22" s="1571"/>
      <c r="S22" s="1572"/>
      <c r="T22" s="1571"/>
      <c r="U22" s="1572"/>
      <c r="V22" s="1571"/>
      <c r="W22" s="1572"/>
      <c r="X22" s="1565"/>
      <c r="Y22" s="3451"/>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1"/>
      <c r="M23" s="2131"/>
      <c r="N23" s="2131"/>
      <c r="O23" s="2140"/>
      <c r="P23" s="3451"/>
      <c r="Q23" s="1570" t="str">
        <f>B23</f>
        <v>交通便捷度</v>
      </c>
      <c r="R23" s="1571" t="s">
        <v>8</v>
      </c>
      <c r="S23" s="1572">
        <f>F23</f>
        <v>100</v>
      </c>
      <c r="T23" s="1571" t="s">
        <v>8</v>
      </c>
      <c r="U23" s="1572">
        <f>H23</f>
        <v>100</v>
      </c>
      <c r="V23" s="1571" t="s">
        <v>8</v>
      </c>
      <c r="W23" s="1572">
        <f>J23</f>
        <v>100</v>
      </c>
      <c r="X23" s="1565"/>
      <c r="Y23" s="3451"/>
      <c r="Z23" s="1573" t="str">
        <f>Q23</f>
        <v>交通便捷度</v>
      </c>
      <c r="AA23" s="1574">
        <f t="shared" si="3"/>
        <v>1</v>
      </c>
      <c r="AB23" s="1574">
        <f t="shared" si="4"/>
        <v>1</v>
      </c>
      <c r="AC23" s="1574">
        <f t="shared" si="5"/>
        <v>1</v>
      </c>
    </row>
    <row r="24" spans="1:29" ht="20.25">
      <c r="A24" s="531"/>
      <c r="B24" s="577"/>
      <c r="C24" s="553" t="s">
        <v>3083</v>
      </c>
      <c r="D24" s="556"/>
      <c r="E24" s="553" t="s">
        <v>3083</v>
      </c>
      <c r="F24" s="554"/>
      <c r="G24" s="553" t="s">
        <v>3083</v>
      </c>
      <c r="H24" s="554"/>
      <c r="I24" s="553" t="s">
        <v>3083</v>
      </c>
      <c r="J24" s="554"/>
      <c r="K24" s="530"/>
      <c r="L24" s="2141"/>
      <c r="M24" s="2131"/>
      <c r="N24" s="2131"/>
      <c r="O24" s="2140"/>
      <c r="P24" s="3451"/>
      <c r="Q24" s="1570"/>
      <c r="R24" s="1571"/>
      <c r="S24" s="1572"/>
      <c r="T24" s="1571"/>
      <c r="U24" s="1572"/>
      <c r="V24" s="1571"/>
      <c r="W24" s="1572"/>
      <c r="X24" s="1565"/>
      <c r="Y24" s="3451"/>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451"/>
      <c r="Q25" s="1570" t="str">
        <f t="shared" ref="Q25:Q39" si="8">B25</f>
        <v>区域土地利用方向</v>
      </c>
      <c r="R25" s="1571" t="s">
        <v>8</v>
      </c>
      <c r="S25" s="1572">
        <f>F25</f>
        <v>100</v>
      </c>
      <c r="T25" s="1571" t="s">
        <v>8</v>
      </c>
      <c r="U25" s="1572">
        <f>H25</f>
        <v>100</v>
      </c>
      <c r="V25" s="1571" t="s">
        <v>8</v>
      </c>
      <c r="W25" s="1572">
        <f>J25</f>
        <v>100</v>
      </c>
      <c r="X25" s="1565"/>
      <c r="Y25" s="3451"/>
      <c r="Z25" s="1573" t="str">
        <f>Q25</f>
        <v>区域土地利用方向</v>
      </c>
      <c r="AA25" s="1574">
        <f t="shared" si="3"/>
        <v>1</v>
      </c>
      <c r="AB25" s="1574">
        <f t="shared" si="4"/>
        <v>1</v>
      </c>
      <c r="AC25" s="1574">
        <f t="shared" si="5"/>
        <v>1</v>
      </c>
    </row>
    <row r="26" spans="1:29" ht="20.25">
      <c r="A26" s="514"/>
      <c r="B26" s="1005"/>
      <c r="C26" s="553" t="s">
        <v>3074</v>
      </c>
      <c r="D26" s="556"/>
      <c r="E26" s="557" t="s">
        <v>3074</v>
      </c>
      <c r="F26" s="554"/>
      <c r="G26" s="555" t="s">
        <v>3074</v>
      </c>
      <c r="H26" s="554"/>
      <c r="I26" s="557" t="s">
        <v>3074</v>
      </c>
      <c r="J26" s="554"/>
      <c r="K26" s="530"/>
      <c r="L26" s="2141"/>
      <c r="M26" s="2131"/>
      <c r="N26" s="2131"/>
      <c r="O26" s="2140"/>
      <c r="P26" s="3451"/>
      <c r="Q26" s="1570"/>
      <c r="R26" s="1571"/>
      <c r="S26" s="1572"/>
      <c r="T26" s="1571"/>
      <c r="U26" s="1572"/>
      <c r="V26" s="1571"/>
      <c r="W26" s="1572"/>
      <c r="X26" s="1565"/>
      <c r="Y26" s="3451"/>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1"/>
      <c r="M27" s="2131"/>
      <c r="N27" s="2131"/>
      <c r="O27" s="2140"/>
      <c r="P27" s="3451"/>
      <c r="Q27" s="1570" t="str">
        <f t="shared" si="8"/>
        <v>自然及人文环境状况</v>
      </c>
      <c r="R27" s="1571" t="s">
        <v>8</v>
      </c>
      <c r="S27" s="1572">
        <f>F27</f>
        <v>95</v>
      </c>
      <c r="T27" s="1571" t="s">
        <v>8</v>
      </c>
      <c r="U27" s="1572">
        <f>H27</f>
        <v>95</v>
      </c>
      <c r="V27" s="1571" t="s">
        <v>8</v>
      </c>
      <c r="W27" s="1572">
        <f>J27</f>
        <v>95</v>
      </c>
      <c r="X27" s="1565"/>
      <c r="Y27" s="3451"/>
      <c r="Z27" s="1573" t="str">
        <f>Q27</f>
        <v>自然及人文环境状况</v>
      </c>
      <c r="AA27" s="1574">
        <f t="shared" si="3"/>
        <v>1.0526315789473684</v>
      </c>
      <c r="AB27" s="1574">
        <f t="shared" si="4"/>
        <v>1.0526315789473684</v>
      </c>
      <c r="AC27" s="1574">
        <f t="shared" si="5"/>
        <v>1.0526315789473684</v>
      </c>
    </row>
    <row r="28" spans="1:29" ht="20.25">
      <c r="A28" s="514"/>
      <c r="B28" s="565"/>
      <c r="C28" s="553" t="s">
        <v>3074</v>
      </c>
      <c r="D28" s="556"/>
      <c r="E28" s="575" t="s">
        <v>3083</v>
      </c>
      <c r="F28" s="554"/>
      <c r="G28" s="553" t="s">
        <v>3083</v>
      </c>
      <c r="H28" s="554"/>
      <c r="I28" s="575" t="s">
        <v>3083</v>
      </c>
      <c r="J28" s="554"/>
      <c r="K28" s="530"/>
      <c r="L28" s="2141"/>
      <c r="M28" s="2131"/>
      <c r="N28" s="2131"/>
      <c r="O28" s="2140"/>
      <c r="P28" s="3451"/>
      <c r="Q28" s="1570"/>
      <c r="R28" s="1571"/>
      <c r="S28" s="1572"/>
      <c r="T28" s="1571"/>
      <c r="U28" s="1572"/>
      <c r="V28" s="1571"/>
      <c r="W28" s="1572"/>
      <c r="X28" s="1565"/>
      <c r="Y28" s="3451"/>
      <c r="Z28" s="1573"/>
      <c r="AA28" s="1574">
        <v>1</v>
      </c>
      <c r="AB28" s="1574">
        <v>1</v>
      </c>
      <c r="AC28" s="1574">
        <v>1</v>
      </c>
    </row>
    <row r="29" spans="1:29" s="1218" customFormat="1" ht="42.75">
      <c r="A29" s="576"/>
      <c r="B29" s="261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4"/>
      <c r="M29" s="2131"/>
      <c r="N29" s="2131"/>
      <c r="O29" s="2136"/>
      <c r="P29" s="3451"/>
      <c r="Q29" s="1149" t="str">
        <f t="shared" si="8"/>
        <v>公共配套设施</v>
      </c>
      <c r="R29" s="1566" t="s">
        <v>8</v>
      </c>
      <c r="S29" s="1567">
        <f>F29</f>
        <v>100</v>
      </c>
      <c r="T29" s="1566" t="s">
        <v>8</v>
      </c>
      <c r="U29" s="1567">
        <f>H29</f>
        <v>100</v>
      </c>
      <c r="V29" s="1566" t="s">
        <v>8</v>
      </c>
      <c r="W29" s="1567">
        <f>J29</f>
        <v>100</v>
      </c>
      <c r="X29" s="1568"/>
      <c r="Y29" s="3451"/>
      <c r="Z29" s="1148" t="str">
        <f>Q29</f>
        <v>公共配套设施</v>
      </c>
      <c r="AA29" s="1574">
        <f>D29/F29</f>
        <v>1</v>
      </c>
      <c r="AB29" s="1574">
        <f>D29/H29</f>
        <v>1</v>
      </c>
      <c r="AC29" s="1574">
        <f>D29/J29</f>
        <v>1</v>
      </c>
    </row>
    <row r="30" spans="1:29" s="1218" customFormat="1" ht="20.25">
      <c r="A30" s="576"/>
      <c r="B30" s="565"/>
      <c r="C30" s="578" t="s">
        <v>3082</v>
      </c>
      <c r="D30" s="556"/>
      <c r="E30" s="578" t="s">
        <v>3082</v>
      </c>
      <c r="F30" s="554"/>
      <c r="G30" s="578" t="s">
        <v>3082</v>
      </c>
      <c r="H30" s="554"/>
      <c r="I30" s="578" t="s">
        <v>3082</v>
      </c>
      <c r="J30" s="554"/>
      <c r="K30" s="530"/>
      <c r="L30" s="2134"/>
      <c r="M30" s="2131"/>
      <c r="N30" s="2131"/>
      <c r="O30" s="2136"/>
      <c r="P30" s="3451"/>
      <c r="Q30" s="1149"/>
      <c r="R30" s="1566"/>
      <c r="S30" s="1567"/>
      <c r="T30" s="1566"/>
      <c r="U30" s="1567"/>
      <c r="V30" s="1566"/>
      <c r="W30" s="1567"/>
      <c r="X30" s="1568"/>
      <c r="Y30" s="3451"/>
      <c r="Z30" s="1148"/>
      <c r="AA30" s="1574">
        <v>1</v>
      </c>
      <c r="AB30" s="1574">
        <v>1</v>
      </c>
      <c r="AC30" s="1574">
        <v>1</v>
      </c>
    </row>
    <row r="31" spans="1:29" s="1218" customFormat="1" ht="28.5">
      <c r="A31" s="576"/>
      <c r="B31" s="261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451"/>
      <c r="Q31" s="2601" t="str">
        <f t="shared" ref="Q31" si="9">B31</f>
        <v>基础设施水平</v>
      </c>
      <c r="R31" s="1566" t="s">
        <v>8</v>
      </c>
      <c r="S31" s="1567">
        <f>F31</f>
        <v>100</v>
      </c>
      <c r="T31" s="1566" t="s">
        <v>8</v>
      </c>
      <c r="U31" s="1567">
        <f>H31</f>
        <v>100</v>
      </c>
      <c r="V31" s="1566" t="s">
        <v>8</v>
      </c>
      <c r="W31" s="1567">
        <f>J31</f>
        <v>100</v>
      </c>
      <c r="X31" s="1568"/>
      <c r="Y31" s="3451"/>
      <c r="Z31" s="2598" t="str">
        <f>Q31</f>
        <v>基础设施水平</v>
      </c>
      <c r="AA31" s="1574">
        <f>D31/F31</f>
        <v>1</v>
      </c>
      <c r="AB31" s="1574">
        <f>D31/H31</f>
        <v>1</v>
      </c>
      <c r="AC31" s="1574">
        <f>D31/J31</f>
        <v>1</v>
      </c>
    </row>
    <row r="32" spans="1:29" s="1218" customFormat="1" ht="20.25">
      <c r="A32" s="576"/>
      <c r="B32" s="565"/>
      <c r="C32" s="578" t="s">
        <v>3084</v>
      </c>
      <c r="D32" s="556"/>
      <c r="E32" s="578" t="s">
        <v>3084</v>
      </c>
      <c r="F32" s="554"/>
      <c r="G32" s="578" t="s">
        <v>3084</v>
      </c>
      <c r="H32" s="554"/>
      <c r="I32" s="578" t="s">
        <v>3084</v>
      </c>
      <c r="J32" s="554"/>
      <c r="K32" s="530"/>
      <c r="L32" s="2134"/>
      <c r="M32" s="2131"/>
      <c r="N32" s="2131"/>
      <c r="O32" s="2136"/>
      <c r="P32" s="3451"/>
      <c r="Q32" s="2601"/>
      <c r="R32" s="1566"/>
      <c r="S32" s="1567"/>
      <c r="T32" s="1566"/>
      <c r="U32" s="1567"/>
      <c r="V32" s="1566"/>
      <c r="W32" s="1567"/>
      <c r="X32" s="1568"/>
      <c r="Y32" s="3451"/>
      <c r="Z32" s="2598"/>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5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51"/>
      <c r="Z33" s="1573" t="str">
        <f t="shared" ref="Z33:Z47" si="13">Q33</f>
        <v>临街状况</v>
      </c>
      <c r="AA33" s="1574">
        <f t="shared" si="3"/>
        <v>1</v>
      </c>
      <c r="AB33" s="1574">
        <f t="shared" si="4"/>
        <v>1</v>
      </c>
      <c r="AC33" s="1574">
        <f t="shared" si="5"/>
        <v>1</v>
      </c>
    </row>
    <row r="34" spans="1:29" ht="27">
      <c r="A34" s="531"/>
      <c r="B34" s="577" t="s">
        <v>548</v>
      </c>
      <c r="C34" s="561"/>
      <c r="D34" s="562">
        <v>100</v>
      </c>
      <c r="E34" s="3219" t="s">
        <v>3134</v>
      </c>
      <c r="F34" s="558">
        <f>SUMIF(108:108,E35,109:109)-SUMIF(108:108,C35,109:109)+100</f>
        <v>100</v>
      </c>
      <c r="G34" s="561"/>
      <c r="H34" s="558">
        <f>SUMIF(108:108,G35,109:109)-SUMIF(108:108,C35,109:109)+100</f>
        <v>100</v>
      </c>
      <c r="I34" s="3219" t="s">
        <v>3133</v>
      </c>
      <c r="J34" s="558">
        <f>SUMIF(108:108,I35,109:109)-SUMIF(108:108,C35,109:109)+100</f>
        <v>100</v>
      </c>
      <c r="K34" s="534">
        <v>1</v>
      </c>
      <c r="L34" s="2141"/>
      <c r="M34" s="2131"/>
      <c r="N34" s="2131"/>
      <c r="O34" s="2140"/>
      <c r="P34" s="3451"/>
      <c r="Q34" s="1570" t="str">
        <f t="shared" si="8"/>
        <v>毗邻道路的类型与等级</v>
      </c>
      <c r="R34" s="1571" t="s">
        <v>8</v>
      </c>
      <c r="S34" s="1572">
        <f t="shared" si="10"/>
        <v>100</v>
      </c>
      <c r="T34" s="1571" t="s">
        <v>8</v>
      </c>
      <c r="U34" s="1572">
        <f t="shared" si="11"/>
        <v>100</v>
      </c>
      <c r="V34" s="1571" t="s">
        <v>8</v>
      </c>
      <c r="W34" s="1572">
        <f t="shared" si="12"/>
        <v>100</v>
      </c>
      <c r="X34" s="1565"/>
      <c r="Y34" s="3451"/>
      <c r="Z34" s="1573" t="str">
        <f t="shared" si="13"/>
        <v>毗邻道路的类型与等级</v>
      </c>
      <c r="AA34" s="1574">
        <f t="shared" si="3"/>
        <v>1</v>
      </c>
      <c r="AB34" s="1574">
        <f t="shared" si="4"/>
        <v>1</v>
      </c>
      <c r="AC34" s="1574">
        <f t="shared" si="5"/>
        <v>1</v>
      </c>
    </row>
    <row r="35" spans="1:29" ht="21" thickBot="1">
      <c r="A35" s="531"/>
      <c r="B35" s="565"/>
      <c r="C35" s="575" t="s">
        <v>3132</v>
      </c>
      <c r="D35" s="556"/>
      <c r="E35" s="575" t="s">
        <v>3132</v>
      </c>
      <c r="F35" s="554"/>
      <c r="G35" s="3221" t="s">
        <v>3132</v>
      </c>
      <c r="H35" s="554"/>
      <c r="I35" s="575" t="s">
        <v>3132</v>
      </c>
      <c r="J35" s="554"/>
      <c r="K35" s="580"/>
      <c r="L35" s="2141"/>
      <c r="M35" s="2131"/>
      <c r="N35" s="2131"/>
      <c r="O35" s="2140"/>
      <c r="P35" s="3451"/>
      <c r="Q35" s="1570"/>
      <c r="R35" s="1571"/>
      <c r="S35" s="1572"/>
      <c r="T35" s="1571"/>
      <c r="U35" s="1572"/>
      <c r="V35" s="1571"/>
      <c r="W35" s="1572"/>
      <c r="X35" s="1565"/>
      <c r="Y35" s="3451"/>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51"/>
      <c r="Q36" s="1570" t="str">
        <f t="shared" si="8"/>
        <v>土地级别</v>
      </c>
      <c r="R36" s="1571" t="s">
        <v>8</v>
      </c>
      <c r="S36" s="1572">
        <f t="shared" si="10"/>
        <v>100</v>
      </c>
      <c r="T36" s="1571" t="s">
        <v>8</v>
      </c>
      <c r="U36" s="1572">
        <f t="shared" si="11"/>
        <v>100</v>
      </c>
      <c r="V36" s="1571" t="s">
        <v>8</v>
      </c>
      <c r="W36" s="1572">
        <f t="shared" si="12"/>
        <v>100</v>
      </c>
      <c r="X36" s="1565"/>
      <c r="Y36" s="3451"/>
      <c r="Z36" s="1573" t="str">
        <f t="shared" si="13"/>
        <v>土地级别</v>
      </c>
      <c r="AA36" s="1574">
        <f t="shared" si="3"/>
        <v>1</v>
      </c>
      <c r="AB36" s="1574">
        <f t="shared" si="4"/>
        <v>1</v>
      </c>
      <c r="AC36" s="1574">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51"/>
      <c r="Q37" s="1570">
        <f t="shared" si="8"/>
        <v>0</v>
      </c>
      <c r="R37" s="1571" t="s">
        <v>8</v>
      </c>
      <c r="S37" s="1572">
        <f t="shared" si="10"/>
        <v>100</v>
      </c>
      <c r="T37" s="1571" t="s">
        <v>8</v>
      </c>
      <c r="U37" s="1572">
        <f t="shared" si="11"/>
        <v>100</v>
      </c>
      <c r="V37" s="1571" t="s">
        <v>8</v>
      </c>
      <c r="W37" s="1572">
        <f t="shared" si="12"/>
        <v>100</v>
      </c>
      <c r="X37" s="1565"/>
      <c r="Y37" s="3451"/>
      <c r="Z37" s="1573">
        <f t="shared" si="13"/>
        <v>0</v>
      </c>
      <c r="AA37" s="1574">
        <f t="shared" si="3"/>
        <v>1</v>
      </c>
      <c r="AB37" s="1574">
        <f t="shared" si="4"/>
        <v>1</v>
      </c>
      <c r="AC37" s="1574">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52" t="s">
        <v>550</v>
      </c>
      <c r="Q38" s="1570">
        <f t="shared" si="8"/>
        <v>0</v>
      </c>
      <c r="R38" s="1571" t="s">
        <v>8</v>
      </c>
      <c r="S38" s="1572">
        <f t="shared" si="10"/>
        <v>100</v>
      </c>
      <c r="T38" s="1571" t="s">
        <v>8</v>
      </c>
      <c r="U38" s="1572">
        <f t="shared" si="11"/>
        <v>100</v>
      </c>
      <c r="V38" s="1571" t="s">
        <v>8</v>
      </c>
      <c r="W38" s="1572">
        <f t="shared" si="12"/>
        <v>100</v>
      </c>
      <c r="X38" s="1565"/>
      <c r="Y38" s="3453" t="s">
        <v>550</v>
      </c>
      <c r="Z38" s="1573">
        <f t="shared" si="13"/>
        <v>0</v>
      </c>
      <c r="AA38" s="1574">
        <f t="shared" si="3"/>
        <v>1</v>
      </c>
      <c r="AB38" s="1574">
        <f t="shared" si="4"/>
        <v>1</v>
      </c>
      <c r="AC38" s="1574">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53"/>
      <c r="Q39" s="1570">
        <f t="shared" si="8"/>
        <v>0</v>
      </c>
      <c r="R39" s="1575" t="s">
        <v>8</v>
      </c>
      <c r="S39" s="1576">
        <f t="shared" si="10"/>
        <v>100</v>
      </c>
      <c r="T39" s="1575" t="s">
        <v>8</v>
      </c>
      <c r="U39" s="1576">
        <f t="shared" si="11"/>
        <v>100</v>
      </c>
      <c r="V39" s="1575" t="s">
        <v>8</v>
      </c>
      <c r="W39" s="1576">
        <f t="shared" si="12"/>
        <v>100</v>
      </c>
      <c r="X39" s="1577"/>
      <c r="Y39" s="3453"/>
      <c r="Z39" s="1578">
        <f t="shared" si="13"/>
        <v>0</v>
      </c>
      <c r="AA39" s="1574">
        <f t="shared" si="3"/>
        <v>1</v>
      </c>
      <c r="AB39" s="1574">
        <f t="shared" si="4"/>
        <v>1</v>
      </c>
      <c r="AC39" s="1574">
        <f t="shared" si="5"/>
        <v>1</v>
      </c>
    </row>
    <row r="40" spans="1:29" ht="20.25">
      <c r="A40" s="2930" t="s">
        <v>2753</v>
      </c>
      <c r="B40" s="594" t="s">
        <v>552</v>
      </c>
      <c r="C40" s="595">
        <f>'数据-汇总表'!D3</f>
        <v>51474</v>
      </c>
      <c r="D40" s="596">
        <v>100</v>
      </c>
      <c r="E40" s="595">
        <f>土地案例!I3</f>
        <v>67504</v>
      </c>
      <c r="F40" s="596">
        <f>LOOKUP(E40,119:119,120:120)-LOOKUP(C40,119:119,120:120)+100</f>
        <v>100</v>
      </c>
      <c r="G40" s="595">
        <f>土地案例!I4</f>
        <v>33852</v>
      </c>
      <c r="H40" s="596">
        <f>LOOKUP(G40,119:119,120:120)-LOOKUP(C40,119:119,120:120)+100</f>
        <v>100</v>
      </c>
      <c r="I40" s="597">
        <f>土地案例!I5</f>
        <v>65094</v>
      </c>
      <c r="J40" s="596">
        <f>LOOKUP(I40,119:119,120:120)-LOOKUP(C40,119:119,120:120)+100</f>
        <v>100</v>
      </c>
      <c r="K40" s="580"/>
      <c r="L40" s="2141"/>
      <c r="M40" s="2131"/>
      <c r="N40" s="2131"/>
      <c r="O40" s="2140"/>
      <c r="P40" s="3453"/>
      <c r="Q40" s="1570" t="str">
        <f>B40</f>
        <v>宗地面积</v>
      </c>
      <c r="R40" s="1571" t="s">
        <v>8</v>
      </c>
      <c r="S40" s="1572">
        <f t="shared" si="10"/>
        <v>100</v>
      </c>
      <c r="T40" s="1571" t="s">
        <v>8</v>
      </c>
      <c r="U40" s="1572">
        <f t="shared" si="11"/>
        <v>100</v>
      </c>
      <c r="V40" s="1571" t="s">
        <v>8</v>
      </c>
      <c r="W40" s="1572">
        <f t="shared" si="12"/>
        <v>100</v>
      </c>
      <c r="X40" s="1565"/>
      <c r="Y40" s="3453"/>
      <c r="Z40" s="1573" t="str">
        <f t="shared" si="13"/>
        <v>宗地面积</v>
      </c>
      <c r="AA40" s="1574">
        <f t="shared" si="3"/>
        <v>1</v>
      </c>
      <c r="AB40" s="1574">
        <f t="shared" si="4"/>
        <v>1</v>
      </c>
      <c r="AC40" s="1574">
        <f t="shared" si="5"/>
        <v>1</v>
      </c>
    </row>
    <row r="41" spans="1:29" ht="20.25">
      <c r="A41" s="593"/>
      <c r="B41" s="526" t="s">
        <v>553</v>
      </c>
      <c r="C41" s="598" t="s">
        <v>3130</v>
      </c>
      <c r="D41" s="539">
        <v>100</v>
      </c>
      <c r="E41" s="598" t="s">
        <v>3130</v>
      </c>
      <c r="F41" s="539">
        <f>SUMIF(121:121,E41,122:122)-SUMIF(121:121,C41,122:122)+100</f>
        <v>100</v>
      </c>
      <c r="G41" s="598" t="s">
        <v>3130</v>
      </c>
      <c r="H41" s="539">
        <f>SUMIF(121:121,G41,122:122)-SUMIF(121:121,C41,122:122)+100</f>
        <v>100</v>
      </c>
      <c r="I41" s="598" t="s">
        <v>3130</v>
      </c>
      <c r="J41" s="539">
        <f>SUMIF(121:121,I41,122:122)-SUMIF(121:121,C41,122:122)+100</f>
        <v>100</v>
      </c>
      <c r="K41" s="583">
        <v>2</v>
      </c>
      <c r="L41" s="2141"/>
      <c r="M41" s="2131"/>
      <c r="N41" s="2131"/>
      <c r="O41" s="2140"/>
      <c r="P41" s="3453"/>
      <c r="Q41" s="1570" t="str">
        <f t="shared" ref="Q41:Q47" si="14">B41</f>
        <v>宗地形状</v>
      </c>
      <c r="R41" s="1571" t="s">
        <v>8</v>
      </c>
      <c r="S41" s="1572">
        <f t="shared" si="10"/>
        <v>100</v>
      </c>
      <c r="T41" s="1571" t="s">
        <v>8</v>
      </c>
      <c r="U41" s="1572">
        <f t="shared" si="11"/>
        <v>100</v>
      </c>
      <c r="V41" s="1571" t="s">
        <v>8</v>
      </c>
      <c r="W41" s="1572">
        <f t="shared" si="12"/>
        <v>100</v>
      </c>
      <c r="X41" s="1565"/>
      <c r="Y41" s="3453"/>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53"/>
      <c r="Q42" s="1570" t="str">
        <f t="shared" si="14"/>
        <v>临街宽度及深度</v>
      </c>
      <c r="R42" s="1571" t="s">
        <v>8</v>
      </c>
      <c r="S42" s="1572">
        <f t="shared" si="10"/>
        <v>100</v>
      </c>
      <c r="T42" s="1571" t="s">
        <v>8</v>
      </c>
      <c r="U42" s="1572">
        <f t="shared" si="11"/>
        <v>100</v>
      </c>
      <c r="V42" s="1571" t="s">
        <v>8</v>
      </c>
      <c r="W42" s="1572">
        <f t="shared" si="12"/>
        <v>100</v>
      </c>
      <c r="X42" s="1565"/>
      <c r="Y42" s="3453"/>
      <c r="Z42" s="1573" t="str">
        <f t="shared" si="13"/>
        <v>临街宽度及深度</v>
      </c>
      <c r="AA42" s="1574">
        <f t="shared" si="3"/>
        <v>1</v>
      </c>
      <c r="AB42" s="1574">
        <f t="shared" si="4"/>
        <v>1</v>
      </c>
      <c r="AC42" s="1574">
        <f t="shared" si="5"/>
        <v>1</v>
      </c>
    </row>
    <row r="43" spans="1:29" s="1218" customFormat="1" ht="20.25">
      <c r="A43" s="599"/>
      <c r="B43" s="3227" t="s">
        <v>2423</v>
      </c>
      <c r="C43" s="600" t="s">
        <v>3147</v>
      </c>
      <c r="D43" s="254">
        <v>100</v>
      </c>
      <c r="E43" s="600" t="s">
        <v>3149</v>
      </c>
      <c r="F43" s="539">
        <f>SUMIF(125:125,E43,126:126)-SUMIF(125:125,C43,126:126)+100</f>
        <v>97</v>
      </c>
      <c r="G43" s="600" t="s">
        <v>3149</v>
      </c>
      <c r="H43" s="539">
        <f>SUMIF(125:125,G43,126:126)-SUMIF(125:125,C43,126:126)+100</f>
        <v>97</v>
      </c>
      <c r="I43" s="600" t="s">
        <v>3149</v>
      </c>
      <c r="J43" s="539">
        <f>SUMIF(125:125,I43,126:126)-SUMIF(125:125,C43,126:126)+100</f>
        <v>97</v>
      </c>
      <c r="K43" s="583">
        <v>3</v>
      </c>
      <c r="L43" s="2134"/>
      <c r="M43" s="2131"/>
      <c r="N43" s="2131"/>
      <c r="O43" s="2136"/>
      <c r="P43" s="3453"/>
      <c r="Q43" s="1570" t="str">
        <f t="shared" si="14"/>
        <v>宗地开发程度</v>
      </c>
      <c r="R43" s="1566" t="s">
        <v>8</v>
      </c>
      <c r="S43" s="1567">
        <f t="shared" si="10"/>
        <v>97</v>
      </c>
      <c r="T43" s="1566" t="s">
        <v>8</v>
      </c>
      <c r="U43" s="1567">
        <f t="shared" si="11"/>
        <v>97</v>
      </c>
      <c r="V43" s="1566" t="s">
        <v>8</v>
      </c>
      <c r="W43" s="1567">
        <f t="shared" si="12"/>
        <v>97</v>
      </c>
      <c r="X43" s="1568"/>
      <c r="Y43" s="3453"/>
      <c r="Z43" s="1148" t="str">
        <f t="shared" si="13"/>
        <v>宗地开发程度</v>
      </c>
      <c r="AA43" s="1569">
        <f t="shared" si="3"/>
        <v>1.0309278350515463</v>
      </c>
      <c r="AB43" s="1569">
        <f t="shared" si="4"/>
        <v>1.0309278350515463</v>
      </c>
      <c r="AC43" s="1569">
        <f t="shared" si="5"/>
        <v>1.0309278350515463</v>
      </c>
    </row>
    <row r="44" spans="1:29" ht="21" thickBot="1">
      <c r="A44" s="593"/>
      <c r="B44" s="526" t="s">
        <v>555</v>
      </c>
      <c r="C44" s="598" t="s">
        <v>3074</v>
      </c>
      <c r="D44" s="539">
        <v>100</v>
      </c>
      <c r="E44" s="598" t="s">
        <v>3074</v>
      </c>
      <c r="F44" s="539">
        <f>SUMIF(127:127,E44,128:128)-SUMIF(127:127,C44,128:128)+100</f>
        <v>100</v>
      </c>
      <c r="G44" s="598" t="s">
        <v>3074</v>
      </c>
      <c r="H44" s="539">
        <f>SUMIF(127:127,G44,128:128)-SUMIF(127:127,C44,128:128)+100</f>
        <v>100</v>
      </c>
      <c r="I44" s="598" t="s">
        <v>3074</v>
      </c>
      <c r="J44" s="539">
        <f>SUMIF(127:127,I44,128:128)-SUMIF(127:127,C44,128:128)+100</f>
        <v>100</v>
      </c>
      <c r="K44" s="583">
        <v>2</v>
      </c>
      <c r="L44" s="2141"/>
      <c r="M44" s="2131"/>
      <c r="N44" s="2131"/>
      <c r="O44" s="2140"/>
      <c r="P44" s="3453" t="s">
        <v>550</v>
      </c>
      <c r="Q44" s="1570" t="str">
        <f t="shared" si="14"/>
        <v>工程地质条件</v>
      </c>
      <c r="R44" s="1571" t="s">
        <v>8</v>
      </c>
      <c r="S44" s="1572">
        <f t="shared" si="10"/>
        <v>100</v>
      </c>
      <c r="T44" s="1571" t="s">
        <v>8</v>
      </c>
      <c r="U44" s="1572">
        <f t="shared" si="11"/>
        <v>100</v>
      </c>
      <c r="V44" s="1571" t="s">
        <v>8</v>
      </c>
      <c r="W44" s="1572">
        <f t="shared" si="12"/>
        <v>100</v>
      </c>
      <c r="X44" s="1565"/>
      <c r="Y44" s="3453" t="s">
        <v>550</v>
      </c>
      <c r="Z44" s="1573" t="str">
        <f t="shared" si="13"/>
        <v>工程地质条件</v>
      </c>
      <c r="AA44" s="1574">
        <f t="shared" si="3"/>
        <v>1</v>
      </c>
      <c r="AB44" s="1574">
        <f t="shared" si="4"/>
        <v>1</v>
      </c>
      <c r="AC44" s="1574">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53"/>
      <c r="Q45" s="1570">
        <f t="shared" si="14"/>
        <v>0</v>
      </c>
      <c r="R45" s="1571" t="s">
        <v>8</v>
      </c>
      <c r="S45" s="1572">
        <f t="shared" si="10"/>
        <v>100</v>
      </c>
      <c r="T45" s="1571" t="s">
        <v>8</v>
      </c>
      <c r="U45" s="1572">
        <f t="shared" si="11"/>
        <v>100</v>
      </c>
      <c r="V45" s="1571" t="s">
        <v>8</v>
      </c>
      <c r="W45" s="1572">
        <f t="shared" si="12"/>
        <v>100</v>
      </c>
      <c r="X45" s="1565"/>
      <c r="Y45" s="3453"/>
      <c r="Z45" s="1573">
        <f t="shared" si="13"/>
        <v>0</v>
      </c>
      <c r="AA45" s="1574">
        <f t="shared" si="3"/>
        <v>1</v>
      </c>
      <c r="AB45" s="1574">
        <f t="shared" si="4"/>
        <v>1</v>
      </c>
      <c r="AC45" s="1574">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53"/>
      <c r="Q46" s="1570">
        <f t="shared" si="14"/>
        <v>0</v>
      </c>
      <c r="R46" s="1571" t="s">
        <v>8</v>
      </c>
      <c r="S46" s="1572">
        <f t="shared" si="10"/>
        <v>100</v>
      </c>
      <c r="T46" s="1571" t="s">
        <v>8</v>
      </c>
      <c r="U46" s="1572">
        <f t="shared" si="11"/>
        <v>100</v>
      </c>
      <c r="V46" s="1571" t="s">
        <v>8</v>
      </c>
      <c r="W46" s="1572">
        <f t="shared" si="12"/>
        <v>100</v>
      </c>
      <c r="X46" s="1565"/>
      <c r="Y46" s="3453"/>
      <c r="Z46" s="1573">
        <f t="shared" si="13"/>
        <v>0</v>
      </c>
      <c r="AA46" s="1574">
        <f t="shared" si="3"/>
        <v>1</v>
      </c>
      <c r="AB46" s="1574">
        <f t="shared" si="4"/>
        <v>1</v>
      </c>
      <c r="AC46" s="1574">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53"/>
      <c r="Q47" s="1570">
        <f t="shared" si="14"/>
        <v>0</v>
      </c>
      <c r="R47" s="1575" t="s">
        <v>8</v>
      </c>
      <c r="S47" s="1576">
        <f t="shared" si="10"/>
        <v>100</v>
      </c>
      <c r="T47" s="1575" t="s">
        <v>8</v>
      </c>
      <c r="U47" s="1576">
        <f t="shared" si="11"/>
        <v>100</v>
      </c>
      <c r="V47" s="1575" t="s">
        <v>8</v>
      </c>
      <c r="W47" s="1576">
        <f t="shared" si="12"/>
        <v>100</v>
      </c>
      <c r="X47" s="1577"/>
      <c r="Y47" s="3453"/>
      <c r="Z47" s="1578">
        <f t="shared" si="13"/>
        <v>0</v>
      </c>
      <c r="AA47" s="1574">
        <f t="shared" si="3"/>
        <v>1</v>
      </c>
      <c r="AB47" s="1574">
        <f t="shared" si="4"/>
        <v>1</v>
      </c>
      <c r="AC47" s="1574">
        <f t="shared" si="5"/>
        <v>1</v>
      </c>
    </row>
    <row r="48" spans="1:29" ht="20.25">
      <c r="A48" s="606" t="s">
        <v>556</v>
      </c>
      <c r="B48" s="607" t="s">
        <v>2992</v>
      </c>
      <c r="C48" s="608" t="s">
        <v>1</v>
      </c>
      <c r="D48" s="609"/>
      <c r="E48" s="610">
        <f>ROUND(土地案例!P3,0)</f>
        <v>1870</v>
      </c>
      <c r="F48" s="611"/>
      <c r="G48" s="610">
        <f>ROUND(土地案例!P4,0)</f>
        <v>1722</v>
      </c>
      <c r="H48" s="613"/>
      <c r="I48" s="610">
        <f>ROUND(土地案例!P5,0)</f>
        <v>1870</v>
      </c>
      <c r="J48" s="613"/>
      <c r="K48" s="1338"/>
      <c r="L48" s="2143"/>
      <c r="M48" s="2131"/>
      <c r="N48" s="2131"/>
      <c r="O48" s="2144"/>
      <c r="P48" s="3416" t="str">
        <f>A48</f>
        <v>成交单价</v>
      </c>
      <c r="Q48" s="3416"/>
      <c r="R48" s="3417">
        <f>E48</f>
        <v>1870</v>
      </c>
      <c r="S48" s="3417"/>
      <c r="T48" s="3417">
        <f>G48</f>
        <v>1722</v>
      </c>
      <c r="U48" s="3417"/>
      <c r="V48" s="3417">
        <f>I48</f>
        <v>1870</v>
      </c>
      <c r="W48" s="3417"/>
      <c r="X48" s="1557"/>
      <c r="Y48" s="1579"/>
      <c r="Z48" s="1557"/>
      <c r="AA48" s="1557"/>
      <c r="AB48" s="1557"/>
      <c r="AC48" s="1557"/>
    </row>
    <row r="49" spans="1:29" ht="21" thickBot="1">
      <c r="A49" s="614" t="s">
        <v>2691</v>
      </c>
      <c r="B49" s="615"/>
      <c r="C49" s="616">
        <f>R50</f>
        <v>2488</v>
      </c>
      <c r="D49" s="617"/>
      <c r="E49" s="616">
        <f>R49</f>
        <v>2556</v>
      </c>
      <c r="F49" s="618"/>
      <c r="G49" s="619">
        <f>T49</f>
        <v>2353</v>
      </c>
      <c r="H49" s="617"/>
      <c r="I49" s="616">
        <f>V49</f>
        <v>2556</v>
      </c>
      <c r="J49" s="617"/>
      <c r="K49" s="1339"/>
      <c r="L49" s="2143"/>
      <c r="M49" s="2131"/>
      <c r="N49" s="2131"/>
      <c r="O49" s="2144"/>
      <c r="P49" s="3416" t="str">
        <f>A49</f>
        <v>比较价格（元/平方米）</v>
      </c>
      <c r="Q49" s="3416"/>
      <c r="R49" s="3418">
        <f>ROUND(PRODUCT(R48,AA9:AA47),0)</f>
        <v>2556</v>
      </c>
      <c r="S49" s="3418"/>
      <c r="T49" s="3418">
        <f>ROUND(PRODUCT(T48,AB9:AB47),0)</f>
        <v>2353</v>
      </c>
      <c r="U49" s="3418"/>
      <c r="V49" s="3418">
        <f>ROUND(PRODUCT(V48,AC9:AC47),0)</f>
        <v>2556</v>
      </c>
      <c r="W49" s="3418"/>
      <c r="X49" s="1557"/>
      <c r="Y49" s="1557"/>
      <c r="Z49" s="1557"/>
      <c r="AA49" s="1557"/>
      <c r="AB49" s="1557"/>
      <c r="AC49" s="1557"/>
    </row>
    <row r="50" spans="1:29" ht="21" thickBot="1">
      <c r="A50" s="620" t="s">
        <v>2932</v>
      </c>
      <c r="B50" s="621"/>
      <c r="C50" s="622">
        <f>R50</f>
        <v>2488</v>
      </c>
      <c r="D50" s="622"/>
      <c r="E50" s="622"/>
      <c r="F50" s="622"/>
      <c r="G50" s="622"/>
      <c r="H50" s="622"/>
      <c r="I50" s="622"/>
      <c r="J50" s="622"/>
      <c r="K50" s="1340"/>
      <c r="L50" s="2143"/>
      <c r="M50" s="2131"/>
      <c r="N50" s="2131"/>
      <c r="O50" s="2144"/>
      <c r="P50" s="3413" t="str">
        <f>A50</f>
        <v>估价对象XX用房的比较价格（楼面单价，元/平方米）</v>
      </c>
      <c r="Q50" s="3414"/>
      <c r="R50" s="3415">
        <f>ROUND(AVERAGE(R49:V49),0)</f>
        <v>2488</v>
      </c>
      <c r="S50" s="3415"/>
      <c r="T50" s="3415"/>
      <c r="U50" s="3415"/>
      <c r="V50" s="3415"/>
      <c r="W50" s="3415"/>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0.36684491978609635</v>
      </c>
      <c r="F53" s="626" t="str">
        <f>IF(OR(E53&gt;=0.3,E53&lt;=-0.3),"超过30%","")</f>
        <v>超过30%</v>
      </c>
      <c r="G53" s="625">
        <f>IF(G48&lt;G49,G49/G48-1,G48/G49-1)</f>
        <v>0.36643437862950057</v>
      </c>
      <c r="H53" s="626" t="str">
        <f>IF(OR(G53&gt;=0.3,G53&lt;=-0.3),"超过30%","")</f>
        <v>超过30%</v>
      </c>
      <c r="I53" s="625">
        <f>IF(I48&lt;I49,I49/I48-1,I48/I49-1)</f>
        <v>0.36684491978609635</v>
      </c>
      <c r="J53" s="626" t="str">
        <f>IF(OR(I53&gt;=0.3,I53&lt;=-0.3),"超过30%","")</f>
        <v>超过30%</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8.6272843178920589E-2</v>
      </c>
      <c r="F54" s="626" t="str">
        <f>IF(OR(E54&gt;=0.2,E54&lt;=-0.2),"超过20%","")</f>
        <v/>
      </c>
      <c r="G54" s="625">
        <f>IF(G49&lt;I49,I49/G49-1,G49/I49-1)</f>
        <v>8.6272843178920589E-2</v>
      </c>
      <c r="H54" s="626" t="str">
        <f>IF(OR(G54&gt;=0.2,G54&lt;=-0.2),"超过20%","")</f>
        <v/>
      </c>
      <c r="I54" s="625">
        <f>IF(I49&lt;E49,E49/I49-1,I49/E49-1)</f>
        <v>0</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8.594657375145176E-2</v>
      </c>
      <c r="F55" s="626" t="str">
        <f>IF(OR(E55&gt;=0.3,E55&lt;=-0.3),"超过30%","")</f>
        <v/>
      </c>
      <c r="G55" s="625">
        <f>IF(G48&lt;I48,I48/G48-1,G48/I48-1)</f>
        <v>8.594657375145176E-2</v>
      </c>
      <c r="H55" s="626" t="str">
        <f>IF(OR(G55&gt;=0.3,G55&lt;=-0.3),"超过30%","")</f>
        <v/>
      </c>
      <c r="I55" s="625">
        <f>IF(I48&lt;E48,E48/I48-1,I48/E48-1)</f>
        <v>0</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1724</v>
      </c>
      <c r="D57" s="2226" t="s">
        <v>2293</v>
      </c>
      <c r="E57" s="630" t="s">
        <v>562</v>
      </c>
      <c r="F57" s="631" t="s">
        <v>563</v>
      </c>
      <c r="G57" s="3442" t="s">
        <v>2281</v>
      </c>
      <c r="H57" s="3443"/>
      <c r="I57" s="1553" t="s">
        <v>1722</v>
      </c>
      <c r="J57" s="1553" t="str">
        <f>项目基本情况!F41</f>
        <v>海南省</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2488</v>
      </c>
      <c r="C58" s="634">
        <v>1</v>
      </c>
      <c r="D58" s="2227">
        <v>1</v>
      </c>
      <c r="E58" s="634">
        <f>'数据-汇总表'!E8+'数据-汇总表'!E9</f>
        <v>30884</v>
      </c>
      <c r="F58" s="635">
        <f t="shared" ref="F58:F67" si="15">ROUND(B58*E58/10000,0)</f>
        <v>7684</v>
      </c>
      <c r="G58" s="3444"/>
      <c r="H58" s="3445"/>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0</v>
      </c>
      <c r="C59" s="377">
        <f t="shared" ref="C59:C67" si="16">IF($C$57="北京市系数",I59,J59)</f>
        <v>0</v>
      </c>
      <c r="D59" s="2228">
        <v>0.25</v>
      </c>
      <c r="E59" s="638">
        <v>0</v>
      </c>
      <c r="F59" s="635">
        <f t="shared" si="15"/>
        <v>0</v>
      </c>
      <c r="G59" s="3446"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0</v>
      </c>
      <c r="C60" s="377">
        <f t="shared" si="16"/>
        <v>0</v>
      </c>
      <c r="D60" s="2228">
        <v>0.25</v>
      </c>
      <c r="E60" s="638">
        <v>0</v>
      </c>
      <c r="F60" s="635">
        <f t="shared" si="15"/>
        <v>0</v>
      </c>
      <c r="G60" s="3446"/>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0</v>
      </c>
      <c r="C61" s="377">
        <f t="shared" si="16"/>
        <v>0</v>
      </c>
      <c r="D61" s="2228">
        <v>0.25</v>
      </c>
      <c r="E61" s="638">
        <v>0</v>
      </c>
      <c r="F61" s="635">
        <f t="shared" si="15"/>
        <v>0</v>
      </c>
      <c r="G61" s="3446"/>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0</v>
      </c>
      <c r="C62" s="377">
        <f t="shared" si="16"/>
        <v>0</v>
      </c>
      <c r="D62" s="2228">
        <v>0.25</v>
      </c>
      <c r="E62" s="638">
        <v>0</v>
      </c>
      <c r="F62" s="635">
        <f t="shared" si="15"/>
        <v>0</v>
      </c>
      <c r="G62" s="3446"/>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2327</v>
      </c>
      <c r="B63" s="637">
        <f t="shared" si="17"/>
        <v>0</v>
      </c>
      <c r="C63" s="377">
        <f t="shared" si="16"/>
        <v>0</v>
      </c>
      <c r="D63" s="2228">
        <v>0.25</v>
      </c>
      <c r="E63" s="640">
        <f>'数据-汇总表'!E11</f>
        <v>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0</v>
      </c>
      <c r="C64" s="377">
        <f t="shared" si="16"/>
        <v>0</v>
      </c>
      <c r="D64" s="2228">
        <v>0.25</v>
      </c>
      <c r="E64" s="640">
        <f>'数据-汇总表'!E12</f>
        <v>0</v>
      </c>
      <c r="F64" s="635">
        <f t="shared" si="15"/>
        <v>0</v>
      </c>
      <c r="G64" s="1945" t="s">
        <v>1677</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0</v>
      </c>
      <c r="C65" s="377">
        <f t="shared" si="16"/>
        <v>0</v>
      </c>
      <c r="D65" s="2228">
        <v>0.25</v>
      </c>
      <c r="E65" s="640">
        <f>'数据-汇总表'!E13</f>
        <v>0</v>
      </c>
      <c r="F65" s="635">
        <f t="shared" si="15"/>
        <v>0</v>
      </c>
      <c r="G65" s="1945" t="s">
        <v>922</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2294</v>
      </c>
      <c r="E68" s="642">
        <f>IF(B48="楼面地价",SUM(E58:E67),'数据-汇总表'!D3)</f>
        <v>30884</v>
      </c>
      <c r="F68" s="643">
        <f>IF(B48="楼面地价",SUM(F58:F67),ROUND(C50*E68/10000,0))</f>
        <v>7684</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2531</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922</v>
      </c>
      <c r="B73" s="478" t="str">
        <f>"北京市平均增长率"&amp;TEXT(SUMIF(基准地价!N21:N25,A73,基准地价!P21:P25),"0.00%")</f>
        <v>北京市平均增长率2.50%</v>
      </c>
      <c r="C73" s="893">
        <v>100</v>
      </c>
      <c r="D73" s="3193">
        <f>C73-$C$74</f>
        <v>98.5</v>
      </c>
      <c r="E73" s="3193">
        <f t="shared" ref="E73:N73" si="20">D73-$C$74</f>
        <v>97</v>
      </c>
      <c r="F73" s="3193">
        <f t="shared" si="20"/>
        <v>95.5</v>
      </c>
      <c r="G73" s="3193">
        <f t="shared" si="20"/>
        <v>94</v>
      </c>
      <c r="H73" s="3193">
        <f t="shared" si="20"/>
        <v>92.5</v>
      </c>
      <c r="I73" s="3193">
        <f t="shared" si="20"/>
        <v>91</v>
      </c>
      <c r="J73" s="3193">
        <f t="shared" si="20"/>
        <v>89.5</v>
      </c>
      <c r="K73" s="3193">
        <f t="shared" si="20"/>
        <v>88</v>
      </c>
      <c r="L73" s="3193">
        <f t="shared" si="20"/>
        <v>86.5</v>
      </c>
      <c r="M73" s="3193">
        <f t="shared" si="20"/>
        <v>85</v>
      </c>
      <c r="N73" s="3193">
        <f t="shared" si="20"/>
        <v>83.5</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2645</v>
      </c>
      <c r="B74" s="2828"/>
      <c r="C74" s="2813">
        <v>1.5</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577</v>
      </c>
      <c r="B77" s="664" t="s">
        <v>534</v>
      </c>
      <c r="C77" s="597" t="str">
        <f>项目基本情况!B13</f>
        <v>住宅</v>
      </c>
      <c r="D77" s="597" t="str">
        <f>土地案例!H3</f>
        <v>中低价位、中小套型普通商品住房用地</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3（含）-3.5</v>
      </c>
      <c r="J81" s="681" t="str">
        <f t="shared" si="21"/>
        <v>3.5（含）-4</v>
      </c>
      <c r="K81" s="681" t="str">
        <f t="shared" si="21"/>
        <v>4（含）-4.5</v>
      </c>
      <c r="L81" s="681" t="str">
        <f t="shared" si="21"/>
        <v>4.5（含）-5</v>
      </c>
      <c r="M81" s="554" t="str">
        <f>M82&amp;"（含）"&amp;"-"&amp;P82</f>
        <v>5（含）-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f>C82+0.5</f>
        <v>0.5</v>
      </c>
      <c r="E82" s="540">
        <f t="shared" ref="E82:M82" si="22">D82+0.5</f>
        <v>1</v>
      </c>
      <c r="F82" s="540">
        <f t="shared" si="22"/>
        <v>1.5</v>
      </c>
      <c r="G82" s="540">
        <f t="shared" si="22"/>
        <v>2</v>
      </c>
      <c r="H82" s="540">
        <f t="shared" si="22"/>
        <v>2.5</v>
      </c>
      <c r="I82" s="540">
        <f t="shared" si="22"/>
        <v>3</v>
      </c>
      <c r="J82" s="540">
        <f t="shared" si="22"/>
        <v>3.5</v>
      </c>
      <c r="K82" s="540">
        <f t="shared" si="22"/>
        <v>4</v>
      </c>
      <c r="L82" s="540">
        <f t="shared" si="22"/>
        <v>4.5</v>
      </c>
      <c r="M82" s="540">
        <f t="shared" si="22"/>
        <v>5</v>
      </c>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90</v>
      </c>
      <c r="E83" s="678">
        <f t="shared" ref="E83:M83" si="23">IF($B$48="单位面积地价",D83+$K13,D83-$K13)</f>
        <v>80</v>
      </c>
      <c r="F83" s="678">
        <f t="shared" si="23"/>
        <v>70</v>
      </c>
      <c r="G83" s="678">
        <f t="shared" si="23"/>
        <v>60</v>
      </c>
      <c r="H83" s="678">
        <f t="shared" si="23"/>
        <v>50</v>
      </c>
      <c r="I83" s="678">
        <f t="shared" si="23"/>
        <v>40</v>
      </c>
      <c r="J83" s="678">
        <f t="shared" si="23"/>
        <v>30</v>
      </c>
      <c r="K83" s="678">
        <f t="shared" si="23"/>
        <v>20</v>
      </c>
      <c r="L83" s="678">
        <f t="shared" si="23"/>
        <v>10</v>
      </c>
      <c r="M83" s="678">
        <f t="shared" si="23"/>
        <v>0</v>
      </c>
      <c r="N83" s="2165"/>
      <c r="O83" s="2165"/>
      <c r="P83" s="2164"/>
      <c r="Q83" s="2157"/>
      <c r="R83" s="2144"/>
      <c r="S83" s="2144"/>
      <c r="T83" s="2144"/>
      <c r="U83" s="2144"/>
      <c r="V83" s="2144"/>
      <c r="W83" s="2144"/>
      <c r="X83" s="2144"/>
      <c r="Y83" s="2144"/>
      <c r="Z83" s="2144"/>
      <c r="AA83" s="2144"/>
      <c r="AB83" s="2144"/>
      <c r="AC83" s="2144"/>
    </row>
    <row r="84" spans="1:29" s="1337"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2547</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2549</v>
      </c>
      <c r="C104" s="2621" t="s">
        <v>2550</v>
      </c>
      <c r="D104" s="2621" t="s">
        <v>2551</v>
      </c>
      <c r="E104" s="2621" t="s">
        <v>2552</v>
      </c>
      <c r="F104" s="2621" t="s">
        <v>2553</v>
      </c>
      <c r="G104" s="2621"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95" t="s">
        <v>3076</v>
      </c>
      <c r="D108" s="3195" t="s">
        <v>3077</v>
      </c>
      <c r="E108" s="3195" t="s">
        <v>3078</v>
      </c>
      <c r="F108" s="3195" t="s">
        <v>3079</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551</v>
      </c>
      <c r="B118" s="664" t="s">
        <v>593</v>
      </c>
      <c r="C118" s="703" t="str">
        <f t="shared" ref="C118:L118" si="27">C119&amp;"(含)"&amp;"-"&amp;D119</f>
        <v>0(含)-100000</v>
      </c>
      <c r="D118" s="703" t="str">
        <f t="shared" si="27"/>
        <v>100000(含)-200000</v>
      </c>
      <c r="E118" s="703" t="str">
        <f t="shared" si="27"/>
        <v>200000(含)-</v>
      </c>
      <c r="F118" s="703" t="str">
        <f t="shared" si="27"/>
        <v>(含)-</v>
      </c>
      <c r="G118" s="703" t="str">
        <f t="shared" si="27"/>
        <v>(含)-</v>
      </c>
      <c r="H118" s="703" t="str">
        <f t="shared" si="27"/>
        <v>(含)-</v>
      </c>
      <c r="I118" s="703" t="str">
        <f t="shared" si="27"/>
        <v>(含)-</v>
      </c>
      <c r="J118" s="3116" t="str">
        <f t="shared" si="27"/>
        <v>(含)-</v>
      </c>
      <c r="K118" s="3116" t="str">
        <f t="shared" si="27"/>
        <v>(含)-</v>
      </c>
      <c r="L118" s="3117" t="str">
        <f t="shared" si="27"/>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v>200000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100.5</v>
      </c>
      <c r="E120" s="725">
        <v>101</v>
      </c>
      <c r="F120" s="725"/>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94" t="s">
        <v>3071</v>
      </c>
      <c r="D121" s="3194" t="s">
        <v>3072</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2424</v>
      </c>
      <c r="C125" s="1374"/>
      <c r="D125" s="1374" t="s">
        <v>3073</v>
      </c>
      <c r="E125" s="1374" t="s">
        <v>3148</v>
      </c>
      <c r="F125" s="1374"/>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97</v>
      </c>
      <c r="E126" s="678">
        <f t="shared" ref="E126:M126" si="30">D126-$K43</f>
        <v>94</v>
      </c>
      <c r="F126" s="678">
        <f t="shared" si="30"/>
        <v>91</v>
      </c>
      <c r="G126" s="678">
        <f t="shared" si="30"/>
        <v>88</v>
      </c>
      <c r="H126" s="678">
        <f t="shared" si="30"/>
        <v>85</v>
      </c>
      <c r="I126" s="678">
        <f t="shared" si="30"/>
        <v>82</v>
      </c>
      <c r="J126" s="678">
        <f t="shared" si="30"/>
        <v>79</v>
      </c>
      <c r="K126" s="678">
        <f t="shared" si="30"/>
        <v>76</v>
      </c>
      <c r="L126" s="678">
        <f t="shared" si="30"/>
        <v>73</v>
      </c>
      <c r="M126" s="679">
        <f t="shared" si="30"/>
        <v>70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95" t="s">
        <v>3075</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18" sqref="B18"/>
    </sheetView>
  </sheetViews>
  <sheetFormatPr defaultColWidth="8.875" defaultRowHeight="13.5"/>
  <cols>
    <col min="1" max="1" width="3.5" style="1653" customWidth="1"/>
    <col min="2" max="2" width="10.625" style="1653" customWidth="1"/>
    <col min="3" max="4" width="11.625" style="1653" customWidth="1"/>
    <col min="5" max="5" width="6.625" style="1653" customWidth="1"/>
    <col min="6" max="16384" width="8.875" style="1653"/>
  </cols>
  <sheetData>
    <row r="36" spans="1:9">
      <c r="A36" s="1652" t="s">
        <v>1901</v>
      </c>
      <c r="B36" s="1652" t="s">
        <v>1902</v>
      </c>
    </row>
    <row r="37" spans="1:9" ht="28.5" customHeight="1">
      <c r="A37" s="1652"/>
      <c r="B37" s="3248" t="str">
        <f>项目基本情况!B1</f>
        <v>海南省万宁市东澳镇老爷海北岸西桥东北侧出让国有建设用地使用权抵押价格预评估</v>
      </c>
      <c r="C37" s="3248"/>
      <c r="D37" s="3248"/>
      <c r="E37" s="3248"/>
      <c r="F37" s="3248"/>
      <c r="G37" s="3248"/>
      <c r="H37" s="3248"/>
      <c r="I37" s="3248"/>
    </row>
    <row r="38" spans="1:9">
      <c r="A38" s="1654"/>
      <c r="B38" s="1654"/>
    </row>
    <row r="39" spans="1:9">
      <c r="A39" s="1652" t="s">
        <v>1901</v>
      </c>
      <c r="B39" s="1652" t="s">
        <v>2046</v>
      </c>
    </row>
    <row r="40" spans="1:9">
      <c r="A40" s="1652"/>
      <c r="B40" s="1652" t="str">
        <f>项目基本情况!B5</f>
        <v>中诚信托有限责任公司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土地估价师、土地估价师</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R25"/>
  <sheetViews>
    <sheetView workbookViewId="0">
      <selection activeCell="I13" sqref="I13"/>
    </sheetView>
  </sheetViews>
  <sheetFormatPr defaultColWidth="8.875" defaultRowHeight="12.75"/>
  <cols>
    <col min="1" max="1" width="34.375" style="3191" customWidth="1"/>
    <col min="2" max="2" width="16.125" style="3191" customWidth="1"/>
    <col min="3" max="3" width="7.875" style="3191" customWidth="1"/>
    <col min="4" max="4" width="6.125" style="3191" customWidth="1"/>
    <col min="5" max="5" width="34.375" style="3191" customWidth="1"/>
    <col min="6" max="6" width="7.875" style="3191" customWidth="1"/>
    <col min="7" max="7" width="18.375" style="3191" customWidth="1"/>
    <col min="8" max="8" width="29.375" style="3191" customWidth="1"/>
    <col min="9" max="10" width="13.875" style="3191" customWidth="1"/>
    <col min="11" max="11" width="19.875" style="3191" customWidth="1"/>
    <col min="12" max="12" width="9" style="3191" customWidth="1"/>
    <col min="13" max="13" width="14.5" style="3191" customWidth="1"/>
    <col min="14" max="14" width="22.625" style="3191" customWidth="1"/>
    <col min="15" max="15" width="10.625" style="3191" customWidth="1"/>
    <col min="16" max="16" width="14.375" style="3191" customWidth="1"/>
    <col min="17" max="17" width="6.125" style="3191" customWidth="1"/>
    <col min="18" max="18" width="7.875" style="3191" customWidth="1"/>
    <col min="19" max="16384" width="8.875" style="3191"/>
  </cols>
  <sheetData>
    <row r="1" spans="1:18">
      <c r="A1" s="3191" t="s">
        <v>3045</v>
      </c>
      <c r="B1" s="3191" t="s">
        <v>3044</v>
      </c>
      <c r="C1" s="3191" t="s">
        <v>3043</v>
      </c>
      <c r="D1" s="3191" t="s">
        <v>3042</v>
      </c>
      <c r="E1" s="3191" t="s">
        <v>3041</v>
      </c>
      <c r="F1" s="3191" t="s">
        <v>3040</v>
      </c>
      <c r="G1" s="3191" t="s">
        <v>3039</v>
      </c>
      <c r="H1" s="3191" t="s">
        <v>3038</v>
      </c>
      <c r="I1" s="3191" t="s">
        <v>3037</v>
      </c>
      <c r="J1" s="3191" t="s">
        <v>3036</v>
      </c>
      <c r="K1" s="3191" t="s">
        <v>2032</v>
      </c>
      <c r="L1" s="3191" t="s">
        <v>3035</v>
      </c>
      <c r="M1" s="3191" t="s">
        <v>3034</v>
      </c>
      <c r="N1" s="3191" t="s">
        <v>3033</v>
      </c>
      <c r="O1" s="3191" t="s">
        <v>3032</v>
      </c>
      <c r="P1" s="3191" t="s">
        <v>3031</v>
      </c>
      <c r="Q1" s="3191" t="s">
        <v>3030</v>
      </c>
      <c r="R1" s="3191" t="s">
        <v>3029</v>
      </c>
    </row>
    <row r="2" spans="1:18">
      <c r="A2" s="3191" t="s">
        <v>3027</v>
      </c>
      <c r="B2" s="3191" t="s">
        <v>3005</v>
      </c>
      <c r="C2" s="3191" t="s">
        <v>3004</v>
      </c>
      <c r="D2" s="3191" t="s">
        <v>3003</v>
      </c>
      <c r="E2" s="3191" t="s">
        <v>3027</v>
      </c>
      <c r="F2" s="3191" t="s">
        <v>3001</v>
      </c>
      <c r="G2" s="3191" t="s">
        <v>3028</v>
      </c>
      <c r="H2" s="3191" t="s">
        <v>2999</v>
      </c>
      <c r="I2" s="3191">
        <v>7959</v>
      </c>
      <c r="J2" s="3191">
        <v>8754.9</v>
      </c>
      <c r="K2" s="3191" t="s">
        <v>3025</v>
      </c>
      <c r="L2" s="3191" t="s">
        <v>3022</v>
      </c>
      <c r="M2" s="3191" t="s">
        <v>3021</v>
      </c>
      <c r="N2" s="3191" t="s">
        <v>3020</v>
      </c>
      <c r="O2" s="3191">
        <v>1508</v>
      </c>
      <c r="P2" s="3191">
        <v>1722.46</v>
      </c>
      <c r="Q2" s="3191">
        <v>0</v>
      </c>
      <c r="R2" s="3191" t="s">
        <v>2994</v>
      </c>
    </row>
    <row r="3" spans="1:18" s="3192" customFormat="1">
      <c r="A3" s="3192" t="s">
        <v>3024</v>
      </c>
      <c r="B3" s="3192" t="s">
        <v>3005</v>
      </c>
      <c r="C3" s="3192" t="s">
        <v>3004</v>
      </c>
      <c r="D3" s="3192" t="s">
        <v>3003</v>
      </c>
      <c r="E3" s="3192" t="s">
        <v>3024</v>
      </c>
      <c r="F3" s="3192" t="s">
        <v>3001</v>
      </c>
      <c r="G3" s="3192" t="s">
        <v>3141</v>
      </c>
      <c r="H3" s="3192" t="s">
        <v>2999</v>
      </c>
      <c r="I3" s="3192">
        <v>67504</v>
      </c>
      <c r="J3" s="3192">
        <v>68179.039999999994</v>
      </c>
      <c r="K3" s="3192" t="s">
        <v>3017</v>
      </c>
      <c r="L3" s="3192" t="s">
        <v>3022</v>
      </c>
      <c r="M3" s="3192" t="s">
        <v>3021</v>
      </c>
      <c r="N3" s="3192" t="s">
        <v>3020</v>
      </c>
      <c r="O3" s="3192">
        <v>12752</v>
      </c>
      <c r="P3" s="3192">
        <v>1870.36</v>
      </c>
      <c r="Q3" s="3192">
        <v>0</v>
      </c>
      <c r="R3" s="3192" t="s">
        <v>2994</v>
      </c>
    </row>
    <row r="4" spans="1:18" s="3192" customFormat="1">
      <c r="A4" s="3220" t="s">
        <v>3131</v>
      </c>
      <c r="B4" s="3192" t="s">
        <v>3005</v>
      </c>
      <c r="C4" s="3192" t="s">
        <v>3004</v>
      </c>
      <c r="D4" s="3192" t="s">
        <v>3003</v>
      </c>
      <c r="E4" s="3192" t="s">
        <v>3027</v>
      </c>
      <c r="F4" s="3192" t="s">
        <v>3001</v>
      </c>
      <c r="G4" s="3192" t="s">
        <v>3026</v>
      </c>
      <c r="H4" s="3192" t="s">
        <v>2999</v>
      </c>
      <c r="I4" s="3192">
        <v>33852</v>
      </c>
      <c r="J4" s="3192">
        <v>37237.199999999997</v>
      </c>
      <c r="K4" s="3192" t="s">
        <v>3025</v>
      </c>
      <c r="L4" s="3192" t="s">
        <v>3022</v>
      </c>
      <c r="M4" s="3192" t="s">
        <v>3021</v>
      </c>
      <c r="N4" s="3192" t="s">
        <v>3020</v>
      </c>
      <c r="O4" s="3192">
        <v>6412</v>
      </c>
      <c r="P4" s="3192">
        <v>1721.93</v>
      </c>
      <c r="Q4" s="3192">
        <v>0</v>
      </c>
      <c r="R4" s="3192" t="s">
        <v>2994</v>
      </c>
    </row>
    <row r="5" spans="1:18" s="3192" customFormat="1">
      <c r="A5" s="3192" t="s">
        <v>3024</v>
      </c>
      <c r="B5" s="3192" t="s">
        <v>3005</v>
      </c>
      <c r="C5" s="3192" t="s">
        <v>3004</v>
      </c>
      <c r="D5" s="3192" t="s">
        <v>3003</v>
      </c>
      <c r="E5" s="3192" t="s">
        <v>3024</v>
      </c>
      <c r="F5" s="3192" t="s">
        <v>3001</v>
      </c>
      <c r="G5" s="3192" t="s">
        <v>3023</v>
      </c>
      <c r="H5" s="3192" t="s">
        <v>2999</v>
      </c>
      <c r="I5" s="3192">
        <v>65094</v>
      </c>
      <c r="J5" s="3192">
        <v>65744.94</v>
      </c>
      <c r="K5" s="3192" t="s">
        <v>3017</v>
      </c>
      <c r="L5" s="3192" t="s">
        <v>3022</v>
      </c>
      <c r="M5" s="3192" t="s">
        <v>3021</v>
      </c>
      <c r="N5" s="3192" t="s">
        <v>3020</v>
      </c>
      <c r="O5" s="3192">
        <v>12296</v>
      </c>
      <c r="P5" s="3192">
        <v>1870.25</v>
      </c>
      <c r="Q5" s="3192">
        <v>0</v>
      </c>
      <c r="R5" s="3192" t="s">
        <v>2994</v>
      </c>
    </row>
    <row r="6" spans="1:18">
      <c r="A6" s="3191" t="s">
        <v>3019</v>
      </c>
      <c r="B6" s="3191" t="s">
        <v>3005</v>
      </c>
      <c r="C6" s="3191" t="s">
        <v>3004</v>
      </c>
      <c r="D6" s="3191" t="s">
        <v>3003</v>
      </c>
      <c r="E6" s="3191" t="s">
        <v>3019</v>
      </c>
      <c r="F6" s="3191" t="s">
        <v>3001</v>
      </c>
      <c r="G6" s="3191" t="s">
        <v>3018</v>
      </c>
      <c r="H6" s="3191" t="s">
        <v>3011</v>
      </c>
      <c r="I6" s="3191">
        <v>4000</v>
      </c>
      <c r="J6" s="3191">
        <v>4040</v>
      </c>
      <c r="K6" s="3191" t="s">
        <v>3017</v>
      </c>
      <c r="L6" s="3191" t="s">
        <v>3016</v>
      </c>
      <c r="M6" s="3191" t="s">
        <v>3015</v>
      </c>
      <c r="N6" s="3191" t="s">
        <v>3014</v>
      </c>
      <c r="O6" s="3191">
        <v>488.5</v>
      </c>
      <c r="P6" s="3191">
        <v>1209.1600000000001</v>
      </c>
      <c r="Q6" s="3191">
        <v>0</v>
      </c>
      <c r="R6" s="3191" t="s">
        <v>2994</v>
      </c>
    </row>
    <row r="7" spans="1:18" s="3211" customFormat="1">
      <c r="A7" s="3211" t="s">
        <v>3013</v>
      </c>
      <c r="B7" s="3211" t="s">
        <v>3005</v>
      </c>
      <c r="C7" s="3211" t="s">
        <v>3004</v>
      </c>
      <c r="D7" s="3211" t="s">
        <v>3003</v>
      </c>
      <c r="E7" s="3211" t="s">
        <v>3013</v>
      </c>
      <c r="F7" s="3211" t="s">
        <v>3001</v>
      </c>
      <c r="G7" s="3211" t="s">
        <v>3012</v>
      </c>
      <c r="H7" s="3212" t="s">
        <v>3127</v>
      </c>
      <c r="I7" s="3211">
        <v>56042</v>
      </c>
      <c r="J7" s="3211">
        <v>100875.6</v>
      </c>
      <c r="K7" s="3211" t="s">
        <v>3010</v>
      </c>
      <c r="L7" s="3211" t="s">
        <v>3009</v>
      </c>
      <c r="M7" s="3211" t="s">
        <v>3008</v>
      </c>
      <c r="N7" s="3211" t="s">
        <v>3007</v>
      </c>
      <c r="O7" s="3211">
        <v>25685</v>
      </c>
      <c r="P7" s="3211">
        <v>2546.21</v>
      </c>
      <c r="Q7" s="3211">
        <v>0</v>
      </c>
      <c r="R7" s="3211" t="s">
        <v>2994</v>
      </c>
    </row>
    <row r="8" spans="1:18">
      <c r="A8" s="3191" t="s">
        <v>3002</v>
      </c>
      <c r="B8" s="3191" t="s">
        <v>3005</v>
      </c>
      <c r="C8" s="3191" t="s">
        <v>3004</v>
      </c>
      <c r="D8" s="3191" t="s">
        <v>3003</v>
      </c>
      <c r="E8" s="3191" t="s">
        <v>3002</v>
      </c>
      <c r="F8" s="3191" t="s">
        <v>3001</v>
      </c>
      <c r="G8" s="3191" t="s">
        <v>3006</v>
      </c>
      <c r="H8" s="3191" t="s">
        <v>2999</v>
      </c>
      <c r="I8" s="3191">
        <v>34267</v>
      </c>
      <c r="J8" s="3191">
        <v>85667.5</v>
      </c>
      <c r="K8" s="3191" t="s">
        <v>2998</v>
      </c>
      <c r="L8" s="3191" t="s">
        <v>2997</v>
      </c>
      <c r="M8" s="3191" t="s">
        <v>2996</v>
      </c>
      <c r="N8" s="3191" t="s">
        <v>2995</v>
      </c>
      <c r="O8" s="3191">
        <v>7015</v>
      </c>
      <c r="P8" s="3191">
        <v>818.86</v>
      </c>
      <c r="Q8" s="3191">
        <v>0</v>
      </c>
      <c r="R8" s="3191" t="s">
        <v>2994</v>
      </c>
    </row>
    <row r="9" spans="1:18">
      <c r="A9" s="3191" t="s">
        <v>3002</v>
      </c>
      <c r="B9" s="3191" t="s">
        <v>3005</v>
      </c>
      <c r="C9" s="3191" t="s">
        <v>3004</v>
      </c>
      <c r="D9" s="3191" t="s">
        <v>3003</v>
      </c>
      <c r="E9" s="3191" t="s">
        <v>3002</v>
      </c>
      <c r="F9" s="3191" t="s">
        <v>3001</v>
      </c>
      <c r="G9" s="3191" t="s">
        <v>3000</v>
      </c>
      <c r="H9" s="3191" t="s">
        <v>2999</v>
      </c>
      <c r="I9" s="3191">
        <v>34767</v>
      </c>
      <c r="J9" s="3191">
        <v>86917.5</v>
      </c>
      <c r="K9" s="3191" t="s">
        <v>2998</v>
      </c>
      <c r="L9" s="3191" t="s">
        <v>2997</v>
      </c>
      <c r="M9" s="3191" t="s">
        <v>2996</v>
      </c>
      <c r="N9" s="3191" t="s">
        <v>2995</v>
      </c>
      <c r="O9" s="3191">
        <v>7117</v>
      </c>
      <c r="P9" s="3191">
        <v>818.82</v>
      </c>
      <c r="Q9" s="3191">
        <v>0</v>
      </c>
      <c r="R9" s="3191" t="s">
        <v>2994</v>
      </c>
    </row>
    <row r="11" spans="1:18">
      <c r="P11" s="3191">
        <f>P7-1800</f>
        <v>746.21</v>
      </c>
    </row>
    <row r="12" spans="1:18" ht="13.5">
      <c r="A12" s="3180" t="s">
        <v>2986</v>
      </c>
      <c r="B12"/>
      <c r="C12"/>
      <c r="D12"/>
      <c r="E12"/>
      <c r="F12"/>
    </row>
    <row r="13" spans="1:18" ht="15" thickBot="1">
      <c r="A13" s="3181" t="s">
        <v>2987</v>
      </c>
      <c r="B13" s="3182" t="s">
        <v>2988</v>
      </c>
      <c r="C13" s="3182" t="s">
        <v>2989</v>
      </c>
      <c r="D13" s="3182" t="s">
        <v>2990</v>
      </c>
      <c r="E13"/>
      <c r="F13" s="3226" t="s">
        <v>3142</v>
      </c>
      <c r="I13" s="3191" t="s">
        <v>3135</v>
      </c>
    </row>
    <row r="14" spans="1:18" ht="13.5">
      <c r="A14" s="3183">
        <v>2017.1</v>
      </c>
      <c r="B14" s="3185">
        <v>4334</v>
      </c>
      <c r="C14" s="3185">
        <v>1.95</v>
      </c>
      <c r="D14" s="3184"/>
      <c r="E14"/>
      <c r="F14"/>
    </row>
    <row r="15" spans="1:18" ht="13.5">
      <c r="A15" s="3186">
        <v>2017.2</v>
      </c>
      <c r="B15" s="3188">
        <v>4427</v>
      </c>
      <c r="C15" s="3188">
        <v>2.15</v>
      </c>
      <c r="D15" s="3187"/>
      <c r="E15"/>
      <c r="F15"/>
    </row>
    <row r="16" spans="1:18" ht="13.5">
      <c r="A16" s="3183">
        <v>2017.3</v>
      </c>
      <c r="B16" s="3185">
        <v>4523</v>
      </c>
      <c r="C16" s="3185">
        <v>2.17</v>
      </c>
      <c r="D16" s="3184"/>
      <c r="E16"/>
      <c r="F16"/>
    </row>
    <row r="17" spans="1:6" ht="13.5">
      <c r="A17" s="3186">
        <v>2017.4</v>
      </c>
      <c r="B17" s="3188">
        <v>4647</v>
      </c>
      <c r="C17" s="3188">
        <v>2.74</v>
      </c>
      <c r="D17" s="3187"/>
      <c r="E17"/>
      <c r="F17"/>
    </row>
    <row r="18" spans="1:6" ht="14.25">
      <c r="A18" s="3189">
        <v>2018.1</v>
      </c>
      <c r="B18" s="3190">
        <v>4820</v>
      </c>
      <c r="C18" s="3190">
        <v>3.72</v>
      </c>
      <c r="D18"/>
      <c r="E18"/>
      <c r="F18"/>
    </row>
    <row r="19" spans="1:6" ht="13.5">
      <c r="A19"/>
      <c r="B19"/>
      <c r="C19"/>
      <c r="D19"/>
      <c r="E19"/>
      <c r="F19"/>
    </row>
    <row r="20" spans="1:6" ht="13.5">
      <c r="A20"/>
      <c r="B20"/>
      <c r="C20"/>
      <c r="D20"/>
      <c r="E20"/>
      <c r="F20"/>
    </row>
    <row r="21" spans="1:6" ht="13.5">
      <c r="A21"/>
      <c r="B21"/>
      <c r="C21"/>
      <c r="D21"/>
      <c r="E21"/>
      <c r="F21"/>
    </row>
    <row r="22" spans="1:6" ht="13.5">
      <c r="A22"/>
      <c r="B22"/>
      <c r="C22"/>
      <c r="D22"/>
      <c r="E22"/>
      <c r="F22"/>
    </row>
    <row r="23" spans="1:6" ht="13.5">
      <c r="A23"/>
      <c r="B23"/>
      <c r="C23"/>
      <c r="D23"/>
      <c r="E23"/>
      <c r="F23"/>
    </row>
    <row r="24" spans="1:6" ht="13.5">
      <c r="A24"/>
      <c r="B24"/>
      <c r="C24"/>
      <c r="D24"/>
      <c r="E24"/>
      <c r="F24"/>
    </row>
    <row r="25" spans="1:6" ht="13.5">
      <c r="A25"/>
      <c r="B25"/>
      <c r="C25"/>
      <c r="D25"/>
      <c r="E25"/>
      <c r="F25"/>
    </row>
  </sheetData>
  <phoneticPr fontId="233" type="noConversion"/>
  <hyperlinks>
    <hyperlink ref="F13" r:id="rId1"/>
  </hyperlinks>
  <pageMargins left="0.75" right="0.75" top="1" bottom="1" header="0.5" footer="0.5"/>
  <pageSetup orientation="portrait" horizontalDpi="300" verticalDpi="300"/>
  <headerFooter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H35" sqref="H35"/>
    </sheetView>
  </sheetViews>
  <sheetFormatPr defaultColWidth="6.625" defaultRowHeight="12.75"/>
  <cols>
    <col min="1" max="1" width="9.625" style="2123" customWidth="1"/>
    <col min="2" max="2" width="25.62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7</v>
      </c>
    </row>
    <row r="2" spans="1:31" s="2040" customFormat="1" ht="18" customHeight="1">
      <c r="A2" s="2100" t="s">
        <v>467</v>
      </c>
      <c r="B2" s="2104">
        <f ca="1">C36</f>
        <v>28102</v>
      </c>
      <c r="C2" s="2103"/>
      <c r="D2" s="2103"/>
      <c r="E2" s="2103"/>
      <c r="F2" s="2103"/>
      <c r="G2" s="2103"/>
      <c r="H2" s="2103"/>
      <c r="I2" s="2103"/>
      <c r="J2" s="2103"/>
      <c r="K2" s="2103"/>
    </row>
    <row r="3" spans="1:31" s="2040" customFormat="1" ht="18" customHeight="1">
      <c r="A3" s="2105" t="s">
        <v>1684</v>
      </c>
      <c r="B3" s="2106">
        <f ca="1">ROUND(B2*10000/IF(B1="",'数据-汇总表'!E3,INDIRECT("'数据-取费表'!K"&amp;$K$1)),0)</f>
        <v>9099</v>
      </c>
      <c r="C3" s="2103"/>
      <c r="D3" s="2103"/>
      <c r="E3" s="2103"/>
      <c r="F3" s="2103"/>
      <c r="G3" s="2103"/>
      <c r="H3" s="2103"/>
      <c r="I3" s="2103"/>
      <c r="J3" s="2103"/>
      <c r="K3" s="2103"/>
    </row>
    <row r="4" spans="1:31" s="2040" customFormat="1" ht="18" customHeight="1">
      <c r="A4" s="425" t="s">
        <v>468</v>
      </c>
      <c r="B4" s="426">
        <f ca="1">ROUND(B2*10000/IF(B1="",'数据-汇总表'!D3,INDIRECT("'数据-取费表'!R"&amp;$K$1)),0)</f>
        <v>5459</v>
      </c>
      <c r="C4" s="427"/>
      <c r="D4" s="421"/>
      <c r="E4" s="421"/>
      <c r="F4" s="421"/>
      <c r="G4" s="421"/>
      <c r="H4" s="421"/>
      <c r="I4" s="421"/>
      <c r="J4" s="421"/>
      <c r="K4" s="421"/>
    </row>
    <row r="5" spans="1:31" s="2040" customFormat="1" ht="18" customHeight="1" thickBot="1">
      <c r="A5" s="428"/>
      <c r="B5" s="429">
        <f ca="1">ROUND(B2/(IF(B1="",'数据-汇总表'!D3,INDIRECT("'数据-取费表'!R"&amp;$K$1))/666.67),0)</f>
        <v>364</v>
      </c>
      <c r="C5" s="430" t="s">
        <v>469</v>
      </c>
      <c r="D5" s="421"/>
      <c r="E5" s="421"/>
      <c r="F5" s="421"/>
      <c r="G5" s="421"/>
      <c r="H5" s="421"/>
      <c r="I5" s="421"/>
      <c r="J5" s="421"/>
      <c r="K5" s="421"/>
    </row>
    <row r="6" spans="1:31" s="2110" customFormat="1" ht="16.5" customHeight="1">
      <c r="A6" s="2851" t="s">
        <v>1842</v>
      </c>
      <c r="B6" s="2852"/>
      <c r="C6" s="2853">
        <f>SUM(C10:K10)</f>
        <v>71620</v>
      </c>
      <c r="D6" s="2852"/>
      <c r="E6" s="2852"/>
      <c r="F6" s="2852"/>
      <c r="G6" s="2852"/>
      <c r="H6" s="2852"/>
      <c r="I6" s="2852"/>
      <c r="J6" s="2852"/>
      <c r="K6" s="2854"/>
    </row>
    <row r="7" spans="1:31" s="2112" customFormat="1" ht="15">
      <c r="A7" s="2855" t="s">
        <v>470</v>
      </c>
      <c r="B7" s="2856" t="s">
        <v>471</v>
      </c>
      <c r="C7" s="435" t="s">
        <v>922</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472</v>
      </c>
      <c r="C8" s="2857">
        <f>'不动产比较法-住宅（0.6）'!B3</f>
        <v>23190</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473</v>
      </c>
      <c r="C9" s="440">
        <f>SUMIF('数据-汇总表'!$C19:$C33,'剩余法-待开发'!C7,'数据-汇总表'!$E19:$E33)</f>
        <v>30884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1847</v>
      </c>
      <c r="B10" s="2845" t="s">
        <v>474</v>
      </c>
      <c r="C10" s="3052">
        <f>'不动产比较法-住宅（0.6）'!B2</f>
        <v>71620</v>
      </c>
      <c r="D10" s="3052"/>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1843</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1848</v>
      </c>
      <c r="B13" s="2866" t="s">
        <v>479</v>
      </c>
      <c r="C13" s="449">
        <f ca="1">IF(B1="",'数据-取费表'!P16,INDIRECT("'数据-取费表'!p"&amp;$K$1)+INDIRECT("'数据-取费表'!t"&amp;$K$1))</f>
        <v>10809</v>
      </c>
      <c r="D13" s="2867"/>
      <c r="E13" s="2868"/>
      <c r="F13" s="2869"/>
      <c r="G13" s="2835"/>
      <c r="H13" s="2836"/>
      <c r="I13" s="2836"/>
      <c r="J13" s="2836"/>
      <c r="K13" s="2837"/>
    </row>
    <row r="14" spans="1:31" s="2115" customFormat="1" ht="13.5" customHeight="1">
      <c r="A14" s="2865" t="s">
        <v>1849</v>
      </c>
      <c r="B14" s="2866" t="s">
        <v>480</v>
      </c>
      <c r="C14" s="53">
        <f ca="1">ROUND(C13*F14,0)</f>
        <v>540</v>
      </c>
      <c r="D14" s="2867"/>
      <c r="E14" s="2868"/>
      <c r="F14" s="2870">
        <f>'数据-取费表'!B33</f>
        <v>0.05</v>
      </c>
      <c r="G14" s="2835" t="s">
        <v>481</v>
      </c>
      <c r="H14" s="2836"/>
      <c r="I14" s="2836"/>
      <c r="J14" s="2836"/>
      <c r="K14" s="2837"/>
    </row>
    <row r="15" spans="1:31" s="2115" customFormat="1" ht="13.5" customHeight="1">
      <c r="A15" s="2865" t="s">
        <v>1850</v>
      </c>
      <c r="B15" s="2866" t="s">
        <v>482</v>
      </c>
      <c r="C15" s="53">
        <f ca="1">ROUND(IF(B1="",SUMIF('数据-取费表'!C:C,"住宅",'数据-取费表'!P:P)*F15,IF(INDIRECT("'数据-取费表'!c"&amp;$K$1)="住宅",INDIRECT("'数据-取费表'!P"&amp;$K$1)*F15,0)),0)</f>
        <v>1081</v>
      </c>
      <c r="D15" s="2867"/>
      <c r="E15" s="2868"/>
      <c r="F15" s="2870">
        <f>'数据-取费表'!B34</f>
        <v>0.1</v>
      </c>
      <c r="G15" s="2835" t="s">
        <v>483</v>
      </c>
      <c r="H15" s="2836"/>
      <c r="I15" s="2836"/>
      <c r="J15" s="2836"/>
      <c r="K15" s="2837"/>
    </row>
    <row r="16" spans="1:31" s="2116" customFormat="1" ht="13.5" customHeight="1">
      <c r="A16" s="2865" t="s">
        <v>1851</v>
      </c>
      <c r="B16" s="2866" t="s">
        <v>484</v>
      </c>
      <c r="C16" s="53">
        <f ca="1">ROUND(D16*E16/10000,0)</f>
        <v>1544</v>
      </c>
      <c r="D16" s="2867">
        <f ca="1">IF(B1="",'数据-汇总表'!E3,INDIRECT("'数据-取费表'!K"&amp;$K$1)+INDIRECT("'数据-取费表'!S"&amp;$K$1))</f>
        <v>30884</v>
      </c>
      <c r="E16" s="53">
        <f>'数据-取费表'!B35</f>
        <v>500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1852</v>
      </c>
      <c r="B17" s="2866" t="s">
        <v>485</v>
      </c>
      <c r="C17" s="2871">
        <f ca="1">ROUND(C13*F17,0)</f>
        <v>162</v>
      </c>
      <c r="D17" s="474"/>
      <c r="E17" s="2871"/>
      <c r="F17" s="2872">
        <f>'数据-取费表'!B36</f>
        <v>1.4999999999999999E-2</v>
      </c>
      <c r="G17" s="260" t="s">
        <v>486</v>
      </c>
      <c r="H17" s="2838"/>
      <c r="I17" s="2838"/>
      <c r="J17" s="2838"/>
      <c r="K17" s="278"/>
    </row>
    <row r="18" spans="1:14" s="2115" customFormat="1" ht="13.5" customHeight="1">
      <c r="A18" s="2873" t="s">
        <v>1853</v>
      </c>
      <c r="B18" s="2874" t="s">
        <v>487</v>
      </c>
      <c r="C18" s="2875">
        <f ca="1">SUM(C13:C17)</f>
        <v>14136</v>
      </c>
      <c r="D18" s="2876"/>
      <c r="E18" s="467"/>
      <c r="F18" s="467"/>
      <c r="G18" s="2839" t="s">
        <v>2429</v>
      </c>
      <c r="H18" s="2840"/>
      <c r="I18" s="2840"/>
      <c r="J18" s="2840"/>
      <c r="K18" s="2841"/>
    </row>
    <row r="19" spans="1:14" s="2115" customFormat="1" ht="13.5" customHeight="1">
      <c r="A19" s="2873" t="s">
        <v>1854</v>
      </c>
      <c r="B19" s="2874" t="s">
        <v>488</v>
      </c>
      <c r="C19" s="2831">
        <f ca="1">ROUND(D19*E19/10000,0)</f>
        <v>618</v>
      </c>
      <c r="D19" s="2877">
        <f ca="1">D16</f>
        <v>30884</v>
      </c>
      <c r="E19" s="2831">
        <f>'数据-取费表'!B32</f>
        <v>200</v>
      </c>
      <c r="F19" s="467"/>
      <c r="G19" s="2835" t="s">
        <v>489</v>
      </c>
      <c r="H19" s="2836"/>
      <c r="I19" s="2840"/>
      <c r="J19" s="2840"/>
      <c r="K19" s="2841"/>
    </row>
    <row r="20" spans="1:14" s="2115" customFormat="1" ht="13.5" customHeight="1">
      <c r="A20" s="2873" t="s">
        <v>1855</v>
      </c>
      <c r="B20" s="2874" t="s">
        <v>490</v>
      </c>
      <c r="C20" s="2831">
        <f ca="1">C21+C22-IF(B1="",'数据-取费表'!B29,IF(G20="已全部缴纳",C21+C22,H20))</f>
        <v>463</v>
      </c>
      <c r="D20" s="2877"/>
      <c r="E20" s="2831"/>
      <c r="F20" s="2878"/>
      <c r="G20" s="3112"/>
      <c r="H20" s="2833"/>
      <c r="I20" s="2834" t="s">
        <v>2649</v>
      </c>
      <c r="J20" s="2840"/>
      <c r="K20" s="2841"/>
    </row>
    <row r="21" spans="1:14" s="2115" customFormat="1" ht="13.5" customHeight="1">
      <c r="A21" s="2865" t="s">
        <v>1856</v>
      </c>
      <c r="B21" s="2866" t="s">
        <v>491</v>
      </c>
      <c r="C21" s="53">
        <f ca="1">ROUND(D21*E21/10000,0)</f>
        <v>463</v>
      </c>
      <c r="D21" s="2867">
        <f ca="1">IF(B1="",'数据-汇总表'!E5,IF(INDIRECT("'数据-取费表'!c"&amp;$K$1)="住宅",INDIRECT("'数据-取费表'!k"&amp;$K$1),0))</f>
        <v>30884</v>
      </c>
      <c r="E21" s="53">
        <f>'数据-取费表'!B27</f>
        <v>150</v>
      </c>
      <c r="F21" s="2870"/>
      <c r="G21" s="26"/>
      <c r="H21" s="51"/>
      <c r="I21" s="51"/>
      <c r="J21" s="51"/>
      <c r="K21" s="2842"/>
    </row>
    <row r="22" spans="1:14" s="2115" customFormat="1" ht="13.5" customHeight="1">
      <c r="A22" s="2865" t="s">
        <v>1857</v>
      </c>
      <c r="B22" s="2866" t="s">
        <v>492</v>
      </c>
      <c r="C22" s="53">
        <f ca="1">ROUND(D22*E22/10000,0)</f>
        <v>0</v>
      </c>
      <c r="D22" s="2867">
        <f ca="1">IF(B1="",'数据-汇总表'!E6,IF(INDIRECT("'数据-取费表'!c"&amp;$K$1)="住宅",INDIRECT("'数据-取费表'!s"&amp;$K$1),INDIRECT("'数据-取费表'!k"&amp;$K$1)+INDIRECT("'数据-取费表'!s"&amp;$K$1)))</f>
        <v>0</v>
      </c>
      <c r="E22" s="53">
        <f>'数据-取费表'!B28</f>
        <v>150</v>
      </c>
      <c r="F22" s="2870"/>
      <c r="G22" s="26"/>
      <c r="H22" s="51"/>
      <c r="I22" s="51"/>
      <c r="J22" s="51"/>
      <c r="K22" s="2842"/>
    </row>
    <row r="23" spans="1:14" s="2115" customFormat="1" ht="13.5" customHeight="1">
      <c r="A23" s="2873" t="s">
        <v>1858</v>
      </c>
      <c r="B23" s="3058" t="s">
        <v>2832</v>
      </c>
      <c r="C23" s="2875">
        <f ca="1">ROUND((C18+C19+C20)*F23,0)</f>
        <v>457</v>
      </c>
      <c r="D23" s="467"/>
      <c r="E23" s="467"/>
      <c r="F23" s="2879">
        <f>'数据-取费表'!B37</f>
        <v>0.03</v>
      </c>
      <c r="G23" s="2835" t="s">
        <v>2430</v>
      </c>
      <c r="H23" s="2836"/>
      <c r="I23" s="2836"/>
      <c r="J23" s="2836"/>
      <c r="K23" s="2837"/>
      <c r="L23" s="2117"/>
      <c r="M23" s="2117"/>
      <c r="N23" s="2117"/>
    </row>
    <row r="24" spans="1:14" s="2115" customFormat="1" ht="13.5" customHeight="1">
      <c r="A24" s="2873" t="s">
        <v>1859</v>
      </c>
      <c r="B24" s="3058" t="s">
        <v>2835</v>
      </c>
      <c r="C24" s="2875">
        <f>ROUND(C6*F24,0)</f>
        <v>3581</v>
      </c>
      <c r="D24" s="474"/>
      <c r="E24" s="472"/>
      <c r="F24" s="2879">
        <f>'数据-取费表'!B38</f>
        <v>0.05</v>
      </c>
      <c r="G24" s="2844" t="s">
        <v>499</v>
      </c>
      <c r="H24" s="2838"/>
      <c r="I24" s="2838"/>
      <c r="J24" s="2838"/>
      <c r="K24" s="278"/>
      <c r="L24" s="2117"/>
      <c r="M24" s="2117"/>
      <c r="N24" s="2117"/>
    </row>
    <row r="25" spans="1:14" s="2118" customFormat="1" ht="13.5" customHeight="1">
      <c r="A25" s="2873" t="s">
        <v>1860</v>
      </c>
      <c r="B25" s="3058" t="s">
        <v>2833</v>
      </c>
      <c r="C25" s="466">
        <f>ROUND(F25/(1+'数据-取费表'!C42),4)</f>
        <v>2.9000000000000001E-2</v>
      </c>
      <c r="D25" s="461" t="s">
        <v>2827</v>
      </c>
      <c r="E25" s="468"/>
      <c r="F25" s="2879">
        <f>'数据-取费表'!B48+'数据-取费表'!B49</f>
        <v>3.0499999999999999E-2</v>
      </c>
      <c r="G25" s="2843" t="s">
        <v>2289</v>
      </c>
      <c r="H25" s="2836"/>
      <c r="I25" s="2836"/>
      <c r="J25" s="2836"/>
      <c r="K25" s="2837"/>
    </row>
    <row r="26" spans="1:14" s="2117" customFormat="1" ht="13.5" customHeight="1">
      <c r="A26" s="2873" t="s">
        <v>1861</v>
      </c>
      <c r="B26" s="3059" t="s">
        <v>2834</v>
      </c>
      <c r="C26" s="2880">
        <f ca="1">C28</f>
        <v>682</v>
      </c>
      <c r="D26" s="466">
        <f ca="1">C27</f>
        <v>7.4200000000000002E-2</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1856</v>
      </c>
      <c r="B27" s="2881" t="s">
        <v>496</v>
      </c>
      <c r="C27" s="2882">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1857</v>
      </c>
      <c r="B28" s="2881" t="s">
        <v>2836</v>
      </c>
      <c r="C28" s="2883">
        <f ca="1">ROUND(IF('数据-取费表'!B22&lt;=1,(C18+C19+C20+C23+C24)*F26*'数据-取费表'!B24/2,(C18+C19+C20+C23+C24)*(POWER((1+F26),'数据-取费表'!B24/2)-1)),0)</f>
        <v>682</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1862</v>
      </c>
      <c r="B29" s="2874" t="s">
        <v>497</v>
      </c>
      <c r="C29" s="2875">
        <f>ROUND(C6*F29/(1+'数据-取费表'!C42),0)</f>
        <v>3820</v>
      </c>
      <c r="D29" s="467"/>
      <c r="E29" s="467"/>
      <c r="F29" s="3060">
        <f>'数据-取费表'!B41</f>
        <v>5.6000000000000001E-2</v>
      </c>
      <c r="G29" s="2844" t="s">
        <v>498</v>
      </c>
      <c r="H29" s="2836"/>
      <c r="I29" s="2836"/>
      <c r="J29" s="2836"/>
      <c r="K29" s="2837"/>
    </row>
    <row r="30" spans="1:14" s="2120" customFormat="1" ht="13.5" customHeight="1">
      <c r="A30" s="1633" t="s">
        <v>1863</v>
      </c>
      <c r="B30" s="2885" t="s">
        <v>500</v>
      </c>
      <c r="C30" s="2880">
        <f ca="1">C31</f>
        <v>23757</v>
      </c>
      <c r="D30" s="476">
        <f ca="1">C32</f>
        <v>0.1032</v>
      </c>
      <c r="E30" s="468" t="s">
        <v>495</v>
      </c>
      <c r="F30" s="470"/>
      <c r="G30" s="2843" t="s">
        <v>2972</v>
      </c>
      <c r="H30" s="2836"/>
      <c r="I30" s="2836"/>
      <c r="J30" s="2836"/>
      <c r="K30" s="2837"/>
    </row>
    <row r="31" spans="1:14" s="2119" customFormat="1" ht="13.5" customHeight="1">
      <c r="A31" s="802" t="s">
        <v>1856</v>
      </c>
      <c r="B31" s="2881"/>
      <c r="C31" s="449">
        <f ca="1">C18+C19+C20+C23+C24+C26+C29</f>
        <v>23757</v>
      </c>
      <c r="D31" s="471"/>
      <c r="E31" s="472"/>
      <c r="F31" s="473"/>
      <c r="G31" s="260"/>
      <c r="H31" s="2838"/>
      <c r="I31" s="2838"/>
      <c r="J31" s="2838"/>
      <c r="K31" s="278"/>
    </row>
    <row r="32" spans="1:14" s="2119" customFormat="1" ht="13.5" customHeight="1">
      <c r="A32" s="802" t="s">
        <v>1857</v>
      </c>
      <c r="B32" s="2881"/>
      <c r="C32" s="53">
        <f ca="1">ROUND(C25+D26,4)</f>
        <v>0.1032</v>
      </c>
      <c r="D32" s="471"/>
      <c r="E32" s="472"/>
      <c r="F32" s="473"/>
      <c r="G32" s="260"/>
      <c r="H32" s="2838"/>
      <c r="I32" s="2838"/>
      <c r="J32" s="2838"/>
      <c r="K32" s="278"/>
    </row>
    <row r="33" spans="1:11" s="2121" customFormat="1" ht="13.5" customHeight="1">
      <c r="A33" s="3057" t="s">
        <v>2831</v>
      </c>
      <c r="B33" s="3055" t="s">
        <v>2829</v>
      </c>
      <c r="C33" s="477">
        <f ca="1">C35</f>
        <v>6739</v>
      </c>
      <c r="D33" s="466">
        <f ca="1">C34</f>
        <v>0.36020000000000002</v>
      </c>
      <c r="E33" s="468" t="s">
        <v>495</v>
      </c>
      <c r="F33" s="478">
        <f ca="1">IF(B1="",'数据-取费表'!Q16,INDIRECT("'数据-取费表'!q"&amp;$K$1))</f>
        <v>0.35</v>
      </c>
      <c r="G33" s="2839"/>
      <c r="H33" s="2840"/>
      <c r="I33" s="2840"/>
      <c r="J33" s="2840"/>
      <c r="K33" s="2841"/>
    </row>
    <row r="34" spans="1:11" s="2122" customFormat="1" ht="13.5" customHeight="1">
      <c r="A34" s="374" t="s">
        <v>1856</v>
      </c>
      <c r="B34" s="2886" t="s">
        <v>501</v>
      </c>
      <c r="C34" s="471">
        <f ca="1">ROUND((1+C25)*F33,4)</f>
        <v>0.36020000000000002</v>
      </c>
      <c r="D34" s="471"/>
      <c r="E34" s="472"/>
      <c r="F34" s="479"/>
      <c r="G34" s="260" t="s">
        <v>2290</v>
      </c>
      <c r="H34" s="2838"/>
      <c r="I34" s="2838"/>
      <c r="J34" s="2838"/>
      <c r="K34" s="278"/>
    </row>
    <row r="35" spans="1:11" s="2122" customFormat="1" ht="13.5" customHeight="1" thickBot="1">
      <c r="A35" s="1634" t="s">
        <v>1857</v>
      </c>
      <c r="B35" s="3056" t="s">
        <v>2837</v>
      </c>
      <c r="C35" s="1626">
        <f ca="1">ROUND((C18+C19+C20+C23+C24)*F33,0)</f>
        <v>6739</v>
      </c>
      <c r="D35" s="1627"/>
      <c r="E35" s="2887"/>
      <c r="F35" s="1628"/>
      <c r="G35" s="2845"/>
      <c r="H35" s="2846"/>
      <c r="I35" s="2846"/>
      <c r="J35" s="2846"/>
      <c r="K35" s="2847"/>
    </row>
    <row r="36" spans="1:11" s="2084" customFormat="1" ht="13.5" customHeight="1" thickBot="1">
      <c r="A36" s="283" t="s">
        <v>1844</v>
      </c>
      <c r="B36" s="2849"/>
      <c r="C36" s="2888">
        <f ca="1">ROUND((C6-C30-C33)/(1+D30+D33),0)</f>
        <v>28102</v>
      </c>
      <c r="D36" s="2849"/>
      <c r="E36" s="2849"/>
      <c r="F36" s="2849"/>
      <c r="G36" s="2848" t="s">
        <v>2838</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1685</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422" t="s">
        <v>522</v>
      </c>
      <c r="D6" s="3423"/>
      <c r="E6" s="3456" t="s">
        <v>523</v>
      </c>
      <c r="F6" s="3457"/>
      <c r="G6" s="3422" t="s">
        <v>524</v>
      </c>
      <c r="H6" s="3423"/>
      <c r="I6" s="3422" t="s">
        <v>525</v>
      </c>
      <c r="J6" s="3423"/>
      <c r="K6" s="513" t="s">
        <v>526</v>
      </c>
      <c r="L6" s="2132"/>
      <c r="M6" s="2133"/>
      <c r="N6" s="2133"/>
      <c r="O6" s="2133"/>
      <c r="P6" s="3424" t="s">
        <v>527</v>
      </c>
      <c r="Q6" s="3425"/>
      <c r="R6" s="3430" t="s">
        <v>523</v>
      </c>
      <c r="S6" s="3431"/>
      <c r="T6" s="3430" t="s">
        <v>524</v>
      </c>
      <c r="U6" s="3431"/>
      <c r="V6" s="3417" t="s">
        <v>525</v>
      </c>
      <c r="W6" s="3417"/>
      <c r="X6" s="1565"/>
      <c r="Y6" s="3430" t="s">
        <v>527</v>
      </c>
      <c r="Z6" s="3431"/>
      <c r="AA6" s="3419" t="s">
        <v>523</v>
      </c>
      <c r="AB6" s="3420" t="s">
        <v>524</v>
      </c>
      <c r="AC6" s="3419" t="s">
        <v>525</v>
      </c>
    </row>
    <row r="7" spans="1:29" ht="15">
      <c r="A7" s="514"/>
      <c r="B7" s="515"/>
      <c r="C7" s="3438" t="s">
        <v>2926</v>
      </c>
      <c r="D7" s="3439"/>
      <c r="E7" s="3458" t="s">
        <v>2927</v>
      </c>
      <c r="F7" s="3459"/>
      <c r="G7" s="3438" t="s">
        <v>2928</v>
      </c>
      <c r="H7" s="3439"/>
      <c r="I7" s="3438" t="s">
        <v>2929</v>
      </c>
      <c r="J7" s="3439"/>
      <c r="K7" s="513"/>
      <c r="L7" s="2132"/>
      <c r="M7" s="2133"/>
      <c r="N7" s="2133"/>
      <c r="O7" s="2133"/>
      <c r="P7" s="3426"/>
      <c r="Q7" s="3427"/>
      <c r="R7" s="3432"/>
      <c r="S7" s="3433"/>
      <c r="T7" s="3432"/>
      <c r="U7" s="3433"/>
      <c r="V7" s="3417"/>
      <c r="W7" s="3417"/>
      <c r="X7" s="1565"/>
      <c r="Y7" s="3432"/>
      <c r="Z7" s="3433"/>
      <c r="AA7" s="3420"/>
      <c r="AB7" s="3420"/>
      <c r="AC7" s="3420"/>
    </row>
    <row r="8" spans="1:29" ht="15.75" thickBot="1">
      <c r="A8" s="516"/>
      <c r="B8" s="517"/>
      <c r="C8" s="3436" t="s">
        <v>2930</v>
      </c>
      <c r="D8" s="3437"/>
      <c r="E8" s="3454" t="s">
        <v>2930</v>
      </c>
      <c r="F8" s="3455"/>
      <c r="G8" s="3436" t="s">
        <v>2930</v>
      </c>
      <c r="H8" s="3437"/>
      <c r="I8" s="3436" t="s">
        <v>2930</v>
      </c>
      <c r="J8" s="3437"/>
      <c r="K8" s="513" t="s">
        <v>528</v>
      </c>
      <c r="L8" s="2132"/>
      <c r="M8" s="2133"/>
      <c r="N8" s="2133"/>
      <c r="O8" s="2133"/>
      <c r="P8" s="3428"/>
      <c r="Q8" s="3429"/>
      <c r="R8" s="3432"/>
      <c r="S8" s="3433"/>
      <c r="T8" s="3434"/>
      <c r="U8" s="3435"/>
      <c r="V8" s="3417"/>
      <c r="W8" s="3417"/>
      <c r="X8" s="1565"/>
      <c r="Y8" s="3434"/>
      <c r="Z8" s="3435"/>
      <c r="AA8" s="3421"/>
      <c r="AB8" s="3421"/>
      <c r="AC8" s="3421"/>
    </row>
    <row r="9" spans="1:29" s="1218" customFormat="1" ht="15.75" thickBot="1">
      <c r="A9" s="2935"/>
      <c r="B9" s="2942" t="s">
        <v>529</v>
      </c>
      <c r="C9" s="518">
        <f>'数据-取费表'!B2</f>
        <v>43224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47" t="s">
        <v>530</v>
      </c>
      <c r="Q9" s="3449"/>
      <c r="R9" s="1566" t="s">
        <v>8</v>
      </c>
      <c r="S9" s="1567">
        <f t="shared" ref="S9:S17" si="0">F9</f>
        <v>0</v>
      </c>
      <c r="T9" s="1566" t="s">
        <v>8</v>
      </c>
      <c r="U9" s="1567">
        <f t="shared" ref="U9:U17" si="1">H9</f>
        <v>0</v>
      </c>
      <c r="V9" s="1566" t="s">
        <v>8</v>
      </c>
      <c r="W9" s="1567">
        <f t="shared" ref="W9:W17" si="2">J9</f>
        <v>0</v>
      </c>
      <c r="X9" s="1568"/>
      <c r="Y9" s="3447" t="s">
        <v>530</v>
      </c>
      <c r="Z9" s="3448"/>
      <c r="AA9" s="1569" t="e">
        <f>D9/F9</f>
        <v>#DIV/0!</v>
      </c>
      <c r="AB9" s="1569" t="e">
        <f>D9/H9</f>
        <v>#DIV/0!</v>
      </c>
      <c r="AC9" s="1569" t="e">
        <f>D9/J9</f>
        <v>#DIV/0!</v>
      </c>
    </row>
    <row r="10" spans="1:29" s="1218"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47" t="s">
        <v>533</v>
      </c>
      <c r="Q10" s="3448"/>
      <c r="R10" s="1566" t="s">
        <v>8</v>
      </c>
      <c r="S10" s="1567">
        <f t="shared" si="0"/>
        <v>0</v>
      </c>
      <c r="T10" s="1566" t="s">
        <v>8</v>
      </c>
      <c r="U10" s="1567">
        <f t="shared" si="1"/>
        <v>0</v>
      </c>
      <c r="V10" s="1566" t="s">
        <v>8</v>
      </c>
      <c r="W10" s="1567">
        <f t="shared" si="2"/>
        <v>0</v>
      </c>
      <c r="X10" s="1568"/>
      <c r="Y10" s="3447" t="s">
        <v>533</v>
      </c>
      <c r="Z10" s="3448"/>
      <c r="AA10" s="1569" t="e">
        <f t="shared" ref="AA10:AA42" si="3">D10/F10</f>
        <v>#DIV/0!</v>
      </c>
      <c r="AB10" s="1569" t="e">
        <f t="shared" ref="AB10:AB42" si="4">D10/H10</f>
        <v>#DIV/0!</v>
      </c>
      <c r="AC10" s="1569" t="e">
        <f t="shared" ref="AC10:AC42" si="5">D10/J10</f>
        <v>#DIV/0!</v>
      </c>
    </row>
    <row r="11" spans="1:29" s="1218" customFormat="1" ht="15">
      <c r="A11" s="2937"/>
      <c r="B11" s="2944" t="s">
        <v>2754</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16" t="s">
        <v>535</v>
      </c>
      <c r="Q11" s="1149" t="str">
        <f t="shared" ref="Q11:Q17" si="6">B11</f>
        <v>用途</v>
      </c>
      <c r="R11" s="1566" t="s">
        <v>8</v>
      </c>
      <c r="S11" s="1567">
        <f t="shared" si="0"/>
        <v>100</v>
      </c>
      <c r="T11" s="1566" t="s">
        <v>8</v>
      </c>
      <c r="U11" s="1567">
        <f t="shared" si="1"/>
        <v>100</v>
      </c>
      <c r="V11" s="1566" t="s">
        <v>8</v>
      </c>
      <c r="W11" s="1567">
        <f t="shared" si="2"/>
        <v>100</v>
      </c>
      <c r="X11" s="1568"/>
      <c r="Y11" s="3362" t="s">
        <v>536</v>
      </c>
      <c r="Z11" s="1148" t="str">
        <f t="shared" ref="Z11:Z17" si="7">Q11</f>
        <v>用途</v>
      </c>
      <c r="AA11" s="1569">
        <f t="shared" si="3"/>
        <v>1</v>
      </c>
      <c r="AB11" s="1569">
        <f t="shared" si="4"/>
        <v>1</v>
      </c>
      <c r="AC11" s="1569">
        <f t="shared" si="5"/>
        <v>1</v>
      </c>
    </row>
    <row r="12" spans="1:29" s="1336" customFormat="1" ht="27">
      <c r="A12" s="2938"/>
      <c r="B12" s="2943" t="s">
        <v>2755</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416"/>
      <c r="Q12" s="1149" t="str">
        <f t="shared" si="6"/>
        <v>土地使用年限（年）</v>
      </c>
      <c r="R12" s="1566" t="s">
        <v>8</v>
      </c>
      <c r="S12" s="1567">
        <f t="shared" si="0"/>
        <v>102</v>
      </c>
      <c r="T12" s="1566" t="s">
        <v>8</v>
      </c>
      <c r="U12" s="1567">
        <f t="shared" si="1"/>
        <v>102</v>
      </c>
      <c r="V12" s="1566" t="s">
        <v>8</v>
      </c>
      <c r="W12" s="1567">
        <f t="shared" si="2"/>
        <v>102</v>
      </c>
      <c r="X12" s="1568"/>
      <c r="Y12" s="3362"/>
      <c r="Z12" s="1148" t="str">
        <f t="shared" si="7"/>
        <v>土地使用年限（年）</v>
      </c>
      <c r="AA12" s="1569">
        <f t="shared" si="3"/>
        <v>0.98039215686274506</v>
      </c>
      <c r="AB12" s="1569">
        <f t="shared" si="4"/>
        <v>0.98039215686274506</v>
      </c>
      <c r="AC12" s="1569">
        <f t="shared" si="5"/>
        <v>0.98039215686274506</v>
      </c>
    </row>
    <row r="13" spans="1:29" ht="15">
      <c r="A13" s="2939"/>
      <c r="B13" s="294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16"/>
      <c r="Q13" s="1149" t="str">
        <f t="shared" si="6"/>
        <v>容积率</v>
      </c>
      <c r="R13" s="1566" t="s">
        <v>8</v>
      </c>
      <c r="S13" s="1567" t="e">
        <f t="shared" si="0"/>
        <v>#N/A</v>
      </c>
      <c r="T13" s="1566" t="s">
        <v>8</v>
      </c>
      <c r="U13" s="1567" t="e">
        <f t="shared" si="1"/>
        <v>#N/A</v>
      </c>
      <c r="V13" s="1566" t="s">
        <v>8</v>
      </c>
      <c r="W13" s="1567" t="e">
        <f t="shared" si="2"/>
        <v>#N/A</v>
      </c>
      <c r="X13" s="1568"/>
      <c r="Y13" s="3362"/>
      <c r="Z13" s="1148" t="str">
        <f t="shared" si="7"/>
        <v>容积率</v>
      </c>
      <c r="AA13" s="1569" t="e">
        <f t="shared" si="3"/>
        <v>#N/A</v>
      </c>
      <c r="AB13" s="1569" t="e">
        <f t="shared" si="4"/>
        <v>#N/A</v>
      </c>
      <c r="AC13" s="1569"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16"/>
      <c r="Q15" s="1149">
        <f t="shared" si="6"/>
        <v>111</v>
      </c>
      <c r="R15" s="1566" t="s">
        <v>8</v>
      </c>
      <c r="S15" s="1567">
        <f t="shared" si="0"/>
        <v>100</v>
      </c>
      <c r="T15" s="1566" t="s">
        <v>8</v>
      </c>
      <c r="U15" s="1567">
        <f t="shared" si="1"/>
        <v>100</v>
      </c>
      <c r="V15" s="1566" t="s">
        <v>8</v>
      </c>
      <c r="W15" s="1567">
        <f t="shared" si="2"/>
        <v>100</v>
      </c>
      <c r="X15" s="1568"/>
      <c r="Y15" s="3362"/>
      <c r="Z15" s="1148">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16"/>
      <c r="Q16" s="1149">
        <f t="shared" si="6"/>
        <v>111</v>
      </c>
      <c r="R16" s="1566" t="s">
        <v>8</v>
      </c>
      <c r="S16" s="1567">
        <f t="shared" si="0"/>
        <v>100</v>
      </c>
      <c r="T16" s="1566" t="s">
        <v>8</v>
      </c>
      <c r="U16" s="1567">
        <f t="shared" si="1"/>
        <v>100</v>
      </c>
      <c r="V16" s="1566" t="s">
        <v>8</v>
      </c>
      <c r="W16" s="1567">
        <f t="shared" si="2"/>
        <v>100</v>
      </c>
      <c r="X16" s="1568"/>
      <c r="Y16" s="3362"/>
      <c r="Z16" s="1148">
        <f t="shared" si="7"/>
        <v>111</v>
      </c>
      <c r="AA16" s="1569">
        <f t="shared" si="3"/>
        <v>1</v>
      </c>
      <c r="AB16" s="1569">
        <f t="shared" si="4"/>
        <v>1</v>
      </c>
      <c r="AC16" s="1569">
        <f t="shared" si="5"/>
        <v>1</v>
      </c>
    </row>
    <row r="17" spans="1:29" ht="57">
      <c r="A17" s="2933"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50" t="s">
        <v>540</v>
      </c>
      <c r="Q17" s="1570" t="str">
        <f t="shared" si="6"/>
        <v>产业集聚程度</v>
      </c>
      <c r="R17" s="1571" t="s">
        <v>8</v>
      </c>
      <c r="S17" s="1572">
        <f t="shared" si="0"/>
        <v>100</v>
      </c>
      <c r="T17" s="1571" t="s">
        <v>8</v>
      </c>
      <c r="U17" s="1572">
        <f t="shared" si="1"/>
        <v>100</v>
      </c>
      <c r="V17" s="1571" t="s">
        <v>8</v>
      </c>
      <c r="W17" s="1572">
        <f t="shared" si="2"/>
        <v>100</v>
      </c>
      <c r="X17" s="1565"/>
      <c r="Y17" s="3450"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51"/>
      <c r="Q18" s="1570"/>
      <c r="R18" s="1571"/>
      <c r="S18" s="1572"/>
      <c r="T18" s="1571"/>
      <c r="U18" s="1572"/>
      <c r="V18" s="1571"/>
      <c r="W18" s="1572"/>
      <c r="X18" s="1565"/>
      <c r="Y18" s="3451"/>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51"/>
      <c r="Q19" s="1570" t="str">
        <f>B19</f>
        <v>交通便捷度</v>
      </c>
      <c r="R19" s="1571" t="s">
        <v>8</v>
      </c>
      <c r="S19" s="1572">
        <f>F19</f>
        <v>100</v>
      </c>
      <c r="T19" s="1571" t="s">
        <v>8</v>
      </c>
      <c r="U19" s="1572">
        <f>H19</f>
        <v>100</v>
      </c>
      <c r="V19" s="1571" t="s">
        <v>8</v>
      </c>
      <c r="W19" s="1572">
        <f>J19</f>
        <v>100</v>
      </c>
      <c r="X19" s="1565"/>
      <c r="Y19" s="3451"/>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51"/>
      <c r="Q21" s="1570" t="str">
        <f t="shared" ref="Q21:Q35" si="8">B21</f>
        <v>区域土地利用方向</v>
      </c>
      <c r="R21" s="1571" t="s">
        <v>8</v>
      </c>
      <c r="S21" s="1572">
        <f>F21</f>
        <v>100</v>
      </c>
      <c r="T21" s="1571" t="s">
        <v>8</v>
      </c>
      <c r="U21" s="1572">
        <f>H21</f>
        <v>100</v>
      </c>
      <c r="V21" s="1571" t="s">
        <v>8</v>
      </c>
      <c r="W21" s="1572">
        <f>J21</f>
        <v>100</v>
      </c>
      <c r="X21" s="1565"/>
      <c r="Y21" s="345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51"/>
      <c r="Q22" s="1570"/>
      <c r="R22" s="1571"/>
      <c r="S22" s="1572"/>
      <c r="T22" s="1571"/>
      <c r="U22" s="1572"/>
      <c r="V22" s="1571"/>
      <c r="W22" s="1572"/>
      <c r="X22" s="1565"/>
      <c r="Y22" s="3451"/>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51"/>
      <c r="Q23" s="1570" t="str">
        <f t="shared" si="8"/>
        <v>环境状况</v>
      </c>
      <c r="R23" s="1571" t="s">
        <v>8</v>
      </c>
      <c r="S23" s="1572">
        <f>F23</f>
        <v>100</v>
      </c>
      <c r="T23" s="1571" t="s">
        <v>8</v>
      </c>
      <c r="U23" s="1572">
        <f>H23</f>
        <v>100</v>
      </c>
      <c r="V23" s="1571" t="s">
        <v>8</v>
      </c>
      <c r="W23" s="1572">
        <f>J23</f>
        <v>100</v>
      </c>
      <c r="X23" s="1565"/>
      <c r="Y23" s="345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51"/>
      <c r="Q24" s="1570"/>
      <c r="R24" s="1571"/>
      <c r="S24" s="1572"/>
      <c r="T24" s="1571"/>
      <c r="U24" s="1572"/>
      <c r="V24" s="1571"/>
      <c r="W24" s="1572"/>
      <c r="X24" s="1565"/>
      <c r="Y24" s="3451"/>
      <c r="Z24" s="1573"/>
      <c r="AA24" s="1574">
        <v>1</v>
      </c>
      <c r="AB24" s="1574">
        <v>1</v>
      </c>
      <c r="AC24" s="1574">
        <v>1</v>
      </c>
    </row>
    <row r="25" spans="1:29" s="1218" customFormat="1" ht="42.75">
      <c r="A25" s="576"/>
      <c r="B25" s="261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51"/>
      <c r="Q25" s="1149" t="str">
        <f t="shared" si="8"/>
        <v>公共配套设施</v>
      </c>
      <c r="R25" s="1566" t="s">
        <v>8</v>
      </c>
      <c r="S25" s="1567">
        <f>F25</f>
        <v>100</v>
      </c>
      <c r="T25" s="1566" t="s">
        <v>8</v>
      </c>
      <c r="U25" s="1567">
        <f>H25</f>
        <v>100</v>
      </c>
      <c r="V25" s="1566" t="s">
        <v>8</v>
      </c>
      <c r="W25" s="1567">
        <f>J25</f>
        <v>100</v>
      </c>
      <c r="X25" s="1568"/>
      <c r="Y25" s="3451"/>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51"/>
      <c r="Q26" s="1149"/>
      <c r="R26" s="1566"/>
      <c r="S26" s="1567"/>
      <c r="T26" s="1566"/>
      <c r="U26" s="1567"/>
      <c r="V26" s="1566"/>
      <c r="W26" s="1567"/>
      <c r="X26" s="1568"/>
      <c r="Y26" s="3451"/>
      <c r="Z26" s="1148"/>
      <c r="AA26" s="1569">
        <v>1</v>
      </c>
      <c r="AB26" s="1569">
        <v>1</v>
      </c>
      <c r="AC26" s="1569">
        <v>1</v>
      </c>
    </row>
    <row r="27" spans="1:29" s="1218" customFormat="1" ht="28.5">
      <c r="A27" s="576"/>
      <c r="B27" s="261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51"/>
      <c r="Q27" s="2601" t="str">
        <f t="shared" ref="Q27" si="9">B27</f>
        <v>基础设施水平</v>
      </c>
      <c r="R27" s="1566" t="s">
        <v>8</v>
      </c>
      <c r="S27" s="1567">
        <f>F27</f>
        <v>100</v>
      </c>
      <c r="T27" s="1566" t="s">
        <v>8</v>
      </c>
      <c r="U27" s="1567">
        <f>H27</f>
        <v>100</v>
      </c>
      <c r="V27" s="1566" t="s">
        <v>8</v>
      </c>
      <c r="W27" s="1567">
        <f>J27</f>
        <v>100</v>
      </c>
      <c r="X27" s="1568"/>
      <c r="Y27" s="3451"/>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51"/>
      <c r="Q28" s="2601"/>
      <c r="R28" s="1566"/>
      <c r="S28" s="1567"/>
      <c r="T28" s="1566"/>
      <c r="U28" s="1567"/>
      <c r="V28" s="1566"/>
      <c r="W28" s="1567"/>
      <c r="X28" s="1568"/>
      <c r="Y28" s="3451"/>
      <c r="Z28" s="2598"/>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5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51"/>
      <c r="Z29" s="1573" t="str">
        <f t="shared" ref="Z29:Z42" si="13">Q29</f>
        <v>临街状况</v>
      </c>
      <c r="AA29" s="1574">
        <f t="shared" si="3"/>
        <v>1</v>
      </c>
      <c r="AB29" s="1574">
        <f t="shared" si="4"/>
        <v>1</v>
      </c>
      <c r="AC29" s="1574">
        <f t="shared" si="5"/>
        <v>1</v>
      </c>
    </row>
    <row r="30" spans="1:29" ht="27">
      <c r="A30" s="531"/>
      <c r="B30" s="921" t="s">
        <v>548</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51"/>
      <c r="Q30" s="1570" t="str">
        <f t="shared" si="8"/>
        <v>毗邻道路的类型与等级</v>
      </c>
      <c r="R30" s="1571" t="s">
        <v>8</v>
      </c>
      <c r="S30" s="1572">
        <f t="shared" si="10"/>
        <v>100</v>
      </c>
      <c r="T30" s="1571" t="s">
        <v>8</v>
      </c>
      <c r="U30" s="1572">
        <f t="shared" si="11"/>
        <v>100</v>
      </c>
      <c r="V30" s="1571" t="s">
        <v>8</v>
      </c>
      <c r="W30" s="1572">
        <f t="shared" si="12"/>
        <v>100</v>
      </c>
      <c r="X30" s="1565"/>
      <c r="Y30" s="3451"/>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51"/>
      <c r="Q31" s="1570"/>
      <c r="R31" s="1571"/>
      <c r="S31" s="1572"/>
      <c r="T31" s="1571"/>
      <c r="U31" s="1572"/>
      <c r="V31" s="1571"/>
      <c r="W31" s="1572"/>
      <c r="X31" s="1565"/>
      <c r="Y31" s="3451"/>
      <c r="Z31" s="1573"/>
      <c r="AA31" s="1574">
        <v>1</v>
      </c>
      <c r="AB31" s="1574">
        <v>1</v>
      </c>
      <c r="AC31" s="1574">
        <v>1</v>
      </c>
    </row>
    <row r="32" spans="1:29" ht="15">
      <c r="A32" s="531"/>
      <c r="B32" s="526" t="s">
        <v>549</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51"/>
      <c r="Q32" s="1570" t="str">
        <f t="shared" si="8"/>
        <v>土地级别</v>
      </c>
      <c r="R32" s="1571" t="s">
        <v>8</v>
      </c>
      <c r="S32" s="1572">
        <f t="shared" si="10"/>
        <v>100</v>
      </c>
      <c r="T32" s="1571" t="s">
        <v>8</v>
      </c>
      <c r="U32" s="1572">
        <f t="shared" si="11"/>
        <v>100</v>
      </c>
      <c r="V32" s="1571" t="s">
        <v>8</v>
      </c>
      <c r="W32" s="1572">
        <f t="shared" si="12"/>
        <v>100</v>
      </c>
      <c r="X32" s="1565"/>
      <c r="Y32" s="3451"/>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51"/>
      <c r="Q33" s="1570">
        <f t="shared" si="8"/>
        <v>111</v>
      </c>
      <c r="R33" s="1571" t="s">
        <v>8</v>
      </c>
      <c r="S33" s="1572">
        <f t="shared" si="10"/>
        <v>100</v>
      </c>
      <c r="T33" s="1571" t="s">
        <v>8</v>
      </c>
      <c r="U33" s="1572">
        <f t="shared" si="11"/>
        <v>100</v>
      </c>
      <c r="V33" s="1571" t="s">
        <v>8</v>
      </c>
      <c r="W33" s="1572">
        <f t="shared" si="12"/>
        <v>100</v>
      </c>
      <c r="X33" s="1565"/>
      <c r="Y33" s="345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52" t="s">
        <v>550</v>
      </c>
      <c r="Q34" s="1570">
        <f t="shared" si="8"/>
        <v>111</v>
      </c>
      <c r="R34" s="1571" t="s">
        <v>8</v>
      </c>
      <c r="S34" s="1572">
        <f t="shared" si="10"/>
        <v>100</v>
      </c>
      <c r="T34" s="1571" t="s">
        <v>8</v>
      </c>
      <c r="U34" s="1572">
        <f t="shared" si="11"/>
        <v>100</v>
      </c>
      <c r="V34" s="1571" t="s">
        <v>8</v>
      </c>
      <c r="W34" s="1572">
        <f t="shared" si="12"/>
        <v>100</v>
      </c>
      <c r="X34" s="1565"/>
      <c r="Y34" s="3453" t="s">
        <v>550</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53"/>
      <c r="Q35" s="1570">
        <f t="shared" si="8"/>
        <v>111</v>
      </c>
      <c r="R35" s="1575" t="s">
        <v>8</v>
      </c>
      <c r="S35" s="1576">
        <f t="shared" si="10"/>
        <v>100</v>
      </c>
      <c r="T35" s="1575" t="s">
        <v>8</v>
      </c>
      <c r="U35" s="1576">
        <f t="shared" si="11"/>
        <v>100</v>
      </c>
      <c r="V35" s="1575" t="s">
        <v>8</v>
      </c>
      <c r="W35" s="1576">
        <f t="shared" si="12"/>
        <v>100</v>
      </c>
      <c r="X35" s="1577"/>
      <c r="Y35" s="3453"/>
      <c r="Z35" s="1578">
        <f t="shared" si="13"/>
        <v>111</v>
      </c>
      <c r="AA35" s="1574">
        <f t="shared" si="3"/>
        <v>1</v>
      </c>
      <c r="AB35" s="1574">
        <f t="shared" si="4"/>
        <v>1</v>
      </c>
      <c r="AC35" s="1574">
        <f t="shared" si="5"/>
        <v>1</v>
      </c>
    </row>
    <row r="36" spans="1:29" ht="15">
      <c r="A36" s="293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53"/>
      <c r="Q36" s="1570" t="str">
        <f>B36</f>
        <v>宗地面积</v>
      </c>
      <c r="R36" s="1571" t="s">
        <v>8</v>
      </c>
      <c r="S36" s="1572" t="e">
        <f t="shared" si="10"/>
        <v>#N/A</v>
      </c>
      <c r="T36" s="1571" t="s">
        <v>8</v>
      </c>
      <c r="U36" s="1572" t="e">
        <f t="shared" si="11"/>
        <v>#N/A</v>
      </c>
      <c r="V36" s="1571" t="s">
        <v>8</v>
      </c>
      <c r="W36" s="1572" t="e">
        <f t="shared" si="12"/>
        <v>#N/A</v>
      </c>
      <c r="X36" s="1565"/>
      <c r="Y36" s="3453"/>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53"/>
      <c r="Q37" s="1570" t="str">
        <f t="shared" ref="Q37:Q42" si="14">B37</f>
        <v>宗地形状</v>
      </c>
      <c r="R37" s="1571" t="s">
        <v>8</v>
      </c>
      <c r="S37" s="1572">
        <f t="shared" si="10"/>
        <v>100</v>
      </c>
      <c r="T37" s="1571" t="s">
        <v>8</v>
      </c>
      <c r="U37" s="1572">
        <f t="shared" si="11"/>
        <v>100</v>
      </c>
      <c r="V37" s="1571" t="s">
        <v>8</v>
      </c>
      <c r="W37" s="1572">
        <f t="shared" si="12"/>
        <v>100</v>
      </c>
      <c r="X37" s="1565"/>
      <c r="Y37" s="3453"/>
      <c r="Z37" s="1573" t="str">
        <f t="shared" si="13"/>
        <v>宗地形状</v>
      </c>
      <c r="AA37" s="1574">
        <f t="shared" si="3"/>
        <v>1</v>
      </c>
      <c r="AB37" s="1574">
        <f t="shared" si="4"/>
        <v>1</v>
      </c>
      <c r="AC37" s="1574">
        <f t="shared" si="5"/>
        <v>1</v>
      </c>
    </row>
    <row r="38" spans="1:29" s="1218" customFormat="1" ht="15">
      <c r="A38" s="599"/>
      <c r="B38" s="1894"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53"/>
      <c r="Q38" s="1570" t="str">
        <f t="shared" si="14"/>
        <v>宗地开发程度</v>
      </c>
      <c r="R38" s="1566" t="s">
        <v>8</v>
      </c>
      <c r="S38" s="1567">
        <f t="shared" si="10"/>
        <v>100</v>
      </c>
      <c r="T38" s="1566" t="s">
        <v>8</v>
      </c>
      <c r="U38" s="1567">
        <f t="shared" si="11"/>
        <v>100</v>
      </c>
      <c r="V38" s="1566" t="s">
        <v>8</v>
      </c>
      <c r="W38" s="1567">
        <f t="shared" si="12"/>
        <v>100</v>
      </c>
      <c r="X38" s="1568"/>
      <c r="Y38" s="3453"/>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53" t="s">
        <v>601</v>
      </c>
      <c r="Q39" s="1570" t="str">
        <f t="shared" si="14"/>
        <v>工程地质条件</v>
      </c>
      <c r="R39" s="1571" t="s">
        <v>8</v>
      </c>
      <c r="S39" s="1572">
        <f t="shared" si="10"/>
        <v>100</v>
      </c>
      <c r="T39" s="1571" t="s">
        <v>8</v>
      </c>
      <c r="U39" s="1572">
        <f t="shared" si="11"/>
        <v>100</v>
      </c>
      <c r="V39" s="1571" t="s">
        <v>8</v>
      </c>
      <c r="W39" s="1572">
        <f t="shared" si="12"/>
        <v>100</v>
      </c>
      <c r="X39" s="1565"/>
      <c r="Y39" s="3453"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53"/>
      <c r="Q40" s="1570">
        <f t="shared" si="14"/>
        <v>111</v>
      </c>
      <c r="R40" s="1571" t="s">
        <v>8</v>
      </c>
      <c r="S40" s="1572">
        <f t="shared" si="10"/>
        <v>100</v>
      </c>
      <c r="T40" s="1571" t="s">
        <v>8</v>
      </c>
      <c r="U40" s="1572">
        <f t="shared" si="11"/>
        <v>100</v>
      </c>
      <c r="V40" s="1571" t="s">
        <v>8</v>
      </c>
      <c r="W40" s="1572">
        <f t="shared" si="12"/>
        <v>100</v>
      </c>
      <c r="X40" s="1565"/>
      <c r="Y40" s="345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53"/>
      <c r="Q41" s="1570">
        <f t="shared" si="14"/>
        <v>111</v>
      </c>
      <c r="R41" s="1571" t="s">
        <v>8</v>
      </c>
      <c r="S41" s="1572">
        <f t="shared" si="10"/>
        <v>100</v>
      </c>
      <c r="T41" s="1571" t="s">
        <v>8</v>
      </c>
      <c r="U41" s="1572">
        <f t="shared" si="11"/>
        <v>100</v>
      </c>
      <c r="V41" s="1571" t="s">
        <v>8</v>
      </c>
      <c r="W41" s="1572">
        <f t="shared" si="12"/>
        <v>100</v>
      </c>
      <c r="X41" s="1565"/>
      <c r="Y41" s="3453"/>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53"/>
      <c r="Q42" s="1570">
        <f t="shared" si="14"/>
        <v>111</v>
      </c>
      <c r="R42" s="1575" t="s">
        <v>8</v>
      </c>
      <c r="S42" s="1576">
        <f t="shared" si="10"/>
        <v>100</v>
      </c>
      <c r="T42" s="1575" t="s">
        <v>8</v>
      </c>
      <c r="U42" s="1576">
        <f t="shared" si="11"/>
        <v>100</v>
      </c>
      <c r="V42" s="1575" t="s">
        <v>8</v>
      </c>
      <c r="W42" s="1576">
        <f t="shared" si="12"/>
        <v>100</v>
      </c>
      <c r="X42" s="1577"/>
      <c r="Y42" s="3453"/>
      <c r="Z42" s="1578">
        <f t="shared" si="13"/>
        <v>111</v>
      </c>
      <c r="AA42" s="1574">
        <f t="shared" si="3"/>
        <v>1</v>
      </c>
      <c r="AB42" s="1574">
        <f t="shared" si="4"/>
        <v>1</v>
      </c>
      <c r="AC42" s="1574">
        <f t="shared" si="5"/>
        <v>1</v>
      </c>
    </row>
    <row r="43" spans="1:29" ht="15">
      <c r="A43" s="606" t="s">
        <v>556</v>
      </c>
      <c r="B43" s="607" t="s">
        <v>2931</v>
      </c>
      <c r="C43" s="608" t="s">
        <v>1</v>
      </c>
      <c r="D43" s="609"/>
      <c r="E43" s="610"/>
      <c r="F43" s="611"/>
      <c r="G43" s="612"/>
      <c r="H43" s="613"/>
      <c r="I43" s="610"/>
      <c r="J43" s="613"/>
      <c r="K43" s="1338"/>
      <c r="L43" s="2143"/>
      <c r="M43" s="2133"/>
      <c r="N43" s="2133"/>
      <c r="O43" s="2144"/>
      <c r="P43" s="3416" t="str">
        <f>A43</f>
        <v>成交单价</v>
      </c>
      <c r="Q43" s="3416"/>
      <c r="R43" s="3417">
        <f>E43</f>
        <v>0</v>
      </c>
      <c r="S43" s="3417"/>
      <c r="T43" s="3417">
        <f>G43</f>
        <v>0</v>
      </c>
      <c r="U43" s="3417"/>
      <c r="V43" s="3417">
        <f>I43</f>
        <v>0</v>
      </c>
      <c r="W43" s="3417"/>
      <c r="X43" s="1557"/>
      <c r="Y43" s="1579"/>
      <c r="Z43" s="1557"/>
      <c r="AA43" s="1557"/>
      <c r="AB43" s="1557"/>
      <c r="AC43" s="1557"/>
    </row>
    <row r="44" spans="1:29" ht="15.75" thickBot="1">
      <c r="A44" s="614" t="s">
        <v>2691</v>
      </c>
      <c r="B44" s="615"/>
      <c r="C44" s="616" t="e">
        <f>R45</f>
        <v>#DIV/0!</v>
      </c>
      <c r="D44" s="617"/>
      <c r="E44" s="616" t="e">
        <f>R44</f>
        <v>#DIV/0!</v>
      </c>
      <c r="F44" s="618"/>
      <c r="G44" s="619" t="e">
        <f>T44</f>
        <v>#DIV/0!</v>
      </c>
      <c r="H44" s="617"/>
      <c r="I44" s="616" t="e">
        <f>V44</f>
        <v>#DIV/0!</v>
      </c>
      <c r="J44" s="617"/>
      <c r="K44" s="1339"/>
      <c r="L44" s="2143"/>
      <c r="M44" s="2133"/>
      <c r="N44" s="2133"/>
      <c r="O44" s="2144"/>
      <c r="P44" s="3416" t="str">
        <f>A44</f>
        <v>比较价格（元/平方米）</v>
      </c>
      <c r="Q44" s="3416"/>
      <c r="R44" s="3418" t="e">
        <f>ROUND(PRODUCT(R43,AA9:AA42),0)</f>
        <v>#DIV/0!</v>
      </c>
      <c r="S44" s="3418"/>
      <c r="T44" s="3418" t="e">
        <f>ROUND(PRODUCT(T43,AB9:AB42),0)</f>
        <v>#DIV/0!</v>
      </c>
      <c r="U44" s="3418"/>
      <c r="V44" s="3418" t="e">
        <f>ROUND(PRODUCT(V43,AC9:AC42),0)</f>
        <v>#DIV/0!</v>
      </c>
      <c r="W44" s="3418"/>
      <c r="X44" s="1557"/>
      <c r="Y44" s="1557"/>
      <c r="Z44" s="1557"/>
      <c r="AA44" s="1557"/>
      <c r="AB44" s="1557"/>
      <c r="AC44" s="1557"/>
    </row>
    <row r="45" spans="1:29" ht="15.75" thickBot="1">
      <c r="A45" s="620" t="s">
        <v>2932</v>
      </c>
      <c r="B45" s="621"/>
      <c r="C45" s="622" t="e">
        <f>R45</f>
        <v>#DIV/0!</v>
      </c>
      <c r="D45" s="622"/>
      <c r="E45" s="622"/>
      <c r="F45" s="622"/>
      <c r="G45" s="622"/>
      <c r="H45" s="622"/>
      <c r="I45" s="622"/>
      <c r="J45" s="622"/>
      <c r="K45" s="1340"/>
      <c r="L45" s="2143"/>
      <c r="M45" s="2133"/>
      <c r="N45" s="2133"/>
      <c r="O45" s="2144"/>
      <c r="P45" s="3413" t="str">
        <f>A45</f>
        <v>估价对象XX用房的比较价格（楼面单价，元/平方米）</v>
      </c>
      <c r="Q45" s="3414"/>
      <c r="R45" s="3415" t="e">
        <f>ROUND(AVERAGE(R44:V44),0)</f>
        <v>#DIV/0!</v>
      </c>
      <c r="S45" s="3415"/>
      <c r="T45" s="3415"/>
      <c r="U45" s="3415"/>
      <c r="V45" s="3415"/>
      <c r="W45" s="341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1724</v>
      </c>
      <c r="D52" s="2226" t="s">
        <v>2293</v>
      </c>
      <c r="E52" s="630" t="s">
        <v>562</v>
      </c>
      <c r="F52" s="1950" t="s">
        <v>563</v>
      </c>
      <c r="G52" s="3460" t="s">
        <v>2284</v>
      </c>
      <c r="H52" s="3461"/>
      <c r="I52" s="1951" t="s">
        <v>1947</v>
      </c>
      <c r="J52" s="1553" t="str">
        <f>项目基本情况!F41</f>
        <v>海南省</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30884</v>
      </c>
      <c r="F53" s="1949" t="e">
        <f t="shared" ref="F53:F62" si="15">ROUND(B53*E53/10000,0)</f>
        <v>#DIV/0!</v>
      </c>
      <c r="G53" s="3462"/>
      <c r="H53" s="3463"/>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v>
      </c>
      <c r="D54" s="2228">
        <v>0.25</v>
      </c>
      <c r="E54" s="638"/>
      <c r="F54" s="1949" t="e">
        <f t="shared" si="15"/>
        <v>#DIV/0!</v>
      </c>
      <c r="G54" s="3464"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v>
      </c>
      <c r="D55" s="2228">
        <v>0.25</v>
      </c>
      <c r="E55" s="638"/>
      <c r="F55" s="1949" t="e">
        <f t="shared" si="15"/>
        <v>#DIV/0!</v>
      </c>
      <c r="G55" s="3464"/>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v>
      </c>
      <c r="D56" s="2228">
        <v>0.25</v>
      </c>
      <c r="E56" s="638"/>
      <c r="F56" s="1949" t="e">
        <f t="shared" si="15"/>
        <v>#DIV/0!</v>
      </c>
      <c r="G56" s="3464"/>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v>
      </c>
      <c r="D57" s="2228">
        <v>0.25</v>
      </c>
      <c r="E57" s="638"/>
      <c r="F57" s="1949" t="e">
        <f t="shared" si="15"/>
        <v>#DIV/0!</v>
      </c>
      <c r="G57" s="3464"/>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2327</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v>
      </c>
      <c r="D60" s="2228">
        <v>0.25</v>
      </c>
      <c r="E60" s="640">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2294</v>
      </c>
      <c r="E63" s="642">
        <f>IF(B43="楼面地价",SUM(E53:E62),'数据-汇总表'!D3)</f>
        <v>51474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2532</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2647</v>
      </c>
      <c r="B68" s="478" t="str">
        <f>"北京市平均增长率"&amp;TEXT(基准地价!P24,"0.00%")</f>
        <v>北京市平均增长率1.35%</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2547</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2549</v>
      </c>
      <c r="C95" s="2621" t="s">
        <v>2550</v>
      </c>
      <c r="D95" s="2621" t="s">
        <v>2551</v>
      </c>
      <c r="E95" s="2621" t="s">
        <v>2552</v>
      </c>
      <c r="F95" s="2621" t="s">
        <v>2553</v>
      </c>
      <c r="G95" s="2621"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2424</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2" customWidth="1"/>
    <col min="2" max="2" width="19.125" style="1526" customWidth="1"/>
    <col min="3" max="4" width="12" style="1403"/>
    <col min="5" max="5" width="14.625" style="1403" customWidth="1"/>
    <col min="6" max="8" width="12" style="1403"/>
    <col min="9" max="9" width="12.1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2425</v>
      </c>
      <c r="D1" s="1519">
        <f>SUM(D29:D30,D33:D39)</f>
        <v>0</v>
      </c>
      <c r="E1" s="1404" t="s">
        <v>2426</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59" t="s">
        <v>2760</v>
      </c>
      <c r="S1" s="2959" t="s">
        <v>2761</v>
      </c>
      <c r="T1" s="2959" t="s">
        <v>2782</v>
      </c>
      <c r="U1" s="2959" t="s">
        <v>2783</v>
      </c>
      <c r="V1" s="2959" t="s">
        <v>2784</v>
      </c>
      <c r="W1" s="2188"/>
      <c r="X1" s="2188"/>
      <c r="Y1" s="2188"/>
      <c r="Z1" s="2188"/>
      <c r="AA1" s="2188"/>
      <c r="AB1" s="2188"/>
      <c r="AC1" s="2189"/>
    </row>
    <row r="2" spans="1:39" ht="15.75">
      <c r="A2" s="1404" t="s">
        <v>919</v>
      </c>
      <c r="B2" s="1036"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1687</v>
      </c>
      <c r="B3" s="1036" t="e">
        <f>ROUND(B2*10000/D1,0)</f>
        <v>#DIV/0!</v>
      </c>
      <c r="C3" s="1405" t="s">
        <v>926</v>
      </c>
      <c r="D3" s="1406" t="s">
        <v>927</v>
      </c>
      <c r="E3" s="1410"/>
      <c r="F3" s="1411" t="s">
        <v>2933</v>
      </c>
      <c r="G3" s="1037">
        <f>IF(F3="宗地容积率",'数据-汇总表'!I4,IF(F3="估价对象容积率",'数据-汇总表'!I6,'数据-汇总表'!I7))</f>
        <v>0.6</v>
      </c>
      <c r="H3" s="1412" t="s">
        <v>928</v>
      </c>
      <c r="I3" s="1038">
        <v>8</v>
      </c>
      <c r="J3" s="1408" t="s">
        <v>929</v>
      </c>
      <c r="K3" s="1399"/>
      <c r="L3" s="1884" t="s">
        <v>2240</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1823</v>
      </c>
      <c r="B5" s="1413" t="s">
        <v>930</v>
      </c>
      <c r="C5" s="1039" t="e">
        <f>ROUND(IF(E2="商业",IF(F16="增加",C6*C7+C16,C6*C7-C16),IF(E2="住宅",IF(F16="增加",C6*C12+C16,C6*C12-C16),IF(F16="增加",C6+C16,C6-C16))),0)</f>
        <v>#DIV/0!</v>
      </c>
      <c r="D5" s="3148">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1870</v>
      </c>
      <c r="B6" s="1420" t="s">
        <v>930</v>
      </c>
      <c r="C6" s="1040">
        <f>SUMIF(L1:L12,基准地价!G2,M1:M12)</f>
        <v>0</v>
      </c>
      <c r="D6" s="1421" t="s">
        <v>1695</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74" t="str">
        <f>IF(E2="商业",IF(C8="不临58条商业街","",2),"")</f>
        <v/>
      </c>
      <c r="B7" s="1425" t="s">
        <v>931</v>
      </c>
      <c r="C7" s="1041" t="e">
        <f>IF(C8="不临58条商业街",1,ROUND(1+(1.6*E8+1.2*E9+0.8*E10+0.4*E11)*C9,4))</f>
        <v>#DIV/0!</v>
      </c>
      <c r="D7" s="1426" t="s">
        <v>932</v>
      </c>
      <c r="E7" s="1042"/>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2763</v>
      </c>
      <c r="X7" s="2950">
        <f>G2</f>
        <v>0</v>
      </c>
      <c r="Y7" s="2950" t="s">
        <v>2764</v>
      </c>
      <c r="Z7" s="2951">
        <f>G3</f>
        <v>0.6</v>
      </c>
      <c r="AA7" s="2191"/>
      <c r="AB7" s="2191"/>
      <c r="AC7" s="2192"/>
      <c r="AD7" s="2952"/>
      <c r="AE7" s="2952"/>
      <c r="AF7" s="2952"/>
      <c r="AG7" s="2952"/>
      <c r="AH7" s="2952"/>
      <c r="AI7" s="2952"/>
      <c r="AJ7" s="2953"/>
    </row>
    <row r="8" spans="1:39" ht="15">
      <c r="A8" s="3475"/>
      <c r="B8" s="1412" t="s">
        <v>933</v>
      </c>
      <c r="C8" s="1527"/>
      <c r="D8" s="1043" t="s">
        <v>934</v>
      </c>
      <c r="E8" s="1044" t="e">
        <f>ROUND(C11/E7,4)</f>
        <v>#DIV/0!</v>
      </c>
      <c r="F8" s="1430" t="s">
        <v>935</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66" t="s">
        <v>2781</v>
      </c>
      <c r="X8" s="3467"/>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75"/>
      <c r="B9" s="1412" t="s">
        <v>936</v>
      </c>
      <c r="C9" s="1045">
        <f>SUMIF(修正!C59:C119,C8,修正!E59:E119)</f>
        <v>0</v>
      </c>
      <c r="D9" s="1046" t="s">
        <v>937</v>
      </c>
      <c r="E9" s="1046" t="e">
        <f>ROUND(C11/E7,4)</f>
        <v>#DIV/0!</v>
      </c>
      <c r="F9" s="1430" t="s">
        <v>938</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65" t="s">
        <v>2777</v>
      </c>
      <c r="X9" s="2954" t="s">
        <v>2778</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75"/>
      <c r="B10" s="1412" t="s">
        <v>939</v>
      </c>
      <c r="C10" s="1046">
        <f>SUMIF(修正!C59:C119,C8,修正!F59:F119)</f>
        <v>0</v>
      </c>
      <c r="D10" s="1046" t="s">
        <v>940</v>
      </c>
      <c r="E10" s="1046" t="e">
        <f>ROUND(C11/E7,4)</f>
        <v>#DIV/0!</v>
      </c>
      <c r="F10" s="1430" t="s">
        <v>941</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6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75"/>
      <c r="B11" s="1433" t="s">
        <v>942</v>
      </c>
      <c r="C11" s="1047">
        <f>C10/4</f>
        <v>0</v>
      </c>
      <c r="D11" s="1047" t="s">
        <v>943</v>
      </c>
      <c r="E11" s="1047" t="e">
        <f>ROUND(C11/E7,4)</f>
        <v>#DIV/0!</v>
      </c>
      <c r="F11" s="1434" t="s">
        <v>944</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65" t="s">
        <v>2779</v>
      </c>
      <c r="X11" s="1046" t="s">
        <v>2764</v>
      </c>
      <c r="Y11" s="1651">
        <f>$G$3</f>
        <v>0.6</v>
      </c>
      <c r="Z11" s="1651">
        <f t="shared" ref="Z11:AJ11" si="3">$G$3</f>
        <v>0.6</v>
      </c>
      <c r="AA11" s="1651">
        <f t="shared" si="3"/>
        <v>0.6</v>
      </c>
      <c r="AB11" s="1651">
        <f t="shared" si="3"/>
        <v>0.6</v>
      </c>
      <c r="AC11" s="1651">
        <f t="shared" si="3"/>
        <v>0.6</v>
      </c>
      <c r="AD11" s="1651">
        <f t="shared" si="3"/>
        <v>0.6</v>
      </c>
      <c r="AE11" s="1651">
        <f t="shared" si="3"/>
        <v>0.6</v>
      </c>
      <c r="AF11" s="1651">
        <f t="shared" si="3"/>
        <v>0.6</v>
      </c>
      <c r="AG11" s="1651">
        <f t="shared" si="3"/>
        <v>0.6</v>
      </c>
      <c r="AH11" s="1651">
        <f t="shared" si="3"/>
        <v>0.6</v>
      </c>
      <c r="AI11" s="1651">
        <f t="shared" si="3"/>
        <v>0.6</v>
      </c>
      <c r="AJ11" s="1651">
        <f t="shared" si="3"/>
        <v>0.6</v>
      </c>
    </row>
    <row r="12" spans="1:39" ht="25.5" thickBot="1">
      <c r="A12" s="3474" t="s">
        <v>1871</v>
      </c>
      <c r="B12" s="1437" t="s">
        <v>945</v>
      </c>
      <c r="C12" s="1041">
        <f>ROUND(C15*D15*E15*F15*G15*H15*I15*J15,4)</f>
        <v>1</v>
      </c>
      <c r="D12" s="1438" t="s">
        <v>946</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65"/>
      <c r="X12" s="2957" t="s">
        <v>2780</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76"/>
      <c r="B13" s="1442" t="s">
        <v>1696</v>
      </c>
      <c r="C13" s="1443" t="s">
        <v>1697</v>
      </c>
      <c r="D13" s="1087" t="s">
        <v>1698</v>
      </c>
      <c r="E13" s="1087" t="s">
        <v>1699</v>
      </c>
      <c r="F13" s="1444" t="s">
        <v>947</v>
      </c>
      <c r="G13" s="1445" t="s">
        <v>1642</v>
      </c>
      <c r="H13" s="1446" t="s">
        <v>1642</v>
      </c>
      <c r="I13" s="1447" t="s">
        <v>1642</v>
      </c>
      <c r="J13" s="1448" t="s">
        <v>1642</v>
      </c>
      <c r="K13" s="1399"/>
      <c r="L13" s="2188"/>
      <c r="M13" s="2188"/>
      <c r="N13" s="2188"/>
      <c r="O13" s="2188"/>
      <c r="P13" s="2188"/>
      <c r="Q13" s="2188"/>
      <c r="R13" s="2960">
        <v>12</v>
      </c>
      <c r="S13" s="2949"/>
      <c r="T13" s="2960" t="e">
        <f t="shared" si="0"/>
        <v>#DIV/0!</v>
      </c>
      <c r="U13" s="2949"/>
      <c r="V13" s="2960" t="e">
        <f t="shared" si="1"/>
        <v>#DIV/0!</v>
      </c>
      <c r="W13" s="3465"/>
      <c r="X13" s="2957"/>
      <c r="Y13" s="2956">
        <f>(-0.163*(Y12^2)-0.59*Y12+7617)*(10^(-4))/Y11</f>
        <v>1.2695000000000001</v>
      </c>
      <c r="Z13" s="2956">
        <f t="shared" ref="Z13:AJ13" si="5">(-0.163*(Z12^2)-0.59*Z12+7617)*(10^(-4))/Z11</f>
        <v>1.2695000000000001</v>
      </c>
      <c r="AA13" s="2956">
        <f t="shared" si="5"/>
        <v>1.2695000000000001</v>
      </c>
      <c r="AB13" s="2956">
        <f t="shared" si="5"/>
        <v>1.2695000000000001</v>
      </c>
      <c r="AC13" s="2956">
        <f t="shared" si="5"/>
        <v>1.2695000000000001</v>
      </c>
      <c r="AD13" s="2956">
        <f t="shared" si="5"/>
        <v>1.2695000000000001</v>
      </c>
      <c r="AE13" s="2956">
        <f t="shared" si="5"/>
        <v>1.2695000000000001</v>
      </c>
      <c r="AF13" s="2956">
        <f t="shared" si="5"/>
        <v>1.2695000000000001</v>
      </c>
      <c r="AG13" s="2956">
        <f t="shared" si="5"/>
        <v>1.2695000000000001</v>
      </c>
      <c r="AH13" s="2956">
        <f t="shared" si="5"/>
        <v>1.2695000000000001</v>
      </c>
      <c r="AI13" s="2956">
        <f t="shared" si="5"/>
        <v>1.2695000000000001</v>
      </c>
      <c r="AJ13" s="2956">
        <f t="shared" si="5"/>
        <v>1.2695000000000001</v>
      </c>
    </row>
    <row r="14" spans="1:39" ht="12.75" customHeight="1" thickBot="1">
      <c r="A14" s="3476"/>
      <c r="B14" s="1449"/>
      <c r="C14" s="1450"/>
      <c r="D14" s="1451"/>
      <c r="E14" s="1451"/>
      <c r="F14" s="1452"/>
      <c r="G14" s="1453" t="s">
        <v>948</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77"/>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897</v>
      </c>
      <c r="M15" s="1426" t="s">
        <v>983</v>
      </c>
      <c r="N15" s="1426" t="s">
        <v>984</v>
      </c>
      <c r="O15" s="1426" t="s">
        <v>901</v>
      </c>
      <c r="P15" s="1474" t="s">
        <v>985</v>
      </c>
      <c r="Q15" s="2188"/>
      <c r="R15" s="2960">
        <v>14</v>
      </c>
      <c r="S15" s="2949"/>
      <c r="T15" s="2960" t="e">
        <f t="shared" si="0"/>
        <v>#DIV/0!</v>
      </c>
      <c r="U15" s="2949"/>
      <c r="V15" s="2960" t="e">
        <f t="shared" si="1"/>
        <v>#DIV/0!</v>
      </c>
      <c r="W15" s="2188"/>
      <c r="X15" s="2188"/>
      <c r="Y15" s="2188"/>
      <c r="Z15" s="2188"/>
      <c r="AA15" s="2188"/>
      <c r="AB15" s="2188"/>
      <c r="AC15" s="2189"/>
    </row>
    <row r="16" spans="1:39" ht="24">
      <c r="A16" s="3474" t="s">
        <v>1838</v>
      </c>
      <c r="B16" s="1425" t="s">
        <v>949</v>
      </c>
      <c r="C16" s="1052" t="e">
        <f>ROUND(SUM(G17:J17)/C17,0)</f>
        <v>#DIV/0!</v>
      </c>
      <c r="D16" s="1458" t="s">
        <v>950</v>
      </c>
      <c r="E16" s="1459"/>
      <c r="F16" s="1460"/>
      <c r="G16" s="1461"/>
      <c r="H16" s="1461"/>
      <c r="I16" s="1461"/>
      <c r="J16" s="1461"/>
      <c r="K16" s="1399"/>
      <c r="L16" s="1462" t="s">
        <v>987</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75"/>
      <c r="B17" s="1463" t="s">
        <v>952</v>
      </c>
      <c r="C17" s="1053">
        <f>SUMPRODUCT((修正!A2:A5=E2)*(修正!B1:M1=G2)*(修正!B2:M5))</f>
        <v>0</v>
      </c>
      <c r="D17" s="1465" t="s">
        <v>953</v>
      </c>
      <c r="E17" s="1466" t="str">
        <f>IF(OR(G2="八级",G2="九级",G2="十级",G2="十一级",G2="十二级"),"五通一平","七通一平")</f>
        <v>七通一平</v>
      </c>
      <c r="F17" s="1464"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1829</v>
      </c>
      <c r="B18" s="2795" t="s">
        <v>955</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1835</v>
      </c>
      <c r="B19" s="1468" t="s">
        <v>956</v>
      </c>
      <c r="C19" s="1055" t="e">
        <f>ROUND(IF(H19="按公示增长率计算",SUMPRODUCT((地价!A3:A22=YEAR(G19)&amp;"-"&amp;ROUNDUP(MONTH(G19)/3,0))*(地价!X2:AB2=E2)*(地价!X3:AB22)),IF(H19="地价指数",M20/M19,(1+I19)^O19)),4)</f>
        <v>#DIV/0!</v>
      </c>
      <c r="D19" s="1472" t="s">
        <v>957</v>
      </c>
      <c r="E19" s="1056">
        <v>41640</v>
      </c>
      <c r="F19" s="1472" t="s">
        <v>958</v>
      </c>
      <c r="G19" s="1057">
        <f>'数据-取费表'!B2</f>
        <v>43224</v>
      </c>
      <c r="H19" s="1473" t="s">
        <v>2934</v>
      </c>
      <c r="I19" s="2807" t="str">
        <f>IF(H19="季度增幅（自定义）",SUMIF(N21:N24,E2,O21:O24),"")</f>
        <v/>
      </c>
      <c r="J19" s="1469"/>
      <c r="K19" s="1479"/>
      <c r="L19" s="3063" t="s">
        <v>2839</v>
      </c>
      <c r="M19" s="3064">
        <f>ROUND(SUMIF(地价!B2:F2,E2,地价!B22:F22),0)</f>
        <v>0</v>
      </c>
      <c r="N19" s="2809" t="s">
        <v>1676</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1836</v>
      </c>
      <c r="B20" s="2802" t="s">
        <v>971</v>
      </c>
      <c r="C20" s="2803" t="e">
        <f>ROUND(POWER(1+G20,J20-I20)*(POWER(1+G20,I20)-1)/(POWER(1+G20,J20)-1),4)</f>
        <v>#DIV/0!</v>
      </c>
      <c r="D20" s="2804" t="s">
        <v>972</v>
      </c>
      <c r="E20" s="3119">
        <f ca="1">存贷款利率!I4/100</f>
        <v>4.3499999999999997E-2</v>
      </c>
      <c r="F20" s="2804" t="s">
        <v>973</v>
      </c>
      <c r="G20" s="2805">
        <f>SUMIF(M15:P15,E2,M17:P17)</f>
        <v>0</v>
      </c>
      <c r="H20" s="2804" t="s">
        <v>974</v>
      </c>
      <c r="I20" s="2794" t="e">
        <f>SUMIF('数据-取费表'!C6:C15,E2,'数据-取费表'!F6:F15)/COUNTIF('数据-取费表'!C6:C15,E2)</f>
        <v>#DIV/0!</v>
      </c>
      <c r="J20" s="2806">
        <f>IF(E2="住宅",70,IF(E2="商业",40,50))</f>
        <v>50</v>
      </c>
      <c r="K20" s="1479"/>
      <c r="L20" s="3065" t="s">
        <v>2840</v>
      </c>
      <c r="M20" s="3066">
        <f>ROUND(SUMPRODUCT((地价!A4:A22=YEAR(G19)&amp;"-"&amp;ROUNDUP(MONTH(G19)/3,0))*(地价!B2:F2=E2)*(地价!B4:F22)),0)</f>
        <v>0</v>
      </c>
      <c r="N20" s="2812" t="s">
        <v>2644</v>
      </c>
      <c r="O20" s="2810" t="s">
        <v>2643</v>
      </c>
      <c r="P20" s="2811" t="s">
        <v>2648</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1837</v>
      </c>
      <c r="B21" s="1478" t="s">
        <v>2759</v>
      </c>
      <c r="C21" s="1156">
        <f>IF(B21="容积率修正",IF(G3&lt;=10,D22,J22),C23)</f>
        <v>0</v>
      </c>
      <c r="D21" s="1479"/>
      <c r="E21" s="1479"/>
      <c r="F21" s="1479"/>
      <c r="G21" s="1479"/>
      <c r="H21" s="1479"/>
      <c r="I21" s="1479"/>
      <c r="J21" s="1480"/>
      <c r="K21" s="1479"/>
      <c r="L21" s="1479"/>
      <c r="M21" s="1479"/>
      <c r="N21" s="1476" t="s">
        <v>975</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1870</v>
      </c>
      <c r="B22" s="1481" t="s">
        <v>976</v>
      </c>
      <c r="C22" s="1058" t="s">
        <v>1702</v>
      </c>
      <c r="D22" s="1058" t="b">
        <f>IF(E22=G22,F22,IF(G3&lt;=10,ROUND(F22+(H22-F22)*(G3-E22)/(G22-E22),4),"——"))</f>
        <v>0</v>
      </c>
      <c r="E22" s="1037">
        <f>ROUNDDOWN(G3,1)</f>
        <v>0.6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9"/>
      <c r="L22" s="1479"/>
      <c r="M22" s="1479"/>
      <c r="N22" s="1476" t="s">
        <v>978</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1871</v>
      </c>
      <c r="B23" s="1481" t="s">
        <v>979</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1872</v>
      </c>
      <c r="B24" s="1413" t="s">
        <v>980</v>
      </c>
      <c r="C24" s="1060">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4"/>
      <c r="M25" s="2194"/>
      <c r="N25" s="2820" t="s">
        <v>2646</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986</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988</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993</v>
      </c>
      <c r="C29" s="1061" t="e">
        <f>ROUND(C5*C18*C19*C20*C21*C24,0)</f>
        <v>#DIV/0!</v>
      </c>
      <c r="D29" s="1502"/>
      <c r="E29" s="1848" t="e">
        <f>ROUND(C29*D29/10000,0)</f>
        <v>#DIV/0!</v>
      </c>
      <c r="F29" s="1503" t="s">
        <v>1701</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994</v>
      </c>
      <c r="C30" s="1049" t="e">
        <f>ROUND(IF(E2="工业",C29*M39,C29*M38),0)</f>
        <v>#DIV/0!</v>
      </c>
      <c r="D30" s="1508"/>
      <c r="E30" s="1848" t="e">
        <f>ROUND(C30*D30/10000,0)</f>
        <v>#DIV/0!</v>
      </c>
      <c r="F30" s="1509" t="s">
        <v>995</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80" t="s">
        <v>2961</v>
      </c>
      <c r="B33" s="1522" t="s">
        <v>999</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81"/>
      <c r="B34" s="1443" t="s">
        <v>1000</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81"/>
      <c r="B35" s="1443" t="s">
        <v>1001</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82"/>
      <c r="B36" s="1443" t="s">
        <v>1002</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1703</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1705</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1704</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1006</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1007</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1008</v>
      </c>
      <c r="B46" s="2431" t="s">
        <v>1009</v>
      </c>
      <c r="C46" s="2453" t="s">
        <v>1010</v>
      </c>
      <c r="D46" s="2454" t="s">
        <v>1011</v>
      </c>
      <c r="E46" s="2455" t="s">
        <v>1013</v>
      </c>
      <c r="F46" s="2456" t="s">
        <v>2250</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1020</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1021</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1022</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1023</v>
      </c>
      <c r="B50" s="3121" t="s">
        <v>2936</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1024</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1025</v>
      </c>
      <c r="B52" s="3120" t="s">
        <v>2935</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1026</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1027</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1028</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1029</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1008</v>
      </c>
      <c r="B57" s="2431"/>
      <c r="C57" s="2453" t="s">
        <v>1010</v>
      </c>
      <c r="D57" s="2454" t="s">
        <v>1011</v>
      </c>
      <c r="E57" s="2455" t="s">
        <v>1013</v>
      </c>
      <c r="F57" s="2456" t="s">
        <v>2251</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1030</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1021</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1022</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1023</v>
      </c>
      <c r="B61" s="3121" t="s">
        <v>2937</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1024</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1025</v>
      </c>
      <c r="B63" s="3120" t="s">
        <v>2935</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1026</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1027</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1028</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1031</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1008</v>
      </c>
      <c r="B68" s="2431"/>
      <c r="C68" s="2453" t="s">
        <v>1010</v>
      </c>
      <c r="D68" s="2454" t="s">
        <v>1011</v>
      </c>
      <c r="E68" s="2455" t="s">
        <v>1013</v>
      </c>
      <c r="F68" s="2456" t="s">
        <v>2252</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1032</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1033</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1022</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1034</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1026</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1027</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1025</v>
      </c>
      <c r="B75" s="3120" t="s">
        <v>2935</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1028</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1035</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1036</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1008</v>
      </c>
      <c r="B79" s="2431"/>
      <c r="C79" s="2453" t="s">
        <v>1010</v>
      </c>
      <c r="D79" s="2454" t="s">
        <v>1011</v>
      </c>
      <c r="E79" s="2455" t="s">
        <v>1013</v>
      </c>
      <c r="F79" s="2456" t="s">
        <v>2253</v>
      </c>
      <c r="G79" s="2454" t="s">
        <v>1014</v>
      </c>
      <c r="H79" s="2437" t="s">
        <v>2417</v>
      </c>
      <c r="I79" s="2454" t="s">
        <v>1012</v>
      </c>
      <c r="J79" s="2457" t="s">
        <v>1015</v>
      </c>
      <c r="K79" s="2457" t="s">
        <v>1016</v>
      </c>
      <c r="L79" s="2457" t="s">
        <v>1017</v>
      </c>
      <c r="M79" s="2457" t="s">
        <v>1018</v>
      </c>
      <c r="N79" s="2457" t="s">
        <v>1019</v>
      </c>
      <c r="AC79" s="1403"/>
      <c r="AD79" s="1402"/>
      <c r="AJ79" s="1401"/>
      <c r="AN79" s="1402"/>
    </row>
    <row r="80" spans="1:40" ht="36">
      <c r="A80" s="1065" t="s">
        <v>1037</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1033</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1022</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1034</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1026</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1027</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1025</v>
      </c>
      <c r="B86" s="3120" t="s">
        <v>2935</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1038</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78" t="s">
        <v>1633</v>
      </c>
      <c r="B90" s="3478"/>
      <c r="C90" s="3478"/>
      <c r="D90" s="3478"/>
      <c r="E90" s="3478"/>
      <c r="F90" s="3478"/>
      <c r="G90" s="3478"/>
      <c r="H90" s="3478"/>
      <c r="I90" s="3478"/>
      <c r="J90" s="3478"/>
      <c r="K90" s="2473"/>
      <c r="L90" s="2473"/>
      <c r="M90" s="2473"/>
      <c r="N90" s="2473"/>
    </row>
    <row r="91" spans="1:40">
      <c r="A91" s="3479" t="s">
        <v>1443</v>
      </c>
      <c r="B91" s="3479" t="s">
        <v>1634</v>
      </c>
      <c r="C91" s="1138" t="s">
        <v>1635</v>
      </c>
      <c r="D91" s="1139"/>
      <c r="E91" s="1139"/>
      <c r="F91" s="1139"/>
      <c r="G91" s="1139"/>
      <c r="H91" s="1139"/>
      <c r="I91" s="1139"/>
      <c r="J91" s="1140"/>
      <c r="K91" s="1132"/>
      <c r="L91" s="1132"/>
      <c r="M91" s="1132"/>
      <c r="N91" s="1132"/>
    </row>
    <row r="92" spans="1:40">
      <c r="A92" s="3479"/>
      <c r="B92" s="3479"/>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68" t="s">
        <v>2762</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7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8" t="s">
        <v>1637</v>
      </c>
      <c r="B101" s="1145" t="s">
        <v>905</v>
      </c>
      <c r="C101" s="1146">
        <f>$G$3</f>
        <v>0.6</v>
      </c>
      <c r="D101" s="1146">
        <f t="shared" ref="D101:N101" si="31">$G$3</f>
        <v>0.6</v>
      </c>
      <c r="E101" s="1146">
        <f t="shared" si="31"/>
        <v>0.6</v>
      </c>
      <c r="F101" s="1146">
        <f t="shared" si="31"/>
        <v>0.6</v>
      </c>
      <c r="G101" s="1146">
        <f t="shared" si="31"/>
        <v>0.6</v>
      </c>
      <c r="H101" s="1146">
        <f t="shared" si="31"/>
        <v>0.6</v>
      </c>
      <c r="I101" s="1146">
        <f t="shared" si="31"/>
        <v>0.6</v>
      </c>
      <c r="J101" s="1146">
        <f t="shared" si="31"/>
        <v>0.6</v>
      </c>
      <c r="K101" s="1146">
        <f t="shared" si="31"/>
        <v>0.6</v>
      </c>
      <c r="L101" s="1146">
        <f t="shared" si="31"/>
        <v>0.6</v>
      </c>
      <c r="M101" s="1146">
        <f t="shared" si="31"/>
        <v>0.6</v>
      </c>
      <c r="N101" s="1146">
        <f t="shared" si="31"/>
        <v>0.6</v>
      </c>
    </row>
    <row r="102" spans="1:14">
      <c r="A102" s="3469"/>
      <c r="B102" s="1141">
        <v>1</v>
      </c>
      <c r="C102" s="1142">
        <f>1.9362/C101</f>
        <v>3.2269999999999999</v>
      </c>
      <c r="D102" s="1142">
        <f>1.9362/D101</f>
        <v>3.2269999999999999</v>
      </c>
      <c r="E102" s="1142">
        <f>1.8629/E101</f>
        <v>3.1048333333333336</v>
      </c>
      <c r="F102" s="1142">
        <f>1.8629/F101</f>
        <v>3.1048333333333336</v>
      </c>
      <c r="G102" s="1142">
        <f>1.8629/G101</f>
        <v>3.1048333333333336</v>
      </c>
      <c r="H102" s="1142">
        <f>1.8629/H101</f>
        <v>3.1048333333333336</v>
      </c>
      <c r="I102" s="1142">
        <f>1.8629/I101</f>
        <v>3.1048333333333336</v>
      </c>
      <c r="J102" s="1142">
        <f>1.942/J101</f>
        <v>3.2366666666666668</v>
      </c>
      <c r="K102" s="1142">
        <f>1.942/K101</f>
        <v>3.2366666666666668</v>
      </c>
      <c r="L102" s="1142">
        <f>1.942/L101</f>
        <v>3.2366666666666668</v>
      </c>
      <c r="M102" s="1142">
        <f>1.942/M101</f>
        <v>3.2366666666666668</v>
      </c>
      <c r="N102" s="1142">
        <f>1.942/N101</f>
        <v>3.2366666666666668</v>
      </c>
    </row>
    <row r="103" spans="1:14">
      <c r="A103" s="3469"/>
      <c r="B103" s="1141">
        <v>2</v>
      </c>
      <c r="C103" s="1142">
        <f>1.4198/C101</f>
        <v>2.3663333333333334</v>
      </c>
      <c r="D103" s="1142">
        <f>1.4198/D101</f>
        <v>2.3663333333333334</v>
      </c>
      <c r="E103" s="1142">
        <f>1.3372/E101</f>
        <v>2.2286666666666668</v>
      </c>
      <c r="F103" s="1142">
        <f>1.3372/F101</f>
        <v>2.2286666666666668</v>
      </c>
      <c r="G103" s="1142">
        <f>1.3372/G101</f>
        <v>2.2286666666666668</v>
      </c>
      <c r="H103" s="1142">
        <f>1.3372/H101</f>
        <v>2.2286666666666668</v>
      </c>
      <c r="I103" s="1142">
        <f>1.3372/I101</f>
        <v>2.2286666666666668</v>
      </c>
      <c r="J103" s="1142">
        <f>1.2799/J101</f>
        <v>2.1331666666666669</v>
      </c>
      <c r="K103" s="1142">
        <f>1.2799/K101</f>
        <v>2.1331666666666669</v>
      </c>
      <c r="L103" s="1142">
        <f>1.2799/L101</f>
        <v>2.1331666666666669</v>
      </c>
      <c r="M103" s="1142">
        <f>1.2799/M101</f>
        <v>2.1331666666666669</v>
      </c>
      <c r="N103" s="1142">
        <f>1.2799/N101</f>
        <v>2.1331666666666669</v>
      </c>
    </row>
    <row r="104" spans="1:14">
      <c r="A104" s="3469"/>
      <c r="B104" s="1141">
        <v>3</v>
      </c>
      <c r="C104" s="1142">
        <f>1.1594/C101</f>
        <v>1.9323333333333335</v>
      </c>
      <c r="D104" s="1142">
        <f>1.1594/D101</f>
        <v>1.9323333333333335</v>
      </c>
      <c r="E104" s="1142">
        <f>1.0788/E101</f>
        <v>1.798</v>
      </c>
      <c r="F104" s="1142">
        <f>1.0788/F101</f>
        <v>1.798</v>
      </c>
      <c r="G104" s="1142">
        <f>1.0788/G101</f>
        <v>1.798</v>
      </c>
      <c r="H104" s="1142">
        <f>1.0788/H101</f>
        <v>1.798</v>
      </c>
      <c r="I104" s="1142">
        <f>1.0788/I101</f>
        <v>1.798</v>
      </c>
      <c r="J104" s="1142">
        <f>1.0072/J101</f>
        <v>1.678666666666667</v>
      </c>
      <c r="K104" s="1142">
        <f>1.0072/K101</f>
        <v>1.678666666666667</v>
      </c>
      <c r="L104" s="1142">
        <f>1.0072/L101</f>
        <v>1.678666666666667</v>
      </c>
      <c r="M104" s="1142">
        <f>1.0072/M101</f>
        <v>1.678666666666667</v>
      </c>
      <c r="N104" s="1142">
        <f>1.0072/N101</f>
        <v>1.678666666666667</v>
      </c>
    </row>
    <row r="105" spans="1:14">
      <c r="A105" s="3469"/>
      <c r="B105" s="1141">
        <v>4</v>
      </c>
      <c r="C105" s="1142">
        <f>0.9622/C101</f>
        <v>1.6036666666666668</v>
      </c>
      <c r="D105" s="1142">
        <f>0.9622/D101</f>
        <v>1.6036666666666668</v>
      </c>
      <c r="E105" s="1142">
        <f>0.8656/E101</f>
        <v>1.4426666666666668</v>
      </c>
      <c r="F105" s="1142">
        <f>0.8656/F101</f>
        <v>1.4426666666666668</v>
      </c>
      <c r="G105" s="1142">
        <f>0.8656/G101</f>
        <v>1.4426666666666668</v>
      </c>
      <c r="H105" s="1142">
        <f>0.8656/H101</f>
        <v>1.4426666666666668</v>
      </c>
      <c r="I105" s="1142">
        <f>0.8656/I101</f>
        <v>1.4426666666666668</v>
      </c>
      <c r="J105" s="1142">
        <f>0.7525/J101</f>
        <v>1.2541666666666667</v>
      </c>
      <c r="K105" s="1142">
        <f>0.7525/K101</f>
        <v>1.2541666666666667</v>
      </c>
      <c r="L105" s="1142">
        <f>0.7525/L101</f>
        <v>1.2541666666666667</v>
      </c>
      <c r="M105" s="1142">
        <f>0.7525/M101</f>
        <v>1.2541666666666667</v>
      </c>
      <c r="N105" s="1142">
        <f>0.7525/N101</f>
        <v>1.2541666666666667</v>
      </c>
    </row>
    <row r="106" spans="1:14">
      <c r="A106" s="3469"/>
      <c r="B106" s="1141">
        <v>5</v>
      </c>
      <c r="C106" s="1142">
        <f>0.8417/C101</f>
        <v>1.4028333333333334</v>
      </c>
      <c r="D106" s="1142">
        <f>0.8417/D101</f>
        <v>1.4028333333333334</v>
      </c>
      <c r="E106" s="1142">
        <f>0.7371/E101</f>
        <v>1.2284999999999999</v>
      </c>
      <c r="F106" s="1142">
        <f>0.7371/F101</f>
        <v>1.2284999999999999</v>
      </c>
      <c r="G106" s="1142">
        <f>0.7371/G101</f>
        <v>1.2284999999999999</v>
      </c>
      <c r="H106" s="1142">
        <f>0.7371/H101</f>
        <v>1.2284999999999999</v>
      </c>
      <c r="I106" s="1142">
        <f>0.7371/I101</f>
        <v>1.2284999999999999</v>
      </c>
      <c r="J106" s="1142">
        <f>0.5659/J101</f>
        <v>0.9431666666666666</v>
      </c>
      <c r="K106" s="1142">
        <f>0.5659/K101</f>
        <v>0.9431666666666666</v>
      </c>
      <c r="L106" s="1142">
        <f>0.5659/L101</f>
        <v>0.9431666666666666</v>
      </c>
      <c r="M106" s="1142">
        <f>0.5659/M101</f>
        <v>0.9431666666666666</v>
      </c>
      <c r="N106" s="1142">
        <f>0.5659/N101</f>
        <v>0.9431666666666666</v>
      </c>
    </row>
    <row r="107" spans="1:14">
      <c r="A107" s="3469"/>
      <c r="B107" s="1141">
        <v>6</v>
      </c>
      <c r="C107" s="1142">
        <f>0.7608/C101</f>
        <v>1.268</v>
      </c>
      <c r="D107" s="1142">
        <f>0.7608/D101</f>
        <v>1.268</v>
      </c>
      <c r="E107" s="1142">
        <f>0.6482/E101</f>
        <v>1.0803333333333334</v>
      </c>
      <c r="F107" s="1142">
        <f>0.6482/F101</f>
        <v>1.0803333333333334</v>
      </c>
      <c r="G107" s="1142">
        <f>0.6482/G101</f>
        <v>1.0803333333333334</v>
      </c>
      <c r="H107" s="1142">
        <f>0.6482/H101</f>
        <v>1.0803333333333334</v>
      </c>
      <c r="I107" s="1142">
        <f>0.6482/I101</f>
        <v>1.0803333333333334</v>
      </c>
      <c r="J107" s="1142">
        <f>0.4525/J101</f>
        <v>0.75416666666666676</v>
      </c>
      <c r="K107" s="1142">
        <f>0.4525/K101</f>
        <v>0.75416666666666676</v>
      </c>
      <c r="L107" s="1142">
        <f>0.4525/L101</f>
        <v>0.75416666666666676</v>
      </c>
      <c r="M107" s="1142">
        <f>0.4525/M101</f>
        <v>0.75416666666666676</v>
      </c>
      <c r="N107" s="1142">
        <f>0.4525/N101</f>
        <v>0.75416666666666676</v>
      </c>
    </row>
    <row r="108" spans="1:14">
      <c r="A108" s="3469"/>
      <c r="B108" s="347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70"/>
      <c r="B109" s="3472"/>
      <c r="C109" s="1144">
        <f>(-0.163*(C108^2)-0.59*C108+7617)*(10^(-4))/C101</f>
        <v>1.2669746666666668</v>
      </c>
      <c r="D109" s="1144">
        <f>(-0.163*(D108^2)-0.59*D108+7617)*(10^(-4))/D101</f>
        <v>1.2669746666666668</v>
      </c>
      <c r="E109" s="1144">
        <f>(-0.161*(E108^2)-7.509*E108+6533)*(10^(-4))/E101</f>
        <v>1.0771040000000001</v>
      </c>
      <c r="F109" s="1144">
        <f>(-0.161*(F108^2)-7.509*F108+6533)*(10^(-4))/F101</f>
        <v>1.0771040000000001</v>
      </c>
      <c r="G109" s="1144">
        <f>(-0.161*(G108^2)-7.509*G108+6533)*(10^(-4))/G101</f>
        <v>1.0771040000000001</v>
      </c>
      <c r="H109" s="1144">
        <f>(-0.161*(H108^2)-7.509*H108+6533)*(10^(-4))/H101</f>
        <v>1.0771040000000001</v>
      </c>
      <c r="I109" s="1144">
        <f>(-0.161*(I108^2)-7.509*I108+6533)*(10^(-4))/I101</f>
        <v>1.0771040000000001</v>
      </c>
      <c r="J109" s="1144">
        <f>(-0.214*(J108^2)-21.991*J108+4665)*(10^(-4))/J101</f>
        <v>0.74589600000000011</v>
      </c>
      <c r="K109" s="1144">
        <f>(-0.214*(K108^2)-21.991*K108+4665)*(10^(-4))/K101</f>
        <v>0.74589600000000011</v>
      </c>
      <c r="L109" s="1144">
        <f>(-0.214*(L108^2)-21.991*L108+4665)*(10^(-4))/L101</f>
        <v>0.74589600000000011</v>
      </c>
      <c r="M109" s="1144">
        <f>(-0.214*(M108^2)-21.991*M108+4665)*(10^(-4))/M101</f>
        <v>0.74589600000000011</v>
      </c>
      <c r="N109" s="1144">
        <f>(-0.214*(N108^2)-21.991*N108+4665)*(10^(-4))/N101</f>
        <v>0.74589600000000011</v>
      </c>
    </row>
    <row r="110" spans="1:14">
      <c r="A110" s="3473" t="s">
        <v>1639</v>
      </c>
      <c r="B110" s="3473"/>
      <c r="C110" s="3473"/>
      <c r="D110" s="3473"/>
      <c r="E110" s="3473"/>
      <c r="F110" s="3473"/>
      <c r="G110" s="3473"/>
      <c r="H110" s="3473"/>
      <c r="I110" s="3473"/>
      <c r="J110" s="3473"/>
      <c r="K110" s="2471"/>
      <c r="L110" s="2471"/>
      <c r="M110" s="2471"/>
      <c r="N110" s="2471"/>
    </row>
    <row r="112" spans="1:14" ht="12.75" thickBot="1"/>
    <row r="113" spans="1:13" ht="25.5" thickBot="1">
      <c r="A113" s="1014" t="s">
        <v>895</v>
      </c>
      <c r="B113" s="2474">
        <f>G3</f>
        <v>0.6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0.92789999999999995</v>
      </c>
      <c r="C115" s="1028">
        <f>B115</f>
        <v>0.92789999999999995</v>
      </c>
      <c r="D115" s="1028">
        <f>ROUND(0.8331-0.0109*B113,4)</f>
        <v>0.8266</v>
      </c>
      <c r="E115" s="1028">
        <f>D115</f>
        <v>0.8266</v>
      </c>
      <c r="F115" s="1028">
        <f>E115</f>
        <v>0.8266</v>
      </c>
      <c r="G115" s="1028">
        <f>F115</f>
        <v>0.8266</v>
      </c>
      <c r="H115" s="1028">
        <f>G115</f>
        <v>0.8266</v>
      </c>
      <c r="I115" s="1028">
        <f>ROUND(0.689-0.0155*B113,4)</f>
        <v>0.67969999999999997</v>
      </c>
      <c r="J115" s="1028">
        <f t="shared" ref="J115:M118" si="33">I115</f>
        <v>0.67969999999999997</v>
      </c>
      <c r="K115" s="1028">
        <f t="shared" si="33"/>
        <v>0.67969999999999997</v>
      </c>
      <c r="L115" s="1028">
        <f t="shared" si="33"/>
        <v>0.67969999999999997</v>
      </c>
      <c r="M115" s="1029">
        <f t="shared" si="33"/>
        <v>0.67969999999999997</v>
      </c>
    </row>
    <row r="116" spans="1:13" ht="12.75">
      <c r="A116" s="1027" t="s">
        <v>900</v>
      </c>
      <c r="B116" s="1028">
        <f>ROUND(0.949-0.012*B113,4)</f>
        <v>0.94179999999999997</v>
      </c>
      <c r="C116" s="1028">
        <f>B116</f>
        <v>0.94179999999999997</v>
      </c>
      <c r="D116" s="1028">
        <f>ROUND(0.8567-0.013*B113,4)</f>
        <v>0.84889999999999999</v>
      </c>
      <c r="E116" s="1028">
        <f t="shared" ref="E116:H117" si="34">D116</f>
        <v>0.84889999999999999</v>
      </c>
      <c r="F116" s="1028">
        <f t="shared" si="34"/>
        <v>0.84889999999999999</v>
      </c>
      <c r="G116" s="1028">
        <f t="shared" si="34"/>
        <v>0.84889999999999999</v>
      </c>
      <c r="H116" s="1028">
        <f t="shared" si="34"/>
        <v>0.84889999999999999</v>
      </c>
      <c r="I116" s="1028">
        <f>ROUND(0.7694-0.014*B113,4)</f>
        <v>0.76100000000000001</v>
      </c>
      <c r="J116" s="1028">
        <f t="shared" si="33"/>
        <v>0.76100000000000001</v>
      </c>
      <c r="K116" s="1028">
        <f t="shared" si="33"/>
        <v>0.76100000000000001</v>
      </c>
      <c r="L116" s="1028">
        <f t="shared" si="33"/>
        <v>0.76100000000000001</v>
      </c>
      <c r="M116" s="1029">
        <f t="shared" si="33"/>
        <v>0.76100000000000001</v>
      </c>
    </row>
    <row r="117" spans="1:13" ht="12.75">
      <c r="A117" s="1030" t="s">
        <v>901</v>
      </c>
      <c r="B117" s="1028">
        <f>ROUND(0.8808-0.006*B113,4)</f>
        <v>0.87719999999999998</v>
      </c>
      <c r="C117" s="1028">
        <f>B117</f>
        <v>0.87719999999999998</v>
      </c>
      <c r="D117" s="1028">
        <f>ROUND(0.8748-0.008*B113,4)</f>
        <v>0.87</v>
      </c>
      <c r="E117" s="1028">
        <f t="shared" si="34"/>
        <v>0.87</v>
      </c>
      <c r="F117" s="1028">
        <f t="shared" si="34"/>
        <v>0.87</v>
      </c>
      <c r="G117" s="1028">
        <f t="shared" si="34"/>
        <v>0.87</v>
      </c>
      <c r="H117" s="1028">
        <f t="shared" si="34"/>
        <v>0.87</v>
      </c>
      <c r="I117" s="1028">
        <f>ROUND(0.7412-0.0095*B113,4)</f>
        <v>0.73550000000000004</v>
      </c>
      <c r="J117" s="1028">
        <f t="shared" si="33"/>
        <v>0.73550000000000004</v>
      </c>
      <c r="K117" s="1028">
        <f t="shared" si="33"/>
        <v>0.73550000000000004</v>
      </c>
      <c r="L117" s="1028">
        <f t="shared" si="33"/>
        <v>0.73550000000000004</v>
      </c>
      <c r="M117" s="1029">
        <f t="shared" si="33"/>
        <v>0.73550000000000004</v>
      </c>
    </row>
    <row r="118" spans="1:13" ht="13.5" thickBot="1">
      <c r="A118" s="1031" t="s">
        <v>902</v>
      </c>
      <c r="B118" s="1032">
        <f>ROUND(0.7275-0.01*B113,4)</f>
        <v>0.72150000000000003</v>
      </c>
      <c r="C118" s="1032">
        <f>B118</f>
        <v>0.72150000000000003</v>
      </c>
      <c r="D118" s="1032">
        <f>ROUND(0.7043-0.012*B113,4)</f>
        <v>0.69710000000000005</v>
      </c>
      <c r="E118" s="1032">
        <f>D118</f>
        <v>0.69710000000000005</v>
      </c>
      <c r="F118" s="1032">
        <f>E118</f>
        <v>0.69710000000000005</v>
      </c>
      <c r="G118" s="1032">
        <f>ROUND(0.6299-0.0122*B113,4)</f>
        <v>0.62260000000000004</v>
      </c>
      <c r="H118" s="1032">
        <f>G118</f>
        <v>0.62260000000000004</v>
      </c>
      <c r="I118" s="1032">
        <f>ROUND(0.5667-0.0136*B113,4)</f>
        <v>0.5585</v>
      </c>
      <c r="J118" s="1032">
        <f t="shared" si="33"/>
        <v>0.5585</v>
      </c>
      <c r="K118" s="1032">
        <f t="shared" si="33"/>
        <v>0.5585</v>
      </c>
      <c r="L118" s="1032">
        <f t="shared" si="33"/>
        <v>0.5585</v>
      </c>
      <c r="M118" s="1033">
        <f t="shared" si="33"/>
        <v>0.5585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4" customWidth="1"/>
    <col min="2" max="9" width="8.125" style="1103" customWidth="1"/>
    <col min="10" max="13" width="8.125" style="1064"/>
    <col min="14" max="14" width="10" style="1064" customWidth="1"/>
    <col min="15" max="16" width="8.125" style="1064"/>
    <col min="17" max="17" width="34.125" style="1064" customWidth="1"/>
    <col min="18" max="18" width="8.125" style="1064" customWidth="1"/>
    <col min="19" max="19" width="8.125" style="1064"/>
    <col min="20" max="20" width="11.625" style="1064" customWidth="1"/>
    <col min="21" max="16384" width="8.1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7" customFormat="1" ht="19.5" customHeight="1">
      <c r="A18" s="3479" t="s">
        <v>1007</v>
      </c>
      <c r="B18" s="1152" t="s">
        <v>1446</v>
      </c>
      <c r="C18" s="1129" t="s">
        <v>1447</v>
      </c>
      <c r="D18" s="1130"/>
      <c r="E18" s="1152">
        <v>1</v>
      </c>
      <c r="F18" s="1131" t="s">
        <v>1448</v>
      </c>
      <c r="G18" s="1132"/>
      <c r="H18" s="1103"/>
      <c r="I18" s="1103"/>
    </row>
    <row r="19" spans="1:9" s="1597" customFormat="1" ht="19.5" customHeight="1">
      <c r="A19" s="3479"/>
      <c r="B19" s="3479" t="s">
        <v>1449</v>
      </c>
      <c r="C19" s="1129" t="s">
        <v>1450</v>
      </c>
      <c r="D19" s="1130"/>
      <c r="E19" s="1152">
        <v>0.9</v>
      </c>
      <c r="F19" s="1131" t="s">
        <v>1451</v>
      </c>
      <c r="G19" s="1132"/>
      <c r="H19" s="1103"/>
      <c r="I19" s="1103"/>
    </row>
    <row r="20" spans="1:9" s="1597" customFormat="1" ht="19.5" customHeight="1">
      <c r="A20" s="3479"/>
      <c r="B20" s="3479"/>
      <c r="C20" s="1129" t="s">
        <v>1452</v>
      </c>
      <c r="D20" s="1130"/>
      <c r="E20" s="1152">
        <v>1.1000000000000001</v>
      </c>
      <c r="F20" s="1131" t="s">
        <v>1453</v>
      </c>
      <c r="G20" s="1132"/>
      <c r="H20" s="1103"/>
      <c r="I20" s="1103"/>
    </row>
    <row r="21" spans="1:9" s="1597" customFormat="1" ht="19.5" customHeight="1">
      <c r="A21" s="3479"/>
      <c r="B21" s="3479"/>
      <c r="C21" s="1129" t="s">
        <v>1454</v>
      </c>
      <c r="D21" s="1130"/>
      <c r="E21" s="1152">
        <v>0.8</v>
      </c>
      <c r="F21" s="1131" t="s">
        <v>1455</v>
      </c>
      <c r="G21" s="1132"/>
      <c r="H21" s="1103"/>
      <c r="I21" s="1103"/>
    </row>
    <row r="22" spans="1:9" s="1597" customFormat="1" ht="19.5" customHeight="1">
      <c r="A22" s="3479"/>
      <c r="B22" s="3479"/>
      <c r="C22" s="1129" t="s">
        <v>1456</v>
      </c>
      <c r="D22" s="1130"/>
      <c r="E22" s="1152">
        <v>0.5</v>
      </c>
      <c r="F22" s="1131"/>
      <c r="G22" s="1132"/>
      <c r="H22" s="1103"/>
      <c r="I22" s="1103"/>
    </row>
    <row r="23" spans="1:9" s="1597" customFormat="1" ht="19.5" customHeight="1">
      <c r="A23" s="3479" t="s">
        <v>1029</v>
      </c>
      <c r="B23" s="1152" t="s">
        <v>1446</v>
      </c>
      <c r="C23" s="1129" t="s">
        <v>1457</v>
      </c>
      <c r="D23" s="1130"/>
      <c r="E23" s="1152">
        <v>1</v>
      </c>
      <c r="F23" s="1131" t="s">
        <v>1458</v>
      </c>
      <c r="G23" s="1132"/>
      <c r="H23" s="1103"/>
      <c r="I23" s="1103"/>
    </row>
    <row r="24" spans="1:9" s="1597" customFormat="1" ht="19.5" customHeight="1">
      <c r="A24" s="3479"/>
      <c r="B24" s="3479" t="s">
        <v>1449</v>
      </c>
      <c r="C24" s="1129" t="s">
        <v>1459</v>
      </c>
      <c r="D24" s="1130"/>
      <c r="E24" s="1152">
        <v>0.5</v>
      </c>
      <c r="F24" s="1131"/>
      <c r="G24" s="1132"/>
      <c r="H24" s="1103"/>
      <c r="I24" s="1103"/>
    </row>
    <row r="25" spans="1:9" s="1597" customFormat="1" ht="19.5" customHeight="1">
      <c r="A25" s="3479"/>
      <c r="B25" s="3479"/>
      <c r="C25" s="1129" t="s">
        <v>1460</v>
      </c>
      <c r="D25" s="1130"/>
      <c r="E25" s="1152">
        <v>1.1000000000000001</v>
      </c>
      <c r="F25" s="1131"/>
      <c r="G25" s="1132"/>
      <c r="H25" s="1103"/>
      <c r="I25" s="1103"/>
    </row>
    <row r="26" spans="1:9" s="1597" customFormat="1" ht="19.5" customHeight="1">
      <c r="A26" s="3479"/>
      <c r="B26" s="3479"/>
      <c r="C26" s="1129" t="s">
        <v>1461</v>
      </c>
      <c r="D26" s="1130"/>
      <c r="E26" s="1152">
        <v>1.1000000000000001</v>
      </c>
      <c r="F26" s="1131"/>
      <c r="G26" s="1132"/>
      <c r="H26" s="1103"/>
      <c r="I26" s="1103"/>
    </row>
    <row r="27" spans="1:9" s="1597" customFormat="1" ht="19.5" customHeight="1">
      <c r="A27" s="3479"/>
      <c r="B27" s="3479"/>
      <c r="C27" s="1129" t="s">
        <v>1462</v>
      </c>
      <c r="D27" s="1130"/>
      <c r="E27" s="1152">
        <v>0.9</v>
      </c>
      <c r="F27" s="1131" t="s">
        <v>1463</v>
      </c>
      <c r="G27" s="1132"/>
      <c r="H27" s="1103"/>
      <c r="I27" s="1103"/>
    </row>
    <row r="28" spans="1:9" s="1597" customFormat="1" ht="19.5" customHeight="1">
      <c r="A28" s="3479"/>
      <c r="B28" s="3479"/>
      <c r="C28" s="1129" t="s">
        <v>1464</v>
      </c>
      <c r="D28" s="1130"/>
      <c r="E28" s="1152">
        <v>0.9</v>
      </c>
      <c r="F28" s="1131" t="s">
        <v>1465</v>
      </c>
      <c r="G28" s="1132"/>
      <c r="H28" s="1103"/>
      <c r="I28" s="1103"/>
    </row>
    <row r="29" spans="1:9" s="1597" customFormat="1" ht="19.5" customHeight="1">
      <c r="A29" s="3479"/>
      <c r="B29" s="3479"/>
      <c r="C29" s="1129" t="s">
        <v>1466</v>
      </c>
      <c r="D29" s="1130"/>
      <c r="E29" s="1152">
        <v>0.9</v>
      </c>
      <c r="F29" s="1131" t="s">
        <v>1467</v>
      </c>
      <c r="G29" s="1132"/>
      <c r="H29" s="1103"/>
      <c r="I29" s="1103"/>
    </row>
    <row r="30" spans="1:9" s="1597" customFormat="1" ht="19.5" customHeight="1">
      <c r="A30" s="3479"/>
      <c r="B30" s="3479"/>
      <c r="C30" s="1129" t="s">
        <v>1468</v>
      </c>
      <c r="D30" s="1130"/>
      <c r="E30" s="1152">
        <v>0.9</v>
      </c>
      <c r="F30" s="1131" t="s">
        <v>1469</v>
      </c>
      <c r="G30" s="1132"/>
      <c r="H30" s="1103"/>
      <c r="I30" s="1103"/>
    </row>
    <row r="31" spans="1:9" s="1597" customFormat="1" ht="19.5" customHeight="1">
      <c r="A31" s="3479"/>
      <c r="B31" s="3479"/>
      <c r="C31" s="1129" t="s">
        <v>1470</v>
      </c>
      <c r="D31" s="1130"/>
      <c r="E31" s="1152">
        <v>0.8</v>
      </c>
      <c r="F31" s="1131" t="s">
        <v>1471</v>
      </c>
      <c r="G31" s="1132"/>
      <c r="H31" s="1103"/>
      <c r="I31" s="1103"/>
    </row>
    <row r="32" spans="1:9" s="1597" customFormat="1" ht="19.5" customHeight="1">
      <c r="A32" s="3479"/>
      <c r="B32" s="3479"/>
      <c r="C32" s="1129" t="s">
        <v>1472</v>
      </c>
      <c r="D32" s="1130"/>
      <c r="E32" s="1152">
        <v>0.8</v>
      </c>
      <c r="F32" s="1131" t="s">
        <v>1473</v>
      </c>
      <c r="G32" s="1132"/>
      <c r="H32" s="1103"/>
      <c r="I32" s="1103"/>
    </row>
    <row r="33" spans="1:9" s="1597" customFormat="1" ht="19.5" customHeight="1">
      <c r="A33" s="3479" t="s">
        <v>1474</v>
      </c>
      <c r="B33" s="1152" t="s">
        <v>1446</v>
      </c>
      <c r="C33" s="1129" t="s">
        <v>1475</v>
      </c>
      <c r="D33" s="1130"/>
      <c r="E33" s="1152">
        <v>1</v>
      </c>
      <c r="F33" s="1131" t="s">
        <v>1476</v>
      </c>
      <c r="G33" s="1132"/>
      <c r="H33" s="1103"/>
      <c r="I33" s="1103"/>
    </row>
    <row r="34" spans="1:9" s="1597" customFormat="1" ht="19.5" customHeight="1">
      <c r="A34" s="3479"/>
      <c r="B34" s="1152" t="s">
        <v>1449</v>
      </c>
      <c r="C34" s="1129" t="s">
        <v>1477</v>
      </c>
      <c r="D34" s="1130"/>
      <c r="E34" s="1152">
        <v>1.5</v>
      </c>
      <c r="F34" s="1131" t="s">
        <v>1478</v>
      </c>
      <c r="G34" s="1132"/>
      <c r="H34" s="1103"/>
      <c r="I34" s="1103"/>
    </row>
    <row r="35" spans="1:9" s="1597" customFormat="1" ht="19.5" customHeight="1">
      <c r="A35" s="3479" t="s">
        <v>1432</v>
      </c>
      <c r="B35" s="1152" t="s">
        <v>1446</v>
      </c>
      <c r="C35" s="1129" t="s">
        <v>1479</v>
      </c>
      <c r="D35" s="1130"/>
      <c r="E35" s="1152">
        <v>1</v>
      </c>
      <c r="F35" s="1131" t="s">
        <v>1480</v>
      </c>
      <c r="G35" s="1132"/>
      <c r="H35" s="1103"/>
      <c r="I35" s="1103"/>
    </row>
    <row r="36" spans="1:9" s="1597" customFormat="1" ht="19.5" customHeight="1">
      <c r="A36" s="3479"/>
      <c r="B36" s="3479" t="s">
        <v>1449</v>
      </c>
      <c r="C36" s="1129" t="s">
        <v>1481</v>
      </c>
      <c r="D36" s="1130"/>
      <c r="E36" s="1152">
        <v>1</v>
      </c>
      <c r="F36" s="1131" t="s">
        <v>1482</v>
      </c>
      <c r="G36" s="1132"/>
      <c r="H36" s="1103"/>
      <c r="I36" s="1103"/>
    </row>
    <row r="37" spans="1:9" s="1597" customFormat="1" ht="19.5" customHeight="1">
      <c r="A37" s="3479"/>
      <c r="B37" s="3479"/>
      <c r="C37" s="1129" t="s">
        <v>1483</v>
      </c>
      <c r="D37" s="1130"/>
      <c r="E37" s="1152">
        <v>1.5</v>
      </c>
      <c r="F37" s="1131" t="s">
        <v>1484</v>
      </c>
      <c r="G37" s="1132"/>
      <c r="H37" s="1103"/>
      <c r="I37" s="1103"/>
    </row>
    <row r="38" spans="1:9" s="1597" customFormat="1" ht="19.5" customHeight="1">
      <c r="A38" s="3479"/>
      <c r="B38" s="3479"/>
      <c r="C38" s="1129" t="s">
        <v>1485</v>
      </c>
      <c r="D38" s="1130"/>
      <c r="E38" s="1152">
        <v>1</v>
      </c>
      <c r="F38" s="1131" t="s">
        <v>1486</v>
      </c>
      <c r="G38" s="1132"/>
      <c r="H38" s="1103"/>
      <c r="I38" s="1103"/>
    </row>
    <row r="39" spans="1:9" s="1597" customFormat="1" ht="19.5" customHeight="1">
      <c r="A39" s="3479"/>
      <c r="B39" s="3479"/>
      <c r="C39" s="1129" t="s">
        <v>1487</v>
      </c>
      <c r="D39" s="1130"/>
      <c r="E39" s="1152">
        <v>1</v>
      </c>
      <c r="F39" s="1131" t="s">
        <v>1488</v>
      </c>
      <c r="G39" s="1132"/>
      <c r="H39" s="1103"/>
      <c r="I39" s="1103"/>
    </row>
    <row r="40" spans="1:9" s="1597" customFormat="1" ht="19.5" customHeight="1">
      <c r="A40" s="1598" t="s">
        <v>1489</v>
      </c>
      <c r="B40" s="1598"/>
      <c r="C40" s="1598"/>
      <c r="D40" s="1598"/>
      <c r="E40" s="1598"/>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79" t="s">
        <v>1501</v>
      </c>
      <c r="C61" s="1066" t="s">
        <v>1502</v>
      </c>
      <c r="D61" s="1066" t="s">
        <v>1503</v>
      </c>
      <c r="E61" s="1137">
        <v>0.5</v>
      </c>
      <c r="F61" s="1152">
        <v>80</v>
      </c>
      <c r="H61" s="1103">
        <f>SUMIF(C59:C119,基准地价!C8,E59:E119)</f>
        <v>0</v>
      </c>
    </row>
    <row r="62" spans="1:8" s="1103" customFormat="1" ht="24">
      <c r="A62" s="1152">
        <v>2</v>
      </c>
      <c r="B62" s="3479"/>
      <c r="C62" s="1066" t="s">
        <v>1504</v>
      </c>
      <c r="D62" s="1066" t="s">
        <v>1505</v>
      </c>
      <c r="E62" s="1137">
        <v>0.5</v>
      </c>
      <c r="F62" s="1152">
        <v>80</v>
      </c>
    </row>
    <row r="63" spans="1:8" s="1103" customFormat="1" ht="36">
      <c r="A63" s="1152">
        <v>3</v>
      </c>
      <c r="B63" s="3479"/>
      <c r="C63" s="1066" t="s">
        <v>1506</v>
      </c>
      <c r="D63" s="1066" t="s">
        <v>1507</v>
      </c>
      <c r="E63" s="1137">
        <v>0.5</v>
      </c>
      <c r="F63" s="1152">
        <v>80</v>
      </c>
    </row>
    <row r="64" spans="1:8" s="1103" customFormat="1" ht="36">
      <c r="A64" s="1152">
        <v>4</v>
      </c>
      <c r="B64" s="3479"/>
      <c r="C64" s="1066" t="s">
        <v>1508</v>
      </c>
      <c r="D64" s="1066" t="s">
        <v>1509</v>
      </c>
      <c r="E64" s="1137">
        <v>0.4</v>
      </c>
      <c r="F64" s="1152">
        <v>60</v>
      </c>
    </row>
    <row r="65" spans="1:6" s="1103" customFormat="1" ht="36">
      <c r="A65" s="1152">
        <v>5</v>
      </c>
      <c r="B65" s="3479"/>
      <c r="C65" s="1066" t="s">
        <v>1510</v>
      </c>
      <c r="D65" s="1066" t="s">
        <v>1511</v>
      </c>
      <c r="E65" s="1137">
        <v>0.2</v>
      </c>
      <c r="F65" s="1152">
        <v>30</v>
      </c>
    </row>
    <row r="66" spans="1:6" s="1103" customFormat="1" ht="36">
      <c r="A66" s="1152">
        <v>6</v>
      </c>
      <c r="B66" s="3479"/>
      <c r="C66" s="1066" t="s">
        <v>1512</v>
      </c>
      <c r="D66" s="1066" t="s">
        <v>1513</v>
      </c>
      <c r="E66" s="1137">
        <v>0.3</v>
      </c>
      <c r="F66" s="1152">
        <v>50</v>
      </c>
    </row>
    <row r="67" spans="1:6" s="1103" customFormat="1" ht="36">
      <c r="A67" s="1152">
        <v>7</v>
      </c>
      <c r="B67" s="3479"/>
      <c r="C67" s="1066" t="s">
        <v>1514</v>
      </c>
      <c r="D67" s="1066" t="s">
        <v>1515</v>
      </c>
      <c r="E67" s="1137">
        <v>0.2</v>
      </c>
      <c r="F67" s="1152">
        <v>30</v>
      </c>
    </row>
    <row r="68" spans="1:6" s="1103" customFormat="1" ht="36">
      <c r="A68" s="1152">
        <v>8</v>
      </c>
      <c r="B68" s="3479"/>
      <c r="C68" s="1066" t="s">
        <v>1516</v>
      </c>
      <c r="D68" s="1066" t="s">
        <v>1517</v>
      </c>
      <c r="E68" s="1137">
        <v>0.2</v>
      </c>
      <c r="F68" s="1152">
        <v>30</v>
      </c>
    </row>
    <row r="69" spans="1:6" s="1103" customFormat="1" ht="36">
      <c r="A69" s="1152">
        <v>9</v>
      </c>
      <c r="B69" s="3479"/>
      <c r="C69" s="1066" t="s">
        <v>1518</v>
      </c>
      <c r="D69" s="1066" t="s">
        <v>1519</v>
      </c>
      <c r="E69" s="1137">
        <v>0.2</v>
      </c>
      <c r="F69" s="1152">
        <v>30</v>
      </c>
    </row>
    <row r="70" spans="1:6" s="1103" customFormat="1" ht="48">
      <c r="A70" s="1152">
        <v>10</v>
      </c>
      <c r="B70" s="3479"/>
      <c r="C70" s="1066" t="s">
        <v>1520</v>
      </c>
      <c r="D70" s="1066" t="s">
        <v>1521</v>
      </c>
      <c r="E70" s="1137">
        <v>0.2</v>
      </c>
      <c r="F70" s="1152">
        <v>30</v>
      </c>
    </row>
    <row r="71" spans="1:6" s="1103" customFormat="1" ht="48">
      <c r="A71" s="1152">
        <v>11</v>
      </c>
      <c r="B71" s="3479"/>
      <c r="C71" s="1066" t="s">
        <v>1522</v>
      </c>
      <c r="D71" s="1066" t="s">
        <v>1523</v>
      </c>
      <c r="E71" s="1137">
        <v>0.2</v>
      </c>
      <c r="F71" s="1152">
        <v>30</v>
      </c>
    </row>
    <row r="72" spans="1:6" s="1103" customFormat="1" ht="36">
      <c r="A72" s="1152">
        <v>12</v>
      </c>
      <c r="B72" s="3479"/>
      <c r="C72" s="1066" t="s">
        <v>1524</v>
      </c>
      <c r="D72" s="1066" t="s">
        <v>1525</v>
      </c>
      <c r="E72" s="1137">
        <v>0.5</v>
      </c>
      <c r="F72" s="1152">
        <v>80</v>
      </c>
    </row>
    <row r="73" spans="1:6" s="1103" customFormat="1" ht="24">
      <c r="A73" s="1152">
        <v>13</v>
      </c>
      <c r="B73" s="3479"/>
      <c r="C73" s="1066" t="s">
        <v>1526</v>
      </c>
      <c r="D73" s="1066" t="s">
        <v>1527</v>
      </c>
      <c r="E73" s="1137">
        <v>0.4</v>
      </c>
      <c r="F73" s="1152">
        <v>60</v>
      </c>
    </row>
    <row r="74" spans="1:6" s="1103" customFormat="1" ht="24">
      <c r="A74" s="1152">
        <v>14</v>
      </c>
      <c r="B74" s="3479"/>
      <c r="C74" s="1066" t="s">
        <v>1528</v>
      </c>
      <c r="D74" s="1066" t="s">
        <v>1529</v>
      </c>
      <c r="E74" s="1137">
        <v>0.2</v>
      </c>
      <c r="F74" s="1152">
        <v>30</v>
      </c>
    </row>
    <row r="75" spans="1:6" s="1103" customFormat="1" ht="24">
      <c r="A75" s="1152">
        <v>15</v>
      </c>
      <c r="B75" s="3479"/>
      <c r="C75" s="1066" t="s">
        <v>1530</v>
      </c>
      <c r="D75" s="1066" t="s">
        <v>1531</v>
      </c>
      <c r="E75" s="1137">
        <v>0.2</v>
      </c>
      <c r="F75" s="1152">
        <v>30</v>
      </c>
    </row>
    <row r="76" spans="1:6" s="1103" customFormat="1" ht="24">
      <c r="A76" s="1152">
        <v>16</v>
      </c>
      <c r="B76" s="3479" t="s">
        <v>1532</v>
      </c>
      <c r="C76" s="1066" t="s">
        <v>1533</v>
      </c>
      <c r="D76" s="1066" t="s">
        <v>1534</v>
      </c>
      <c r="E76" s="1137">
        <v>0.5</v>
      </c>
      <c r="F76" s="1152">
        <v>80</v>
      </c>
    </row>
    <row r="77" spans="1:6" s="1103" customFormat="1" ht="24">
      <c r="A77" s="1152">
        <v>17</v>
      </c>
      <c r="B77" s="3479"/>
      <c r="C77" s="1066" t="s">
        <v>1535</v>
      </c>
      <c r="D77" s="1066" t="s">
        <v>1536</v>
      </c>
      <c r="E77" s="1137">
        <v>0.5</v>
      </c>
      <c r="F77" s="1152">
        <v>80</v>
      </c>
    </row>
    <row r="78" spans="1:6" s="1103" customFormat="1" ht="24">
      <c r="A78" s="1152">
        <v>18</v>
      </c>
      <c r="B78" s="3479"/>
      <c r="C78" s="1066" t="s">
        <v>1537</v>
      </c>
      <c r="D78" s="1066" t="s">
        <v>1538</v>
      </c>
      <c r="E78" s="1137">
        <v>0.2</v>
      </c>
      <c r="F78" s="1152">
        <v>30</v>
      </c>
    </row>
    <row r="79" spans="1:6" s="1103" customFormat="1" ht="24">
      <c r="A79" s="1152">
        <v>19</v>
      </c>
      <c r="B79" s="3479"/>
      <c r="C79" s="1066" t="s">
        <v>1539</v>
      </c>
      <c r="D79" s="1066" t="s">
        <v>1540</v>
      </c>
      <c r="E79" s="1137">
        <v>0.5</v>
      </c>
      <c r="F79" s="1152">
        <v>80</v>
      </c>
    </row>
    <row r="80" spans="1:6" s="1103" customFormat="1" ht="36">
      <c r="A80" s="1152">
        <v>20</v>
      </c>
      <c r="B80" s="3479"/>
      <c r="C80" s="1066" t="s">
        <v>1541</v>
      </c>
      <c r="D80" s="1066" t="s">
        <v>1542</v>
      </c>
      <c r="E80" s="1137">
        <v>0.2</v>
      </c>
      <c r="F80" s="1152">
        <v>30</v>
      </c>
    </row>
    <row r="81" spans="1:6" s="1103" customFormat="1" ht="36">
      <c r="A81" s="1152">
        <v>21</v>
      </c>
      <c r="B81" s="3479"/>
      <c r="C81" s="1066" t="s">
        <v>1543</v>
      </c>
      <c r="D81" s="1066" t="s">
        <v>1544</v>
      </c>
      <c r="E81" s="1137">
        <v>0.2</v>
      </c>
      <c r="F81" s="1152">
        <v>30</v>
      </c>
    </row>
    <row r="82" spans="1:6" s="1103" customFormat="1" ht="48">
      <c r="A82" s="1152">
        <v>22</v>
      </c>
      <c r="B82" s="3479"/>
      <c r="C82" s="1066" t="s">
        <v>1545</v>
      </c>
      <c r="D82" s="1066" t="s">
        <v>1546</v>
      </c>
      <c r="E82" s="1137">
        <v>0.2</v>
      </c>
      <c r="F82" s="1152">
        <v>30</v>
      </c>
    </row>
    <row r="83" spans="1:6" s="1103" customFormat="1" ht="48">
      <c r="A83" s="1152">
        <v>23</v>
      </c>
      <c r="B83" s="3479"/>
      <c r="C83" s="1066" t="s">
        <v>1547</v>
      </c>
      <c r="D83" s="1066" t="s">
        <v>1548</v>
      </c>
      <c r="E83" s="1137">
        <v>0.2</v>
      </c>
      <c r="F83" s="1152">
        <v>30</v>
      </c>
    </row>
    <row r="84" spans="1:6" s="1103" customFormat="1" ht="36">
      <c r="A84" s="1152">
        <v>24</v>
      </c>
      <c r="B84" s="3479"/>
      <c r="C84" s="1066" t="s">
        <v>1549</v>
      </c>
      <c r="D84" s="1066" t="s">
        <v>1550</v>
      </c>
      <c r="E84" s="1137">
        <v>0.2</v>
      </c>
      <c r="F84" s="1152">
        <v>30</v>
      </c>
    </row>
    <row r="85" spans="1:6" s="1103" customFormat="1" ht="36">
      <c r="A85" s="1152">
        <v>25</v>
      </c>
      <c r="B85" s="3479"/>
      <c r="C85" s="1066" t="s">
        <v>1551</v>
      </c>
      <c r="D85" s="1066" t="s">
        <v>1552</v>
      </c>
      <c r="E85" s="1137">
        <v>0.5</v>
      </c>
      <c r="F85" s="1152">
        <v>80</v>
      </c>
    </row>
    <row r="86" spans="1:6" s="1103" customFormat="1" ht="36">
      <c r="A86" s="1152">
        <v>26</v>
      </c>
      <c r="B86" s="3479"/>
      <c r="C86" s="1066" t="s">
        <v>1553</v>
      </c>
      <c r="D86" s="1066" t="s">
        <v>1554</v>
      </c>
      <c r="E86" s="1137">
        <v>0.2</v>
      </c>
      <c r="F86" s="1152">
        <v>30</v>
      </c>
    </row>
    <row r="87" spans="1:6" s="1103" customFormat="1" ht="36">
      <c r="A87" s="1152">
        <v>27</v>
      </c>
      <c r="B87" s="3479"/>
      <c r="C87" s="1066" t="s">
        <v>1555</v>
      </c>
      <c r="D87" s="1066" t="s">
        <v>1556</v>
      </c>
      <c r="E87" s="1137">
        <v>0.2</v>
      </c>
      <c r="F87" s="1152">
        <v>30</v>
      </c>
    </row>
    <row r="88" spans="1:6" s="1103" customFormat="1" ht="36">
      <c r="A88" s="1152">
        <v>28</v>
      </c>
      <c r="B88" s="3479"/>
      <c r="C88" s="1066" t="s">
        <v>1557</v>
      </c>
      <c r="D88" s="1066" t="s">
        <v>1558</v>
      </c>
      <c r="E88" s="1137">
        <v>0.2</v>
      </c>
      <c r="F88" s="1152">
        <v>30</v>
      </c>
    </row>
    <row r="89" spans="1:6" s="1103" customFormat="1" ht="24">
      <c r="A89" s="1152">
        <v>29</v>
      </c>
      <c r="B89" s="3479"/>
      <c r="C89" s="1066" t="s">
        <v>1559</v>
      </c>
      <c r="D89" s="1066" t="s">
        <v>1560</v>
      </c>
      <c r="E89" s="1137">
        <v>0.2</v>
      </c>
      <c r="F89" s="1152">
        <v>30</v>
      </c>
    </row>
    <row r="90" spans="1:6" s="1103" customFormat="1" ht="24">
      <c r="A90" s="1152">
        <v>30</v>
      </c>
      <c r="B90" s="3479"/>
      <c r="C90" s="1066" t="s">
        <v>1561</v>
      </c>
      <c r="D90" s="1066" t="s">
        <v>1562</v>
      </c>
      <c r="E90" s="1137">
        <v>0.2</v>
      </c>
      <c r="F90" s="1152">
        <v>30</v>
      </c>
    </row>
    <row r="91" spans="1:6" s="1103" customFormat="1" ht="36">
      <c r="A91" s="1152">
        <v>31</v>
      </c>
      <c r="B91" s="3479"/>
      <c r="C91" s="1066" t="s">
        <v>1563</v>
      </c>
      <c r="D91" s="1066" t="s">
        <v>1564</v>
      </c>
      <c r="E91" s="1137">
        <v>0.2</v>
      </c>
      <c r="F91" s="1152">
        <v>30</v>
      </c>
    </row>
    <row r="92" spans="1:6" s="1103" customFormat="1" ht="24">
      <c r="A92" s="1152">
        <v>32</v>
      </c>
      <c r="B92" s="3479" t="s">
        <v>1565</v>
      </c>
      <c r="C92" s="1152" t="s">
        <v>1566</v>
      </c>
      <c r="D92" s="1066" t="s">
        <v>1567</v>
      </c>
      <c r="E92" s="1137">
        <v>0.2</v>
      </c>
      <c r="F92" s="1152">
        <v>30</v>
      </c>
    </row>
    <row r="93" spans="1:6" s="1103" customFormat="1" ht="36">
      <c r="A93" s="1152">
        <v>33</v>
      </c>
      <c r="B93" s="3479"/>
      <c r="C93" s="1152" t="s">
        <v>1568</v>
      </c>
      <c r="D93" s="1066" t="s">
        <v>1569</v>
      </c>
      <c r="E93" s="1137">
        <v>0.2</v>
      </c>
      <c r="F93" s="1152">
        <v>30</v>
      </c>
    </row>
    <row r="94" spans="1:6" s="1103" customFormat="1" ht="48">
      <c r="A94" s="1152">
        <v>34</v>
      </c>
      <c r="B94" s="3479"/>
      <c r="C94" s="1152" t="s">
        <v>1570</v>
      </c>
      <c r="D94" s="1066" t="s">
        <v>1571</v>
      </c>
      <c r="E94" s="1137">
        <v>0.2</v>
      </c>
      <c r="F94" s="1152">
        <v>30</v>
      </c>
    </row>
    <row r="95" spans="1:6" s="1103" customFormat="1" ht="36">
      <c r="A95" s="1152">
        <v>35</v>
      </c>
      <c r="B95" s="3479"/>
      <c r="C95" s="1152" t="s">
        <v>1572</v>
      </c>
      <c r="D95" s="1066" t="s">
        <v>1573</v>
      </c>
      <c r="E95" s="1137">
        <v>0.2</v>
      </c>
      <c r="F95" s="1152">
        <v>30</v>
      </c>
    </row>
    <row r="96" spans="1:6" s="1103" customFormat="1" ht="48">
      <c r="A96" s="1152">
        <v>36</v>
      </c>
      <c r="B96" s="3479"/>
      <c r="C96" s="1066" t="s">
        <v>1574</v>
      </c>
      <c r="D96" s="1066" t="s">
        <v>1575</v>
      </c>
      <c r="E96" s="1137">
        <v>0.2</v>
      </c>
      <c r="F96" s="1152">
        <v>30</v>
      </c>
    </row>
    <row r="97" spans="1:6" s="1103" customFormat="1" ht="36">
      <c r="A97" s="1152">
        <v>37</v>
      </c>
      <c r="B97" s="3479"/>
      <c r="C97" s="1152" t="s">
        <v>1576</v>
      </c>
      <c r="D97" s="1066" t="s">
        <v>1577</v>
      </c>
      <c r="E97" s="1137">
        <v>0.2</v>
      </c>
      <c r="F97" s="1152">
        <v>30</v>
      </c>
    </row>
    <row r="98" spans="1:6" s="1103" customFormat="1" ht="36">
      <c r="A98" s="1152">
        <v>38</v>
      </c>
      <c r="B98" s="3479"/>
      <c r="C98" s="1152" t="s">
        <v>1578</v>
      </c>
      <c r="D98" s="1066" t="s">
        <v>1579</v>
      </c>
      <c r="E98" s="1137">
        <v>0.2</v>
      </c>
      <c r="F98" s="1152">
        <v>30</v>
      </c>
    </row>
    <row r="99" spans="1:6" s="1103" customFormat="1" ht="36">
      <c r="A99" s="1152">
        <v>39</v>
      </c>
      <c r="B99" s="3479" t="s">
        <v>1580</v>
      </c>
      <c r="C99" s="1152" t="s">
        <v>1581</v>
      </c>
      <c r="D99" s="1066" t="s">
        <v>1582</v>
      </c>
      <c r="E99" s="1137">
        <v>0.3</v>
      </c>
      <c r="F99" s="1152">
        <v>50</v>
      </c>
    </row>
    <row r="100" spans="1:6" s="1103" customFormat="1" ht="24">
      <c r="A100" s="1152">
        <v>40</v>
      </c>
      <c r="B100" s="3479"/>
      <c r="C100" s="1152" t="s">
        <v>1583</v>
      </c>
      <c r="D100" s="1066" t="s">
        <v>1584</v>
      </c>
      <c r="E100" s="1137">
        <v>0.2</v>
      </c>
      <c r="F100" s="1152">
        <v>30</v>
      </c>
    </row>
    <row r="101" spans="1:6" s="1103" customFormat="1" ht="36">
      <c r="A101" s="1152">
        <v>41</v>
      </c>
      <c r="B101" s="3479"/>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79" t="s">
        <v>1595</v>
      </c>
      <c r="C105" s="1152" t="s">
        <v>1596</v>
      </c>
      <c r="D105" s="1066" t="s">
        <v>1597</v>
      </c>
      <c r="E105" s="1137">
        <v>0.2</v>
      </c>
      <c r="F105" s="1152">
        <v>30</v>
      </c>
    </row>
    <row r="106" spans="1:6" s="1103" customFormat="1" ht="36">
      <c r="A106" s="1152">
        <v>46</v>
      </c>
      <c r="B106" s="3479"/>
      <c r="C106" s="1152" t="s">
        <v>1598</v>
      </c>
      <c r="D106" s="1066" t="s">
        <v>1599</v>
      </c>
      <c r="E106" s="1137">
        <v>0.2</v>
      </c>
      <c r="F106" s="1152">
        <v>30</v>
      </c>
    </row>
    <row r="107" spans="1:6" s="1103" customFormat="1" ht="36">
      <c r="A107" s="1152">
        <v>47</v>
      </c>
      <c r="B107" s="3479" t="s">
        <v>1600</v>
      </c>
      <c r="C107" s="1152" t="s">
        <v>1601</v>
      </c>
      <c r="D107" s="1066" t="s">
        <v>1602</v>
      </c>
      <c r="E107" s="1137">
        <v>0.3</v>
      </c>
      <c r="F107" s="1152">
        <v>50</v>
      </c>
    </row>
    <row r="108" spans="1:6" s="1103" customFormat="1" ht="36">
      <c r="A108" s="1152">
        <v>48</v>
      </c>
      <c r="B108" s="3479"/>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79" t="s">
        <v>1611</v>
      </c>
      <c r="C111" s="1152" t="s">
        <v>1612</v>
      </c>
      <c r="D111" s="1066" t="s">
        <v>1613</v>
      </c>
      <c r="E111" s="1137">
        <v>0.2</v>
      </c>
      <c r="F111" s="1152">
        <v>30</v>
      </c>
    </row>
    <row r="112" spans="1:6" s="1103" customFormat="1" ht="24">
      <c r="A112" s="1152">
        <v>52</v>
      </c>
      <c r="B112" s="3479"/>
      <c r="C112" s="1152" t="s">
        <v>1614</v>
      </c>
      <c r="D112" s="1066" t="s">
        <v>1615</v>
      </c>
      <c r="E112" s="1137">
        <v>0.2</v>
      </c>
      <c r="F112" s="1152">
        <v>30</v>
      </c>
    </row>
    <row r="113" spans="1:14" s="1103" customFormat="1" ht="24">
      <c r="A113" s="1152">
        <v>53</v>
      </c>
      <c r="B113" s="3479"/>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79" t="s">
        <v>1624</v>
      </c>
      <c r="C116" s="1152" t="s">
        <v>1625</v>
      </c>
      <c r="D116" s="1066" t="s">
        <v>1626</v>
      </c>
      <c r="E116" s="1137">
        <v>0.2</v>
      </c>
      <c r="F116" s="1152">
        <v>30</v>
      </c>
    </row>
    <row r="117" spans="1:14" ht="36">
      <c r="A117" s="1152">
        <v>57</v>
      </c>
      <c r="B117" s="3479"/>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78" t="s">
        <v>1633</v>
      </c>
      <c r="B121" s="3478"/>
      <c r="C121" s="3478"/>
      <c r="D121" s="3478"/>
      <c r="E121" s="3478"/>
      <c r="F121" s="3478"/>
      <c r="G121" s="3478"/>
      <c r="H121" s="3478"/>
      <c r="I121" s="3478"/>
      <c r="J121" s="347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3" customWidth="1"/>
    <col min="2" max="5" width="10.125" style="1064" customWidth="1"/>
    <col min="6" max="6" width="8.875" style="1064"/>
    <col min="7" max="7" width="8.875" style="1067"/>
    <col min="8" max="8" width="8.875" style="1064"/>
    <col min="9" max="9" width="8.875" style="1067"/>
    <col min="10" max="16384" width="8.875" style="1064"/>
  </cols>
  <sheetData>
    <row r="1" spans="1:20">
      <c r="A1" s="3483" t="s">
        <v>1039</v>
      </c>
      <c r="B1" s="3483"/>
      <c r="C1" s="3483"/>
      <c r="D1" s="3483"/>
      <c r="E1" s="3483"/>
      <c r="F1" s="348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4" t="s">
        <v>1052</v>
      </c>
      <c r="B2" s="3484"/>
      <c r="C2" s="3484"/>
      <c r="D2" s="3484"/>
      <c r="E2" s="3484"/>
      <c r="F2" s="348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8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8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5"/>
    <col min="2" max="16384" width="8.875"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79" customWidth="1"/>
    <col min="2" max="2" width="10.125" style="1880" customWidth="1"/>
  </cols>
  <sheetData>
    <row r="1" spans="1:6">
      <c r="A1" s="3487" t="s">
        <v>2079</v>
      </c>
      <c r="B1" s="348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24.75" thickBot="1">
      <c r="A72" s="1854" t="s">
        <v>924</v>
      </c>
      <c r="B72" s="1858" t="s">
        <v>2093</v>
      </c>
      <c r="C72" s="1868"/>
      <c r="D72" s="1868"/>
      <c r="E72" s="1868"/>
      <c r="F72" s="1860">
        <v>0.05</v>
      </c>
    </row>
    <row r="73" spans="1:6" ht="24.75" thickBot="1">
      <c r="A73" s="1854" t="s">
        <v>924</v>
      </c>
      <c r="B73" s="1858" t="s">
        <v>2094</v>
      </c>
      <c r="C73" s="1868"/>
      <c r="D73" s="1868"/>
      <c r="E73" s="1868"/>
      <c r="F73" s="1860">
        <v>0.05</v>
      </c>
    </row>
    <row r="74" spans="1:6" ht="24.75" thickBot="1">
      <c r="A74" s="1854" t="s">
        <v>924</v>
      </c>
      <c r="B74" s="1858" t="s">
        <v>2095</v>
      </c>
      <c r="C74" s="1868"/>
      <c r="D74" s="1868"/>
      <c r="E74" s="1868"/>
      <c r="F74" s="1860">
        <v>0.05</v>
      </c>
    </row>
    <row r="75" spans="1:6" ht="24.7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24.7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24.7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1" t="s">
        <v>2949</v>
      </c>
      <c r="B1" s="3133"/>
      <c r="C1" s="3133"/>
      <c r="D1" s="3133"/>
      <c r="E1" s="3133"/>
      <c r="F1" s="3133"/>
    </row>
    <row r="2" spans="1:6" ht="14.25">
      <c r="A2" s="3134" t="s">
        <v>2943</v>
      </c>
      <c r="B2" s="3135" t="e">
        <f ca="1">SUMIF(B7:B14,"&lt;&gt;#ref!",B7:B14)</f>
        <v>#DIV/0!</v>
      </c>
      <c r="C2" s="3134" t="s">
        <v>2944</v>
      </c>
      <c r="D2" s="3133"/>
      <c r="E2" s="3133"/>
      <c r="F2" s="3133"/>
    </row>
    <row r="3" spans="1:6" ht="14.25">
      <c r="A3" s="3134" t="s">
        <v>2946</v>
      </c>
      <c r="B3" s="3135" t="e">
        <f ca="1">ROUND(B2*10000/E3,0)</f>
        <v>#DIV/0!</v>
      </c>
      <c r="C3" s="3134" t="s">
        <v>2078</v>
      </c>
      <c r="D3" s="3134" t="s">
        <v>2945</v>
      </c>
      <c r="E3" s="3135" t="e">
        <f ca="1">SUM(E7:E14)</f>
        <v>#REF!</v>
      </c>
      <c r="F3" s="3133"/>
    </row>
    <row r="4" spans="1:6" ht="14.25">
      <c r="A4" s="3134" t="s">
        <v>2953</v>
      </c>
      <c r="B4" s="3135" t="e">
        <f ca="1">ROUND(B2*10000/E4,0)</f>
        <v>#DIV/0!</v>
      </c>
      <c r="C4" s="3134" t="s">
        <v>2078</v>
      </c>
      <c r="D4" s="3134" t="s">
        <v>2954</v>
      </c>
      <c r="E4" s="3135" t="e">
        <f ca="1">SUM(F7:F14)</f>
        <v>#REF!</v>
      </c>
      <c r="F4" s="3133"/>
    </row>
    <row r="5" spans="1:6" ht="14.25">
      <c r="A5" s="3136"/>
      <c r="B5" s="1880"/>
      <c r="C5" s="1880"/>
      <c r="D5" s="1880"/>
      <c r="E5" s="1880"/>
      <c r="F5" s="3133"/>
    </row>
    <row r="6" spans="1:6" ht="28.5">
      <c r="A6" s="3137" t="s">
        <v>2950</v>
      </c>
      <c r="B6" s="3134" t="s">
        <v>2947</v>
      </c>
      <c r="C6" s="3135"/>
      <c r="D6" s="1880"/>
      <c r="E6" s="3134" t="s">
        <v>2948</v>
      </c>
      <c r="F6" s="3134" t="s">
        <v>2952</v>
      </c>
    </row>
    <row r="7" spans="1:6" ht="14.25">
      <c r="A7" s="259" t="s">
        <v>2951</v>
      </c>
      <c r="B7" s="3138" t="e">
        <f ca="1">SUMIF(INDIRECT("'"&amp;A7&amp;"'"&amp;"!A:A"),"总价",INDIRECT("'"&amp;A7&amp;"'"&amp;"!B:B"))</f>
        <v>#DIV/0!</v>
      </c>
      <c r="C7" s="3134" t="s">
        <v>2944</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2944</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2944</v>
      </c>
      <c r="D9" s="1880"/>
      <c r="E9" s="3139" t="e">
        <f t="shared" ca="1" si="1"/>
        <v>#REF!</v>
      </c>
      <c r="F9" s="3139" t="e">
        <f t="shared" ca="1" si="2"/>
        <v>#REF!</v>
      </c>
    </row>
    <row r="10" spans="1:6" ht="14.25">
      <c r="A10" s="259"/>
      <c r="B10" s="3138" t="e">
        <f t="shared" ca="1" si="0"/>
        <v>#REF!</v>
      </c>
      <c r="C10" s="3134" t="s">
        <v>2944</v>
      </c>
      <c r="D10" s="1880"/>
      <c r="E10" s="3139" t="e">
        <f t="shared" ca="1" si="1"/>
        <v>#REF!</v>
      </c>
      <c r="F10" s="3139" t="e">
        <f t="shared" ca="1" si="2"/>
        <v>#REF!</v>
      </c>
    </row>
    <row r="11" spans="1:6" ht="14.25">
      <c r="A11" s="259"/>
      <c r="B11" s="3138" t="e">
        <f t="shared" ca="1" si="0"/>
        <v>#REF!</v>
      </c>
      <c r="C11" s="3134" t="s">
        <v>2944</v>
      </c>
      <c r="D11" s="1880"/>
      <c r="E11" s="3139" t="e">
        <f t="shared" ca="1" si="1"/>
        <v>#REF!</v>
      </c>
      <c r="F11" s="3139" t="e">
        <f t="shared" ca="1" si="2"/>
        <v>#REF!</v>
      </c>
    </row>
    <row r="12" spans="1:6" ht="14.25">
      <c r="A12" s="259"/>
      <c r="B12" s="3138" t="e">
        <f t="shared" ca="1" si="0"/>
        <v>#REF!</v>
      </c>
      <c r="C12" s="3134" t="s">
        <v>2944</v>
      </c>
      <c r="D12" s="1880"/>
      <c r="E12" s="3139" t="e">
        <f t="shared" ca="1" si="1"/>
        <v>#REF!</v>
      </c>
      <c r="F12" s="3139" t="e">
        <f t="shared" ca="1" si="2"/>
        <v>#REF!</v>
      </c>
    </row>
    <row r="13" spans="1:6" ht="14.25">
      <c r="A13" s="259"/>
      <c r="B13" s="3138" t="e">
        <f t="shared" ca="1" si="0"/>
        <v>#REF!</v>
      </c>
      <c r="C13" s="3134" t="s">
        <v>2944</v>
      </c>
      <c r="D13" s="1880"/>
      <c r="E13" s="3139" t="e">
        <f t="shared" ca="1" si="1"/>
        <v>#REF!</v>
      </c>
      <c r="F13" s="3139" t="e">
        <f t="shared" ca="1" si="2"/>
        <v>#REF!</v>
      </c>
    </row>
    <row r="14" spans="1:6" ht="14.25">
      <c r="A14" s="3132"/>
      <c r="B14" s="3138" t="e">
        <f t="shared" ca="1" si="0"/>
        <v>#REF!</v>
      </c>
      <c r="C14" s="3134" t="s">
        <v>2944</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097"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125" style="2058" customWidth="1"/>
    <col min="17" max="17" width="13.625" style="2058" customWidth="1"/>
    <col min="18" max="18" width="22.125" style="2058" customWidth="1"/>
    <col min="19" max="19" width="1.5" style="2058" customWidth="1"/>
    <col min="20" max="25" width="8.875" style="2058"/>
    <col min="26" max="16384" width="8.875" style="2059"/>
  </cols>
  <sheetData>
    <row r="1" spans="1:25" s="2053" customFormat="1" ht="21">
      <c r="A1" s="771" t="s">
        <v>628</v>
      </c>
      <c r="B1" s="737"/>
      <c r="C1" s="772"/>
      <c r="D1" s="2049"/>
      <c r="E1" s="2410" t="s">
        <v>2373</v>
      </c>
      <c r="F1" s="2411">
        <f ca="1">J54</f>
        <v>0</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1686</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2457</v>
      </c>
      <c r="C7" s="53">
        <f ca="1">C8+C12+C14</f>
        <v>0</v>
      </c>
      <c r="D7" s="2519" t="s">
        <v>2460</v>
      </c>
      <c r="E7" s="2513"/>
      <c r="F7" s="2514"/>
      <c r="G7" s="1590"/>
      <c r="H7" s="780">
        <v>1</v>
      </c>
      <c r="I7" s="781" t="s">
        <v>2457</v>
      </c>
      <c r="J7" s="53">
        <f ca="1">J8+J12+J14</f>
        <v>0</v>
      </c>
      <c r="K7" s="2519" t="s">
        <v>2460</v>
      </c>
      <c r="L7" s="2513"/>
      <c r="M7" s="2514"/>
    </row>
    <row r="8" spans="1:25" ht="18" customHeight="1">
      <c r="A8" s="1829" t="s">
        <v>1824</v>
      </c>
      <c r="B8" s="3489" t="s">
        <v>2462</v>
      </c>
      <c r="C8" s="1824">
        <f ca="1">ROUND(F8*F10*F9*(1-F11)/10000,0)</f>
        <v>0</v>
      </c>
      <c r="D8" s="1821" t="s">
        <v>2533</v>
      </c>
      <c r="E8" s="61" t="s">
        <v>637</v>
      </c>
      <c r="F8" s="784">
        <f ca="1">INDIRECT("'数据-取费表'!u"&amp;$G$1)</f>
        <v>0</v>
      </c>
      <c r="G8" s="1590"/>
      <c r="H8" s="2527" t="s">
        <v>1824</v>
      </c>
      <c r="I8" s="3489" t="s">
        <v>2462</v>
      </c>
      <c r="J8" s="782">
        <f ca="1">ROUND(M8*M10*M9*(1-M11)/10000,0)</f>
        <v>0</v>
      </c>
      <c r="K8" s="340" t="s">
        <v>2533</v>
      </c>
      <c r="L8" s="783" t="s">
        <v>1738</v>
      </c>
      <c r="M8" s="784">
        <f ca="1">INDIRECT("'数据-取费表'!z"&amp;$G$1)</f>
        <v>0</v>
      </c>
    </row>
    <row r="9" spans="1:25" ht="18" customHeight="1">
      <c r="A9" s="2523"/>
      <c r="B9" s="3490"/>
      <c r="C9" s="1825"/>
      <c r="D9" s="1822"/>
      <c r="E9" s="61" t="s">
        <v>638</v>
      </c>
      <c r="F9" s="784">
        <f ca="1">IF(INDIRECT("'数据-取费表'!ah"&amp;$G$1)="",INDIRECT("'数据-取费表'!k"&amp;$G$1),INDIRECT("'数据-取费表'!ah"&amp;$G$1))</f>
        <v>0</v>
      </c>
      <c r="G9" s="1590"/>
      <c r="H9" s="2512"/>
      <c r="I9" s="3490"/>
      <c r="J9" s="787"/>
      <c r="K9" s="788"/>
      <c r="L9" s="783" t="s">
        <v>1739</v>
      </c>
      <c r="M9" s="784">
        <f ca="1">F9</f>
        <v>0</v>
      </c>
    </row>
    <row r="10" spans="1:25" ht="18" customHeight="1">
      <c r="A10" s="2516"/>
      <c r="B10" s="3491"/>
      <c r="C10" s="1825"/>
      <c r="D10" s="1822"/>
      <c r="E10" s="61" t="s">
        <v>639</v>
      </c>
      <c r="F10" s="784">
        <f ca="1">INDIRECT("'数据-取费表'!ai"&amp;$G$1)</f>
        <v>0</v>
      </c>
      <c r="G10" s="1590"/>
      <c r="H10" s="2512"/>
      <c r="I10" s="3491"/>
      <c r="J10" s="787"/>
      <c r="K10" s="788"/>
      <c r="L10" s="783" t="s">
        <v>1740</v>
      </c>
      <c r="M10" s="784">
        <f ca="1">INDIRECT("'数据-取费表'!ai"&amp;$G$1)</f>
        <v>0</v>
      </c>
    </row>
    <row r="11" spans="1:25" ht="18" customHeight="1">
      <c r="A11" s="785"/>
      <c r="B11" s="3492"/>
      <c r="C11" s="1825"/>
      <c r="D11" s="1822"/>
      <c r="E11" s="61" t="s">
        <v>640</v>
      </c>
      <c r="F11" s="793">
        <f ca="1">INDIRECT("'数据-取费表'!w"&amp;$G$1)</f>
        <v>0</v>
      </c>
      <c r="G11" s="1590"/>
      <c r="H11" s="2528"/>
      <c r="I11" s="3491"/>
      <c r="J11" s="787"/>
      <c r="K11" s="788"/>
      <c r="L11" s="794" t="s">
        <v>1741</v>
      </c>
      <c r="M11" s="795">
        <f ca="1">INDIRECT("'数据-取费表'!ab"&amp;$G$1)</f>
        <v>0</v>
      </c>
    </row>
    <row r="12" spans="1:25" ht="18" customHeight="1">
      <c r="A12" s="1829" t="s">
        <v>1825</v>
      </c>
      <c r="B12" s="2517" t="s">
        <v>2458</v>
      </c>
      <c r="C12" s="798">
        <f ca="1">ROUND(IF(F12="押一",C8/12*F13,IF(F12="押二",C8/12*2*F13,IF(F12="押三",C8/12*3*F13,C13*F13))),0)</f>
        <v>0</v>
      </c>
      <c r="D12" s="2524" t="s">
        <v>2974</v>
      </c>
      <c r="E12" s="2521" t="s">
        <v>2463</v>
      </c>
      <c r="F12" s="2644"/>
      <c r="G12" s="1590"/>
      <c r="H12" s="2584" t="s">
        <v>1825</v>
      </c>
      <c r="I12" s="2589" t="s">
        <v>2458</v>
      </c>
      <c r="J12" s="782">
        <f ca="1">ROUND(IF(M12="押一",J8/12*M13,IF(M12="押二",J8/12*2*M13,IF(M12="押三",J8/12*3*M13,J13*M13))),0)</f>
        <v>0</v>
      </c>
      <c r="K12" s="2524" t="s">
        <v>2974</v>
      </c>
      <c r="L12" s="2521" t="s">
        <v>2463</v>
      </c>
      <c r="M12" s="2644"/>
    </row>
    <row r="13" spans="1:25" ht="18" customHeight="1">
      <c r="A13" s="789"/>
      <c r="B13" s="2518" t="s">
        <v>2572</v>
      </c>
      <c r="C13" s="2522"/>
      <c r="D13" s="788"/>
      <c r="E13" s="2521" t="s">
        <v>2455</v>
      </c>
      <c r="F13" s="795">
        <f ca="1">'数据-取费表'!B39</f>
        <v>1.4999999999999999E-2</v>
      </c>
      <c r="G13" s="1590"/>
      <c r="H13" s="2585"/>
      <c r="I13" s="2518" t="s">
        <v>2572</v>
      </c>
      <c r="J13" s="2522"/>
      <c r="K13" s="2586"/>
      <c r="L13" s="2521" t="s">
        <v>2455</v>
      </c>
      <c r="M13" s="2515">
        <f ca="1">'数据-取费表'!B39</f>
        <v>1.4999999999999999E-2</v>
      </c>
    </row>
    <row r="14" spans="1:25" ht="18" customHeight="1" thickBot="1">
      <c r="A14" s="2560" t="s">
        <v>2466</v>
      </c>
      <c r="B14" s="2561" t="s">
        <v>2459</v>
      </c>
      <c r="C14" s="2562"/>
      <c r="D14" s="2563"/>
      <c r="E14" s="2564"/>
      <c r="F14" s="2565"/>
      <c r="G14" s="1590"/>
      <c r="H14" s="2574" t="s">
        <v>2466</v>
      </c>
      <c r="I14" s="2587" t="s">
        <v>2459</v>
      </c>
      <c r="J14" s="2588"/>
      <c r="K14" s="2563"/>
      <c r="L14" s="2564"/>
      <c r="M14" s="2577"/>
    </row>
    <row r="15" spans="1:25" ht="18" customHeight="1" thickTop="1">
      <c r="A15" s="1828" t="s">
        <v>1874</v>
      </c>
      <c r="B15" s="1826" t="s">
        <v>641</v>
      </c>
      <c r="C15" s="791">
        <f ca="1">ROUND(C31*F15,0)</f>
        <v>0</v>
      </c>
      <c r="D15" s="1833" t="s">
        <v>642</v>
      </c>
      <c r="E15" s="794" t="s">
        <v>643</v>
      </c>
      <c r="F15" s="799">
        <f ca="1">INDIRECT("'数据-取费表'!y"&amp;$G$1)</f>
        <v>0</v>
      </c>
      <c r="G15" s="1590"/>
      <c r="H15" s="1828" t="s">
        <v>1826</v>
      </c>
      <c r="I15" s="1826" t="s">
        <v>644</v>
      </c>
      <c r="J15" s="1818">
        <f ca="1">ROUND(J16*J17,0)</f>
        <v>0</v>
      </c>
      <c r="K15" s="1820" t="s">
        <v>642</v>
      </c>
      <c r="L15" s="800"/>
      <c r="M15" s="801"/>
    </row>
    <row r="16" spans="1:25" ht="18" customHeight="1">
      <c r="A16" s="802" t="s">
        <v>1875</v>
      </c>
      <c r="B16" s="783" t="s">
        <v>645</v>
      </c>
      <c r="C16" s="803">
        <f ca="1">INDIRECT("'数据-取费表'!m"&amp;$G$1)+INDIRECT("'数据-取费表'!t"&amp;$G$1)</f>
        <v>0</v>
      </c>
      <c r="D16" s="1978" t="s">
        <v>646</v>
      </c>
      <c r="E16" s="1979"/>
      <c r="F16" s="804"/>
      <c r="G16" s="1590"/>
      <c r="H16" s="802" t="s">
        <v>2069</v>
      </c>
      <c r="I16" s="2230" t="s">
        <v>2823</v>
      </c>
      <c r="J16" s="53">
        <f ca="1">C31</f>
        <v>0</v>
      </c>
      <c r="K16" s="26"/>
      <c r="L16" s="800"/>
      <c r="M16" s="801"/>
    </row>
    <row r="17" spans="1:25" s="2063" customFormat="1" ht="18" customHeight="1">
      <c r="A17" s="802" t="s">
        <v>1849</v>
      </c>
      <c r="B17" s="783" t="s">
        <v>647</v>
      </c>
      <c r="C17" s="53">
        <f ca="1">ROUND(C16*F17,0)</f>
        <v>0</v>
      </c>
      <c r="D17" s="805" t="s">
        <v>648</v>
      </c>
      <c r="E17" s="805" t="s">
        <v>649</v>
      </c>
      <c r="F17" s="806">
        <f>'数据-取费表'!B33</f>
        <v>0.05</v>
      </c>
      <c r="G17" s="1591"/>
      <c r="H17" s="802" t="s">
        <v>2070</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1"/>
      <c r="M18" s="56"/>
    </row>
    <row r="19" spans="1:25" s="2063" customFormat="1" ht="18" customHeight="1">
      <c r="A19" s="802" t="s">
        <v>1851</v>
      </c>
      <c r="B19" s="783" t="s">
        <v>653</v>
      </c>
      <c r="C19" s="53">
        <f ca="1">ROUND(F19*(INDIRECT("'数据-取费表'!k"&amp;$G$1)+INDIRECT("'数据-取费表'!S"&amp;$G$1))/10000,0)</f>
        <v>0</v>
      </c>
      <c r="D19" s="783" t="s">
        <v>654</v>
      </c>
      <c r="E19" s="783" t="s">
        <v>655</v>
      </c>
      <c r="F19" s="56">
        <f>'数据-取费表'!B35</f>
        <v>500</v>
      </c>
      <c r="G19" s="1591"/>
      <c r="H19" s="802" t="s">
        <v>2069</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1876</v>
      </c>
      <c r="B21" s="783" t="s">
        <v>662</v>
      </c>
      <c r="C21" s="53">
        <f ca="1">SUM(C16:C20)</f>
        <v>0</v>
      </c>
      <c r="D21" s="260" t="s">
        <v>663</v>
      </c>
      <c r="E21" s="1981"/>
      <c r="F21" s="56"/>
      <c r="G21" s="1590"/>
      <c r="H21" s="1829" t="s">
        <v>1849</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1877</v>
      </c>
      <c r="B22" s="783" t="s">
        <v>666</v>
      </c>
      <c r="C22" s="53">
        <f ca="1">ROUND(C21*F22,0)</f>
        <v>0</v>
      </c>
      <c r="D22" s="811" t="s">
        <v>667</v>
      </c>
      <c r="E22" s="783" t="s">
        <v>649</v>
      </c>
      <c r="F22" s="808">
        <f>'数据-取费表'!B37</f>
        <v>0.03</v>
      </c>
      <c r="G22" s="1591"/>
      <c r="H22" s="1831" t="s">
        <v>1850</v>
      </c>
      <c r="I22" s="1821" t="s">
        <v>668</v>
      </c>
      <c r="J22" s="54">
        <f ca="1">ROUND(M22*M23/10000,0)</f>
        <v>0</v>
      </c>
      <c r="K22" s="813" t="s">
        <v>669</v>
      </c>
      <c r="L22" s="783" t="s">
        <v>670</v>
      </c>
      <c r="M22" s="639">
        <f>'数据-取费表'!B52</f>
        <v>0</v>
      </c>
      <c r="N22" s="2062"/>
      <c r="O22" s="2062"/>
      <c r="P22" s="2062"/>
      <c r="Q22" s="2062"/>
      <c r="R22" s="2062"/>
      <c r="S22" s="2062"/>
      <c r="T22" s="2062"/>
      <c r="U22" s="2062"/>
      <c r="V22" s="2062"/>
      <c r="W22" s="2062"/>
      <c r="X22" s="2062"/>
      <c r="Y22" s="2062"/>
    </row>
    <row r="23" spans="1:25" s="2063" customFormat="1" ht="18" customHeight="1">
      <c r="A23" s="802" t="s">
        <v>1878</v>
      </c>
      <c r="B23" s="783" t="s">
        <v>671</v>
      </c>
      <c r="C23" s="53" t="s">
        <v>1</v>
      </c>
      <c r="D23" s="811" t="s">
        <v>672</v>
      </c>
      <c r="E23" s="783" t="s">
        <v>673</v>
      </c>
      <c r="F23" s="808">
        <f>'数据-取费表'!B38</f>
        <v>0.05</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675</v>
      </c>
      <c r="C24" s="53"/>
      <c r="D24" s="2595" t="str">
        <f>IF(F25&lt;=1,"单利计息。","复利计息。")&amp;"建造成本、管理费用、销售费用产生的利息。"</f>
        <v>复利计息。建造成本、管理费用、销售费用产生的利息。</v>
      </c>
      <c r="E24" s="1981"/>
      <c r="F24" s="56"/>
      <c r="G24" s="1590"/>
      <c r="H24" s="1830" t="s">
        <v>2070</v>
      </c>
      <c r="I24" s="783" t="s">
        <v>676</v>
      </c>
      <c r="J24" s="53">
        <f ca="1">ROUND(J16*M24,0)</f>
        <v>0</v>
      </c>
      <c r="K24" s="1976" t="s">
        <v>677</v>
      </c>
      <c r="L24" s="783" t="s">
        <v>649</v>
      </c>
      <c r="M24" s="816">
        <f ca="1">INDIRECT("'数据-取费表'!Ak"&amp;$G$1)</f>
        <v>0</v>
      </c>
    </row>
    <row r="25" spans="1:25" s="2063" customFormat="1" ht="18" customHeight="1">
      <c r="A25" s="802" t="s">
        <v>1875</v>
      </c>
      <c r="B25" s="783" t="s">
        <v>2436</v>
      </c>
      <c r="C25" s="53">
        <f ca="1">ROUND(IF('数据-取费表'!B22&lt;=1,(C21+C22)*F26*F25/2,(C21+C22)*(POWER((1+F26),F25/2)-1)),0)</f>
        <v>0</v>
      </c>
      <c r="D25" s="2594"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681</v>
      </c>
      <c r="C26" s="53">
        <f ca="1">ROUND(IF('数据-取费表'!B22&lt;=1,F23*F26*F25/2,F23*(POWER((1+F26),F25/2)-1)),4)</f>
        <v>1.8E-3</v>
      </c>
      <c r="D26" s="2594"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684</v>
      </c>
      <c r="C27" s="53"/>
      <c r="D27" s="260" t="s">
        <v>685</v>
      </c>
      <c r="E27" s="1981"/>
      <c r="F27" s="56"/>
      <c r="G27" s="1590"/>
      <c r="H27" s="796" t="s">
        <v>1828</v>
      </c>
      <c r="I27" s="3034" t="s">
        <v>2820</v>
      </c>
      <c r="J27" s="798">
        <f ca="1">J7-J18</f>
        <v>0</v>
      </c>
      <c r="K27" s="1978" t="s">
        <v>700</v>
      </c>
      <c r="L27" s="1980"/>
      <c r="M27" s="819"/>
    </row>
    <row r="28" spans="1:25" ht="18" customHeight="1">
      <c r="A28" s="802" t="s">
        <v>1875</v>
      </c>
      <c r="B28" s="783" t="s">
        <v>2437</v>
      </c>
      <c r="C28" s="53">
        <f ca="1">ROUND((C21+C22)*F28,0)</f>
        <v>0</v>
      </c>
      <c r="D28" s="811" t="s">
        <v>701</v>
      </c>
      <c r="E28" s="794" t="s">
        <v>702</v>
      </c>
      <c r="F28" s="793">
        <f ca="1">INDIRECT("'数据-取费表'!q"&amp;$G$1)</f>
        <v>0</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2821</v>
      </c>
      <c r="C31" s="2567">
        <f ca="1">ROUND((C21+C22+C25+C28)/(1-F23-C26-C29-C30),0)</f>
        <v>0</v>
      </c>
      <c r="D31" s="2568"/>
      <c r="E31" s="2569"/>
      <c r="F31" s="2570"/>
      <c r="G31" s="1591"/>
      <c r="H31" s="822" t="s">
        <v>1872</v>
      </c>
      <c r="I31" s="3035" t="s">
        <v>2822</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510"/>
      <c r="F32" s="2514"/>
      <c r="G32" s="2061"/>
      <c r="H32" s="2064"/>
      <c r="I32" s="2065"/>
      <c r="J32" s="2066"/>
      <c r="K32" s="2067"/>
      <c r="L32" s="2068"/>
      <c r="M32" s="2069"/>
    </row>
    <row r="33" spans="1:18" ht="18" customHeight="1">
      <c r="A33" s="802" t="s">
        <v>1876</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1875</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1"/>
      <c r="H35" s="2076"/>
      <c r="I35" s="2076"/>
      <c r="J35" s="2076"/>
      <c r="K35" s="2077"/>
      <c r="L35" s="2076"/>
      <c r="M35" s="2076"/>
    </row>
    <row r="36" spans="1:18" ht="18" customHeight="1">
      <c r="A36" s="812" t="s">
        <v>1880</v>
      </c>
      <c r="B36" s="340" t="s">
        <v>668</v>
      </c>
      <c r="C36" s="54">
        <f ca="1">ROUND(F36*F37/10000,1)</f>
        <v>0</v>
      </c>
      <c r="D36" s="813" t="s">
        <v>669</v>
      </c>
      <c r="E36" s="783" t="s">
        <v>670</v>
      </c>
      <c r="F36" s="639">
        <f>'数据-取费表'!B52</f>
        <v>0</v>
      </c>
      <c r="G36" s="2061"/>
      <c r="H36" s="2064"/>
      <c r="I36" s="3488"/>
      <c r="J36" s="2078"/>
      <c r="K36" s="2079"/>
      <c r="L36" s="2078"/>
      <c r="M36" s="2078"/>
    </row>
    <row r="37" spans="1:18" ht="18" customHeight="1">
      <c r="A37" s="814"/>
      <c r="B37" s="792"/>
      <c r="C37" s="69"/>
      <c r="D37" s="815"/>
      <c r="E37" s="783" t="s">
        <v>674</v>
      </c>
      <c r="F37" s="784">
        <f ca="1">INDIRECT("'数据-取费表'!r"&amp;$G$1)</f>
        <v>0</v>
      </c>
      <c r="G37" s="2061"/>
      <c r="H37" s="2064"/>
      <c r="I37" s="3488"/>
      <c r="J37" s="2076"/>
      <c r="K37" s="2077"/>
      <c r="L37" s="2076"/>
      <c r="M37" s="2076"/>
    </row>
    <row r="38" spans="1:18" ht="18" customHeight="1">
      <c r="A38" s="802" t="s">
        <v>1877</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1878</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83" t="s">
        <v>1879</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1876</v>
      </c>
      <c r="B42" s="834" t="s">
        <v>693</v>
      </c>
      <c r="C42" s="828">
        <f ca="1">C7-C32</f>
        <v>0</v>
      </c>
      <c r="D42" s="1978" t="s">
        <v>694</v>
      </c>
      <c r="E42" s="1980"/>
      <c r="F42" s="819"/>
      <c r="G42" s="2061"/>
      <c r="H42" s="2061"/>
      <c r="I42" s="2061"/>
      <c r="J42" s="2061"/>
      <c r="K42" s="2082"/>
      <c r="L42" s="2061"/>
      <c r="M42" s="2061"/>
    </row>
    <row r="43" spans="1:18" ht="18" customHeight="1">
      <c r="A43" s="802" t="s">
        <v>1877</v>
      </c>
      <c r="B43" s="834" t="s">
        <v>711</v>
      </c>
      <c r="C43" s="835">
        <f ca="1">ROUND(C15*F43,0)</f>
        <v>0</v>
      </c>
      <c r="D43" s="1354" t="s">
        <v>712</v>
      </c>
      <c r="E43" s="3152" t="s">
        <v>2962</v>
      </c>
      <c r="F43" s="3153">
        <f ca="1">INDIRECT("'数据-取费表'!j"&amp;$G$1)</f>
        <v>0</v>
      </c>
      <c r="G43" s="2061"/>
      <c r="H43" s="2061"/>
      <c r="I43" s="2061"/>
      <c r="J43" s="2061"/>
      <c r="K43" s="2082"/>
      <c r="L43" s="2061"/>
      <c r="M43" s="2061"/>
    </row>
    <row r="44" spans="1:18" ht="18" customHeight="1">
      <c r="A44" s="802" t="s">
        <v>1878</v>
      </c>
      <c r="B44" s="834" t="s">
        <v>713</v>
      </c>
      <c r="C44" s="1355">
        <f ca="1">C42-C43</f>
        <v>0</v>
      </c>
      <c r="D44" s="462" t="s">
        <v>714</v>
      </c>
      <c r="E44" s="463"/>
      <c r="F44" s="464"/>
      <c r="G44" s="2061"/>
      <c r="H44" s="2061"/>
      <c r="I44" s="2061"/>
      <c r="J44" s="2061"/>
      <c r="K44" s="2082"/>
      <c r="L44" s="2061"/>
      <c r="M44" s="2061"/>
    </row>
    <row r="45" spans="1:18" ht="18" customHeight="1">
      <c r="A45" s="802" t="s">
        <v>1879</v>
      </c>
      <c r="B45" s="1354" t="s">
        <v>715</v>
      </c>
      <c r="C45" s="3061">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54" t="s">
        <v>2965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9"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93"/>
      <c r="L54" s="3494"/>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6" t="s">
        <v>2354</v>
      </c>
      <c r="J56" s="3150"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9" t="s">
        <v>1678</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51"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8" t="s">
        <v>2941</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9">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30">
        <v>0</v>
      </c>
      <c r="O65" s="2427" t="s">
        <v>2414</v>
      </c>
      <c r="P65" s="1590"/>
      <c r="Q65" s="1602"/>
      <c r="R65" s="1590"/>
    </row>
    <row r="66" spans="1:18" s="2058" customFormat="1" ht="15.75" thickBot="1">
      <c r="A66" s="2095"/>
      <c r="B66" s="2096"/>
      <c r="C66" s="2096"/>
      <c r="I66" s="2408" t="s">
        <v>2371</v>
      </c>
      <c r="J66" s="2409">
        <v>40</v>
      </c>
      <c r="K66" s="2409">
        <v>30</v>
      </c>
      <c r="L66" s="2409">
        <v>50</v>
      </c>
      <c r="M66" s="3129">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56.25">
      <c r="A7" s="1794" t="s">
        <v>2745</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2940</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本次估价对象为出让国有建设用地使用权，《国有土地使用证》[万国用（2010）第105026号]证载土地终止日期为住宅2079年12月31日。截至估价期日，出让国有建设用地使用权剩余土地使用年限为住宅61.7年。</v>
      </c>
    </row>
    <row r="23" spans="1:1" ht="18.75">
      <c r="A23" s="1790" t="str">
        <f>IF(项目基本情况!B16="出让","本次评估设定估价对象剩余土地使用年限为"&amp;项目基本情况!D20&amp;"。","")</f>
        <v>本次评估设定估价对象剩余土地使用年限为住宅61.7年。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6"/>
    <col min="2" max="6" width="9" style="2686" customWidth="1"/>
    <col min="7" max="7" width="9" style="2702" customWidth="1"/>
    <col min="8" max="12" width="9" style="2686" customWidth="1"/>
    <col min="13" max="13" width="2.1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8.875" style="2686"/>
    <col min="26" max="27" width="11.625" style="2686" customWidth="1"/>
    <col min="28" max="28" width="8.875" style="2686"/>
    <col min="29" max="29" width="2" style="2686" customWidth="1"/>
    <col min="30" max="16384" width="8.875" style="2686"/>
  </cols>
  <sheetData>
    <row r="1" spans="1:34" s="2676" customFormat="1">
      <c r="B1" s="3501" t="s">
        <v>2575</v>
      </c>
      <c r="C1" s="3501"/>
      <c r="D1" s="3501"/>
      <c r="E1" s="3501"/>
      <c r="F1" s="3501"/>
      <c r="G1" s="3500" t="s">
        <v>2576</v>
      </c>
      <c r="H1" s="3500"/>
      <c r="I1" s="3500"/>
      <c r="J1" s="3500"/>
      <c r="K1" s="3500"/>
      <c r="L1" s="3500"/>
      <c r="N1" s="3500" t="s">
        <v>2577</v>
      </c>
      <c r="O1" s="3500"/>
      <c r="P1" s="3500"/>
      <c r="Q1" s="3500"/>
      <c r="R1" s="2677"/>
      <c r="S1" s="3500" t="s">
        <v>2578</v>
      </c>
      <c r="T1" s="3500"/>
      <c r="U1" s="3500"/>
      <c r="V1" s="3500"/>
      <c r="X1" s="3499" t="s">
        <v>2638</v>
      </c>
      <c r="Y1" s="3500"/>
      <c r="Z1" s="3500"/>
      <c r="AA1" s="3500"/>
      <c r="AB1" s="3500"/>
      <c r="AD1" s="3499" t="s">
        <v>2642</v>
      </c>
      <c r="AE1" s="3500"/>
      <c r="AF1" s="3500"/>
      <c r="AG1" s="3500"/>
      <c r="AH1" s="3500"/>
    </row>
    <row r="2" spans="1:34" s="2779" customFormat="1" ht="14.25" thickBot="1">
      <c r="B2" s="2787" t="s">
        <v>2579</v>
      </c>
      <c r="C2" s="2787" t="s">
        <v>2640</v>
      </c>
      <c r="D2" s="2780" t="s">
        <v>1644</v>
      </c>
      <c r="E2" s="2780" t="s">
        <v>1951</v>
      </c>
      <c r="F2" s="2787" t="s">
        <v>2641</v>
      </c>
      <c r="G2" s="2783"/>
      <c r="H2" s="2782"/>
      <c r="I2" s="2787" t="s">
        <v>2956</v>
      </c>
      <c r="J2" s="2780" t="s">
        <v>2958</v>
      </c>
      <c r="K2" s="2780" t="s">
        <v>2959</v>
      </c>
      <c r="L2" s="2787" t="s">
        <v>2960</v>
      </c>
      <c r="N2" s="2787" t="s">
        <v>2579</v>
      </c>
      <c r="O2" s="2780" t="s">
        <v>2957</v>
      </c>
      <c r="P2" s="2780" t="s">
        <v>1951</v>
      </c>
      <c r="Q2" s="2787" t="s">
        <v>2641</v>
      </c>
      <c r="R2" s="2781"/>
      <c r="S2" s="2787" t="s">
        <v>2579</v>
      </c>
      <c r="T2" s="2780" t="s">
        <v>2957</v>
      </c>
      <c r="U2" s="2780" t="s">
        <v>1951</v>
      </c>
      <c r="V2" s="2787" t="s">
        <v>2641</v>
      </c>
      <c r="X2" s="2787" t="s">
        <v>2579</v>
      </c>
      <c r="Y2" s="2787" t="s">
        <v>2640</v>
      </c>
      <c r="Z2" s="2780" t="s">
        <v>1644</v>
      </c>
      <c r="AA2" s="2780" t="s">
        <v>1951</v>
      </c>
      <c r="AB2" s="2787" t="s">
        <v>2641</v>
      </c>
      <c r="AD2" s="2787" t="s">
        <v>2579</v>
      </c>
      <c r="AE2" s="2787" t="s">
        <v>2640</v>
      </c>
      <c r="AF2" s="2780" t="s">
        <v>1644</v>
      </c>
      <c r="AG2" s="2780" t="s">
        <v>1951</v>
      </c>
      <c r="AH2" s="2787" t="s">
        <v>2641</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2" customFormat="1" ht="14.25">
      <c r="B4" s="2773"/>
      <c r="C4" s="2773"/>
      <c r="D4" s="2774"/>
      <c r="E4" s="2774"/>
      <c r="F4" s="2773"/>
      <c r="G4" s="2778"/>
      <c r="H4" s="2775"/>
      <c r="I4" s="3157"/>
      <c r="J4" s="3157"/>
      <c r="K4" s="3157"/>
      <c r="L4" s="3157"/>
      <c r="N4" s="2778"/>
      <c r="O4" s="2776"/>
      <c r="P4" s="2776"/>
      <c r="Q4" s="2776"/>
      <c r="R4" s="2776"/>
      <c r="S4" s="2778"/>
      <c r="T4" s="2776"/>
      <c r="U4" s="2776"/>
      <c r="V4" s="2776"/>
      <c r="W4" s="3173"/>
      <c r="X4" s="2777"/>
      <c r="Y4" s="2777"/>
      <c r="Z4" s="2777"/>
      <c r="AA4" s="2777"/>
      <c r="AB4" s="2777"/>
      <c r="AD4" s="2697"/>
      <c r="AE4" s="2697"/>
      <c r="AF4" s="2697"/>
      <c r="AG4" s="2697"/>
      <c r="AH4" s="2697"/>
    </row>
    <row r="5" spans="1:34" s="3143" customFormat="1">
      <c r="A5" s="3141" t="s">
        <v>2976</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2">
        <v>2</v>
      </c>
      <c r="I5" s="3158">
        <v>0</v>
      </c>
      <c r="J5" s="3158">
        <v>0</v>
      </c>
      <c r="K5" s="3158">
        <v>0</v>
      </c>
      <c r="L5" s="3158">
        <v>0</v>
      </c>
      <c r="N5" s="2785">
        <f t="shared" ref="N5" si="6">I5/100</f>
        <v>0</v>
      </c>
      <c r="O5" s="2785">
        <f t="shared" ref="O5" si="7">J5/100</f>
        <v>0</v>
      </c>
      <c r="P5" s="2785">
        <f t="shared" ref="P5" si="8">K5/100</f>
        <v>0</v>
      </c>
      <c r="Q5" s="2785">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4" customFormat="1" ht="13.5" thickBot="1">
      <c r="A6" s="2678" t="s">
        <v>2977</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3">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2967</v>
      </c>
      <c r="B7" s="3178">
        <v>439</v>
      </c>
      <c r="C7" s="3178">
        <v>327</v>
      </c>
      <c r="D7" s="3178">
        <f t="shared" si="13"/>
        <v>327</v>
      </c>
      <c r="E7" s="3178">
        <v>627</v>
      </c>
      <c r="F7" s="3179">
        <v>283</v>
      </c>
      <c r="G7" s="3161">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2971</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3"/>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2580</v>
      </c>
      <c r="B9" s="2692">
        <f t="shared" si="25"/>
        <v>419.31181600000002</v>
      </c>
      <c r="C9" s="2692">
        <f t="shared" si="25"/>
        <v>313.95436800000004</v>
      </c>
      <c r="D9" s="2692">
        <f t="shared" si="13"/>
        <v>313.95436800000004</v>
      </c>
      <c r="E9" s="2692">
        <f t="shared" si="26"/>
        <v>596.63028431999999</v>
      </c>
      <c r="F9" s="2692">
        <f t="shared" si="26"/>
        <v>274.74220703999998</v>
      </c>
      <c r="G9" s="3162"/>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2581</v>
      </c>
      <c r="B10" s="2692">
        <f t="shared" si="25"/>
        <v>405.524</v>
      </c>
      <c r="C10" s="2692">
        <f t="shared" si="25"/>
        <v>307.79840000000002</v>
      </c>
      <c r="D10" s="2692">
        <f t="shared" si="13"/>
        <v>307.79840000000002</v>
      </c>
      <c r="E10" s="2692">
        <f t="shared" si="26"/>
        <v>574.67759999999998</v>
      </c>
      <c r="F10" s="2692">
        <f t="shared" si="26"/>
        <v>270.20280000000002</v>
      </c>
      <c r="G10" s="3163"/>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970</v>
      </c>
      <c r="B11" s="2684">
        <v>392</v>
      </c>
      <c r="C11" s="2684">
        <v>302</v>
      </c>
      <c r="D11" s="2684">
        <f t="shared" si="13"/>
        <v>302</v>
      </c>
      <c r="E11" s="2684">
        <v>553</v>
      </c>
      <c r="F11" s="2685">
        <v>266</v>
      </c>
      <c r="G11" s="3498">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969</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6"/>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959</v>
      </c>
      <c r="B13" s="2692">
        <f t="shared" si="34"/>
        <v>360.06949782209392</v>
      </c>
      <c r="C13" s="2692">
        <f t="shared" si="34"/>
        <v>289.84672674747821</v>
      </c>
      <c r="D13" s="2692">
        <f t="shared" si="35"/>
        <v>289.84672674747821</v>
      </c>
      <c r="E13" s="2692">
        <f t="shared" si="36"/>
        <v>501.06543001181495</v>
      </c>
      <c r="F13" s="2692">
        <f t="shared" si="36"/>
        <v>256.82882500744967</v>
      </c>
      <c r="G13" s="3496"/>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968</v>
      </c>
      <c r="B14" s="2692">
        <f t="shared" si="34"/>
        <v>346.720748986128</v>
      </c>
      <c r="C14" s="2692">
        <f t="shared" si="34"/>
        <v>284.30282172386285</v>
      </c>
      <c r="D14" s="2692">
        <f t="shared" si="35"/>
        <v>284.30282172386285</v>
      </c>
      <c r="E14" s="2692">
        <f t="shared" si="36"/>
        <v>479.58023546306947</v>
      </c>
      <c r="F14" s="2692">
        <f t="shared" si="36"/>
        <v>253.25788877571213</v>
      </c>
      <c r="G14" s="3497"/>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967</v>
      </c>
      <c r="B15" s="2684">
        <v>333</v>
      </c>
      <c r="C15" s="2684">
        <v>277</v>
      </c>
      <c r="D15" s="2684">
        <f t="shared" si="35"/>
        <v>277</v>
      </c>
      <c r="E15" s="2684">
        <v>459</v>
      </c>
      <c r="F15" s="2685">
        <v>249</v>
      </c>
      <c r="G15" s="3495">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966</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6"/>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965</v>
      </c>
      <c r="B17" s="2692">
        <f t="shared" si="38"/>
        <v>322.34053690220776</v>
      </c>
      <c r="C17" s="2692">
        <f t="shared" si="38"/>
        <v>271.46160770422546</v>
      </c>
      <c r="D17" s="2692">
        <f t="shared" si="35"/>
        <v>271.46160770422546</v>
      </c>
      <c r="E17" s="2692">
        <f t="shared" si="39"/>
        <v>442.69434542172456</v>
      </c>
      <c r="F17" s="2692">
        <f t="shared" si="39"/>
        <v>241.34030753190925</v>
      </c>
      <c r="G17" s="3496"/>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964</v>
      </c>
      <c r="B18" s="2692">
        <f t="shared" si="38"/>
        <v>319.87748030386797</v>
      </c>
      <c r="C18" s="2692">
        <f t="shared" si="38"/>
        <v>269.60135833173649</v>
      </c>
      <c r="D18" s="2692">
        <f t="shared" si="35"/>
        <v>269.60135833173649</v>
      </c>
      <c r="E18" s="2692">
        <f t="shared" si="39"/>
        <v>439.18089823583784</v>
      </c>
      <c r="F18" s="2692">
        <f t="shared" si="39"/>
        <v>239.23503918706311</v>
      </c>
      <c r="G18" s="3497"/>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963</v>
      </c>
      <c r="B19" s="2706">
        <v>318</v>
      </c>
      <c r="C19" s="2706">
        <v>268</v>
      </c>
      <c r="D19" s="2706">
        <f t="shared" si="35"/>
        <v>268</v>
      </c>
      <c r="E19" s="2706">
        <v>437</v>
      </c>
      <c r="F19" s="2707">
        <v>237</v>
      </c>
      <c r="G19" s="3495">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962</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6"/>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961</v>
      </c>
      <c r="B21" s="2692">
        <f t="shared" si="40"/>
        <v>314.72141172386546</v>
      </c>
      <c r="C21" s="2692">
        <f t="shared" si="40"/>
        <v>263.03901319069001</v>
      </c>
      <c r="D21" s="2692">
        <f t="shared" si="35"/>
        <v>263.03901319069001</v>
      </c>
      <c r="E21" s="2692">
        <f t="shared" si="41"/>
        <v>433.65745506782821</v>
      </c>
      <c r="F21" s="2692">
        <f t="shared" si="41"/>
        <v>233.23005080045735</v>
      </c>
      <c r="G21" s="3496"/>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960</v>
      </c>
      <c r="B22" s="2711">
        <f t="shared" si="40"/>
        <v>307.34512863658733</v>
      </c>
      <c r="C22" s="2711">
        <f t="shared" si="40"/>
        <v>257.80556031626975</v>
      </c>
      <c r="D22" s="2711">
        <f t="shared" si="35"/>
        <v>257.80556031626975</v>
      </c>
      <c r="E22" s="2711">
        <f t="shared" si="41"/>
        <v>422.70928459677179</v>
      </c>
      <c r="F22" s="2711">
        <f t="shared" si="41"/>
        <v>229.73803270336617</v>
      </c>
      <c r="G22" s="3497"/>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2639</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2582</v>
      </c>
      <c r="B23" s="2684">
        <v>299</v>
      </c>
      <c r="C23" s="2684">
        <v>252</v>
      </c>
      <c r="D23" s="2684">
        <f t="shared" si="35"/>
        <v>252</v>
      </c>
      <c r="E23" s="2684">
        <v>409</v>
      </c>
      <c r="F23" s="2685">
        <v>227</v>
      </c>
      <c r="G23" s="3502">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2583</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3"/>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2584</v>
      </c>
      <c r="B25" s="2692">
        <f t="shared" si="44"/>
        <v>288.2649053828776</v>
      </c>
      <c r="C25" s="2692">
        <f t="shared" si="44"/>
        <v>243.64564425013293</v>
      </c>
      <c r="D25" s="2692">
        <f t="shared" si="35"/>
        <v>243.64564425013293</v>
      </c>
      <c r="E25" s="2692">
        <f t="shared" si="45"/>
        <v>393.31080825986544</v>
      </c>
      <c r="F25" s="2692">
        <f t="shared" si="45"/>
        <v>223.07903790551154</v>
      </c>
      <c r="G25" s="3503"/>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2585</v>
      </c>
      <c r="B26" s="2692">
        <f t="shared" si="44"/>
        <v>282.50186729015837</v>
      </c>
      <c r="C26" s="2692">
        <f t="shared" si="44"/>
        <v>238.09796174155468</v>
      </c>
      <c r="D26" s="2692">
        <f t="shared" si="35"/>
        <v>238.09796174155468</v>
      </c>
      <c r="E26" s="2692">
        <f t="shared" si="45"/>
        <v>385.33438646014054</v>
      </c>
      <c r="F26" s="2692">
        <f t="shared" si="45"/>
        <v>221.55034055567739</v>
      </c>
      <c r="G26" s="3504"/>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2586</v>
      </c>
      <c r="B27" s="2722">
        <v>278</v>
      </c>
      <c r="C27" s="2722">
        <v>234</v>
      </c>
      <c r="D27" s="2722">
        <f t="shared" si="35"/>
        <v>234</v>
      </c>
      <c r="E27" s="2722">
        <v>379</v>
      </c>
      <c r="F27" s="2723">
        <v>220</v>
      </c>
      <c r="G27" s="3495">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2587</v>
      </c>
      <c r="B28" s="2692">
        <f>B27/(1+N27)</f>
        <v>275.49301357645425</v>
      </c>
      <c r="C28" s="2692">
        <f>C27/(1+O27)</f>
        <v>232.41954707985698</v>
      </c>
      <c r="D28" s="2692">
        <f t="shared" si="35"/>
        <v>232.41954707985698</v>
      </c>
      <c r="E28" s="2692">
        <f t="shared" ref="E28:F30" si="46">E27/(1+P27)</f>
        <v>375.32184591008121</v>
      </c>
      <c r="F28" s="2692">
        <f t="shared" si="46"/>
        <v>218.03766105054513</v>
      </c>
      <c r="G28" s="3496"/>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2588</v>
      </c>
      <c r="B29" s="2692">
        <f>B28/(1+N28)</f>
        <v>275.24529281292263</v>
      </c>
      <c r="C29" s="2692">
        <f>C28/(1+O28)</f>
        <v>231.74747938962707</v>
      </c>
      <c r="D29" s="2692">
        <f t="shared" si="35"/>
        <v>231.74747938962707</v>
      </c>
      <c r="E29" s="2692">
        <f t="shared" si="46"/>
        <v>375.35938184826603</v>
      </c>
      <c r="F29" s="2692">
        <f t="shared" si="46"/>
        <v>216.78033510692495</v>
      </c>
      <c r="G29" s="3496"/>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2589</v>
      </c>
      <c r="B30" s="2692">
        <f>B29/(1+N29)</f>
        <v>275.19025476197027</v>
      </c>
      <c r="C30" s="2724">
        <v>232</v>
      </c>
      <c r="D30" s="2724">
        <f t="shared" si="35"/>
        <v>232</v>
      </c>
      <c r="E30" s="2692">
        <f t="shared" si="46"/>
        <v>375.65990977608692</v>
      </c>
      <c r="F30" s="2692">
        <f t="shared" si="46"/>
        <v>214.12518283971252</v>
      </c>
      <c r="G30" s="3497"/>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2590</v>
      </c>
      <c r="B31" s="2684">
        <v>275</v>
      </c>
      <c r="C31" s="2684">
        <v>232</v>
      </c>
      <c r="D31" s="2684">
        <f t="shared" si="35"/>
        <v>232</v>
      </c>
      <c r="E31" s="2684">
        <v>376</v>
      </c>
      <c r="F31" s="2685">
        <v>213</v>
      </c>
      <c r="G31" s="3495">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2591</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6">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2592</v>
      </c>
      <c r="B33" s="2692">
        <f t="shared" si="47"/>
        <v>275.19335084830601</v>
      </c>
      <c r="C33" s="2692">
        <f t="shared" si="47"/>
        <v>230.18088050139744</v>
      </c>
      <c r="D33" s="2692">
        <f t="shared" si="35"/>
        <v>230.18088050139744</v>
      </c>
      <c r="E33" s="2692">
        <f t="shared" si="48"/>
        <v>377.58482925212331</v>
      </c>
      <c r="F33" s="2692">
        <f t="shared" si="48"/>
        <v>210.90687997847917</v>
      </c>
      <c r="G33" s="3496">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2593</v>
      </c>
      <c r="B34" s="2692">
        <f t="shared" si="47"/>
        <v>276.29854502841971</v>
      </c>
      <c r="C34" s="2692">
        <f t="shared" si="47"/>
        <v>229.79023709833027</v>
      </c>
      <c r="D34" s="2692">
        <f t="shared" si="35"/>
        <v>229.79023709833027</v>
      </c>
      <c r="E34" s="2692">
        <f t="shared" si="48"/>
        <v>379.78759731655936</v>
      </c>
      <c r="F34" s="2692">
        <f t="shared" si="48"/>
        <v>211.32953905659235</v>
      </c>
      <c r="G34" s="3497">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2594</v>
      </c>
      <c r="B35" s="2684">
        <v>269</v>
      </c>
      <c r="C35" s="2684">
        <v>221</v>
      </c>
      <c r="D35" s="2684">
        <f t="shared" si="35"/>
        <v>221</v>
      </c>
      <c r="E35" s="2684">
        <v>373</v>
      </c>
      <c r="F35" s="2685">
        <v>196</v>
      </c>
      <c r="G35" s="3495">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2595</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6">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2596</v>
      </c>
      <c r="B37" s="2692">
        <f t="shared" si="49"/>
        <v>242.95398227588385</v>
      </c>
      <c r="C37" s="2692">
        <f t="shared" si="49"/>
        <v>199.59137053614126</v>
      </c>
      <c r="D37" s="2692">
        <f t="shared" si="35"/>
        <v>199.59137053614126</v>
      </c>
      <c r="E37" s="2692">
        <f t="shared" si="50"/>
        <v>335.92189522342125</v>
      </c>
      <c r="F37" s="2692">
        <f t="shared" si="50"/>
        <v>183.10139991109489</v>
      </c>
      <c r="G37" s="3496">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2597</v>
      </c>
      <c r="B38" s="2692">
        <f t="shared" si="49"/>
        <v>232.06990378821649</v>
      </c>
      <c r="C38" s="2692">
        <f t="shared" si="49"/>
        <v>192.74878854286936</v>
      </c>
      <c r="D38" s="2692">
        <f t="shared" si="35"/>
        <v>192.74878854286936</v>
      </c>
      <c r="E38" s="2692">
        <f t="shared" si="50"/>
        <v>319.71247284992984</v>
      </c>
      <c r="F38" s="2692">
        <f t="shared" si="50"/>
        <v>175.67053622862409</v>
      </c>
      <c r="G38" s="3497">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2598</v>
      </c>
      <c r="B39" s="2684">
        <v>220</v>
      </c>
      <c r="C39" s="2684">
        <v>187</v>
      </c>
      <c r="D39" s="2684">
        <f t="shared" si="35"/>
        <v>187</v>
      </c>
      <c r="E39" s="2684">
        <v>301</v>
      </c>
      <c r="F39" s="2685">
        <v>168</v>
      </c>
      <c r="G39" s="3495">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2599</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6">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2600</v>
      </c>
      <c r="B41" s="2692">
        <f t="shared" si="51"/>
        <v>210.630522469011</v>
      </c>
      <c r="C41" s="2692">
        <f t="shared" si="51"/>
        <v>181.69567812247232</v>
      </c>
      <c r="D41" s="2692">
        <f t="shared" si="35"/>
        <v>181.69567812247232</v>
      </c>
      <c r="E41" s="2692">
        <f t="shared" si="52"/>
        <v>286.13517466736738</v>
      </c>
      <c r="F41" s="2692">
        <f t="shared" si="52"/>
        <v>165.47535084591149</v>
      </c>
      <c r="G41" s="3496">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2601</v>
      </c>
      <c r="B42" s="2692">
        <f t="shared" si="51"/>
        <v>208.83454537875372</v>
      </c>
      <c r="C42" s="2692">
        <f t="shared" si="51"/>
        <v>183.77230517090351</v>
      </c>
      <c r="D42" s="2692">
        <f t="shared" si="35"/>
        <v>183.77230517090351</v>
      </c>
      <c r="E42" s="2692">
        <f t="shared" si="52"/>
        <v>281.10342338870947</v>
      </c>
      <c r="F42" s="2692">
        <f t="shared" si="52"/>
        <v>168.97309388942256</v>
      </c>
      <c r="G42" s="3497">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2602</v>
      </c>
      <c r="B43" s="2722">
        <v>214</v>
      </c>
      <c r="C43" s="2722">
        <v>188</v>
      </c>
      <c r="D43" s="2722">
        <f t="shared" si="35"/>
        <v>188</v>
      </c>
      <c r="E43" s="2722">
        <v>289</v>
      </c>
      <c r="F43" s="2723">
        <v>166</v>
      </c>
      <c r="G43" s="3495">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2603</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6">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2604</v>
      </c>
      <c r="B45" s="2692">
        <f t="shared" si="53"/>
        <v>206.31694671589116</v>
      </c>
      <c r="C45" s="2692">
        <f t="shared" si="53"/>
        <v>183.61041121036101</v>
      </c>
      <c r="D45" s="2692">
        <f t="shared" si="35"/>
        <v>183.61041121036101</v>
      </c>
      <c r="E45" s="2692">
        <f t="shared" si="54"/>
        <v>276.66850301795557</v>
      </c>
      <c r="F45" s="2692">
        <f t="shared" si="54"/>
        <v>165.1360938278614</v>
      </c>
      <c r="G45" s="3496">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2605</v>
      </c>
      <c r="B46" s="2725">
        <f t="shared" si="53"/>
        <v>196.62341248059772</v>
      </c>
      <c r="C46" s="2725">
        <f t="shared" si="53"/>
        <v>170.99125648199012</v>
      </c>
      <c r="D46" s="2725">
        <f t="shared" si="35"/>
        <v>170.99125648199012</v>
      </c>
      <c r="E46" s="2725">
        <f t="shared" si="54"/>
        <v>266.07857570490052</v>
      </c>
      <c r="F46" s="2725">
        <f t="shared" si="54"/>
        <v>154.53499328828505</v>
      </c>
      <c r="G46" s="3497">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2606</v>
      </c>
      <c r="B47" s="2684">
        <v>188</v>
      </c>
      <c r="C47" s="2684">
        <v>165</v>
      </c>
      <c r="D47" s="2684">
        <f t="shared" si="35"/>
        <v>165</v>
      </c>
      <c r="E47" s="2684">
        <v>254</v>
      </c>
      <c r="F47" s="2685">
        <v>148</v>
      </c>
      <c r="G47" s="3495">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2607</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6">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2608</v>
      </c>
      <c r="B49" s="2692">
        <f t="shared" si="57"/>
        <v>168.82017748715555</v>
      </c>
      <c r="C49" s="2692">
        <f t="shared" si="57"/>
        <v>148.06267029972753</v>
      </c>
      <c r="D49" s="2692">
        <f t="shared" si="35"/>
        <v>148.06267029972753</v>
      </c>
      <c r="E49" s="2692">
        <f t="shared" si="58"/>
        <v>216.46288379323747</v>
      </c>
      <c r="F49" s="2692">
        <f t="shared" si="58"/>
        <v>134.23529411764704</v>
      </c>
      <c r="G49" s="3496">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2609</v>
      </c>
      <c r="B50" s="2692">
        <f t="shared" si="57"/>
        <v>163.84913591779542</v>
      </c>
      <c r="C50" s="2692">
        <f t="shared" si="57"/>
        <v>145.0283378746594</v>
      </c>
      <c r="D50" s="2692">
        <f t="shared" si="35"/>
        <v>145.0283378746594</v>
      </c>
      <c r="E50" s="2692">
        <f t="shared" si="58"/>
        <v>204.95180722891567</v>
      </c>
      <c r="F50" s="2692">
        <f t="shared" si="58"/>
        <v>125.95920303605313</v>
      </c>
      <c r="G50" s="3497">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2610</v>
      </c>
      <c r="B51" s="2706">
        <v>159</v>
      </c>
      <c r="C51" s="2706">
        <v>141</v>
      </c>
      <c r="D51" s="2706">
        <f t="shared" si="35"/>
        <v>141</v>
      </c>
      <c r="E51" s="2706">
        <v>195</v>
      </c>
      <c r="F51" s="2707">
        <v>122</v>
      </c>
      <c r="G51" s="3495">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2611</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6">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2612</v>
      </c>
      <c r="B53" s="2692">
        <f t="shared" si="61"/>
        <v>146.57412060301507</v>
      </c>
      <c r="C53" s="2692">
        <f t="shared" si="61"/>
        <v>136.46831955922866</v>
      </c>
      <c r="D53" s="2692">
        <f t="shared" si="35"/>
        <v>136.46831955922866</v>
      </c>
      <c r="E53" s="2692">
        <f t="shared" si="62"/>
        <v>166.73864894795128</v>
      </c>
      <c r="F53" s="2692">
        <f t="shared" si="62"/>
        <v>115.05882352941177</v>
      </c>
      <c r="G53" s="3496">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2613</v>
      </c>
      <c r="B54" s="2692">
        <f t="shared" si="61"/>
        <v>144.04145728643215</v>
      </c>
      <c r="C54" s="2692">
        <f t="shared" si="61"/>
        <v>136.12396694214877</v>
      </c>
      <c r="D54" s="2692">
        <f t="shared" si="35"/>
        <v>136.12396694214877</v>
      </c>
      <c r="E54" s="2692">
        <f t="shared" si="62"/>
        <v>158.32225913621264</v>
      </c>
      <c r="F54" s="2692">
        <f t="shared" si="62"/>
        <v>114.04278074866311</v>
      </c>
      <c r="G54" s="3497">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2614</v>
      </c>
      <c r="B55" s="2706">
        <v>138</v>
      </c>
      <c r="C55" s="2706">
        <v>131</v>
      </c>
      <c r="D55" s="2706">
        <f t="shared" si="35"/>
        <v>131</v>
      </c>
      <c r="E55" s="2706">
        <v>155</v>
      </c>
      <c r="F55" s="2707">
        <v>114</v>
      </c>
      <c r="G55" s="3495">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2615</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6">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2616</v>
      </c>
      <c r="B57" s="2692">
        <f t="shared" si="65"/>
        <v>124.29032258064517</v>
      </c>
      <c r="C57" s="2692">
        <f t="shared" si="65"/>
        <v>123.8968609865471</v>
      </c>
      <c r="D57" s="2692">
        <f t="shared" si="35"/>
        <v>123.8968609865471</v>
      </c>
      <c r="E57" s="2692">
        <f t="shared" si="66"/>
        <v>138.00507614213197</v>
      </c>
      <c r="F57" s="2692">
        <f t="shared" si="66"/>
        <v>107.96106557377048</v>
      </c>
      <c r="G57" s="3496">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2617</v>
      </c>
      <c r="B58" s="2692">
        <f t="shared" si="65"/>
        <v>122.57204301075269</v>
      </c>
      <c r="C58" s="2692">
        <f t="shared" si="65"/>
        <v>123.4932735426009</v>
      </c>
      <c r="D58" s="2692">
        <f t="shared" si="35"/>
        <v>123.4932735426009</v>
      </c>
      <c r="E58" s="2692">
        <f t="shared" si="66"/>
        <v>129.82233502538071</v>
      </c>
      <c r="F58" s="2692">
        <f t="shared" si="66"/>
        <v>107.39446721311475</v>
      </c>
      <c r="G58" s="3497">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2618</v>
      </c>
      <c r="B59" s="2722">
        <v>121</v>
      </c>
      <c r="C59" s="2722">
        <v>122</v>
      </c>
      <c r="D59" s="2722">
        <f t="shared" si="35"/>
        <v>122</v>
      </c>
      <c r="E59" s="2722">
        <v>124</v>
      </c>
      <c r="F59" s="2723">
        <v>107</v>
      </c>
      <c r="G59" s="3495">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2619</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6">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2620</v>
      </c>
      <c r="B61" s="2692">
        <f t="shared" si="69"/>
        <v>116.99099099099099</v>
      </c>
      <c r="C61" s="2692">
        <f t="shared" si="69"/>
        <v>118.84848484848486</v>
      </c>
      <c r="D61" s="2692">
        <f t="shared" si="35"/>
        <v>118.84848484848486</v>
      </c>
      <c r="E61" s="2692">
        <f t="shared" si="70"/>
        <v>117.60960960960961</v>
      </c>
      <c r="F61" s="2692">
        <f t="shared" si="70"/>
        <v>104</v>
      </c>
      <c r="G61" s="3496">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2621</v>
      </c>
      <c r="B62" s="2725">
        <f t="shared" si="69"/>
        <v>112.48648648648648</v>
      </c>
      <c r="C62" s="2725">
        <f t="shared" si="69"/>
        <v>115.21212121212122</v>
      </c>
      <c r="D62" s="2725">
        <f t="shared" si="35"/>
        <v>115.21212121212122</v>
      </c>
      <c r="E62" s="2725">
        <f t="shared" si="70"/>
        <v>110.4024024024024</v>
      </c>
      <c r="F62" s="2725">
        <f t="shared" si="70"/>
        <v>104</v>
      </c>
      <c r="G62" s="3497">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2622</v>
      </c>
      <c r="B63" s="2743">
        <v>111</v>
      </c>
      <c r="C63" s="2743">
        <v>114</v>
      </c>
      <c r="D63" s="2743">
        <f t="shared" si="35"/>
        <v>114</v>
      </c>
      <c r="E63" s="2743">
        <v>108</v>
      </c>
      <c r="F63" s="2744">
        <v>104</v>
      </c>
      <c r="G63" s="3495">
        <v>2003</v>
      </c>
      <c r="H63" s="2733">
        <v>4</v>
      </c>
      <c r="I63" s="2745"/>
      <c r="J63" s="2745"/>
      <c r="K63" s="2745"/>
      <c r="L63" s="2745"/>
      <c r="N63" s="2746"/>
      <c r="O63" s="2745"/>
      <c r="P63" s="2745"/>
      <c r="Q63" s="2745"/>
      <c r="S63" s="2746"/>
      <c r="T63" s="2745"/>
      <c r="U63" s="2745"/>
      <c r="V63" s="2745"/>
      <c r="X63" s="2737"/>
      <c r="Y63" s="2737"/>
      <c r="Z63" s="2737"/>
    </row>
    <row r="64" spans="1:26">
      <c r="A64" s="2678" t="s">
        <v>2623</v>
      </c>
      <c r="B64" s="2747">
        <f t="shared" ref="B64:C66" si="71">B65+(B$63-B$67)/4</f>
        <v>109.75</v>
      </c>
      <c r="C64" s="2747">
        <f t="shared" si="71"/>
        <v>112.25</v>
      </c>
      <c r="D64" s="2747">
        <f t="shared" si="35"/>
        <v>112.25</v>
      </c>
      <c r="E64" s="2747">
        <f t="shared" ref="E64:F66" si="72">E65+(E$63-E$67)/4</f>
        <v>107.25</v>
      </c>
      <c r="F64" s="2747">
        <f t="shared" si="72"/>
        <v>103.5</v>
      </c>
      <c r="G64" s="3496">
        <v>2003</v>
      </c>
      <c r="H64" s="2703">
        <v>3</v>
      </c>
      <c r="I64" s="2745"/>
      <c r="J64" s="2745"/>
      <c r="K64" s="2745"/>
      <c r="L64" s="2745"/>
      <c r="X64" s="2737"/>
      <c r="Y64" s="2737"/>
      <c r="Z64" s="2737"/>
    </row>
    <row r="65" spans="1:26">
      <c r="A65" s="2678" t="s">
        <v>2624</v>
      </c>
      <c r="B65" s="2747">
        <f t="shared" si="71"/>
        <v>108.5</v>
      </c>
      <c r="C65" s="2747">
        <f t="shared" si="71"/>
        <v>110.5</v>
      </c>
      <c r="D65" s="2747">
        <f t="shared" si="35"/>
        <v>110.5</v>
      </c>
      <c r="E65" s="2747">
        <f t="shared" si="72"/>
        <v>106.5</v>
      </c>
      <c r="F65" s="2747">
        <f t="shared" si="72"/>
        <v>103</v>
      </c>
      <c r="G65" s="3496">
        <v>2003</v>
      </c>
      <c r="H65" s="2683">
        <v>2</v>
      </c>
      <c r="I65" s="2745"/>
      <c r="J65" s="2745"/>
      <c r="K65" s="2745"/>
      <c r="L65" s="2745"/>
      <c r="X65" s="2737"/>
      <c r="Y65" s="2737"/>
      <c r="Z65" s="2737"/>
    </row>
    <row r="66" spans="1:26" ht="13.5" thickBot="1">
      <c r="A66" s="2678" t="s">
        <v>2625</v>
      </c>
      <c r="B66" s="2747">
        <f t="shared" si="71"/>
        <v>107.25</v>
      </c>
      <c r="C66" s="2747">
        <f t="shared" si="71"/>
        <v>108.75</v>
      </c>
      <c r="D66" s="2747">
        <f t="shared" si="35"/>
        <v>108.75</v>
      </c>
      <c r="E66" s="2747">
        <f t="shared" si="72"/>
        <v>105.75</v>
      </c>
      <c r="F66" s="2747">
        <f t="shared" si="72"/>
        <v>102.5</v>
      </c>
      <c r="G66" s="3497">
        <v>2003</v>
      </c>
      <c r="H66" s="2748">
        <v>1</v>
      </c>
      <c r="I66" s="2745"/>
      <c r="J66" s="2745"/>
      <c r="K66" s="2745"/>
      <c r="L66" s="2745"/>
      <c r="S66" s="2687"/>
      <c r="T66" s="2688"/>
      <c r="U66" s="2688"/>
      <c r="X66" s="2737"/>
      <c r="Y66" s="2737"/>
      <c r="Z66" s="2737"/>
    </row>
    <row r="67" spans="1:26" ht="13.5" thickBot="1">
      <c r="A67" s="2678" t="s">
        <v>2626</v>
      </c>
      <c r="B67" s="2749">
        <v>106</v>
      </c>
      <c r="C67" s="2749">
        <v>107</v>
      </c>
      <c r="D67" s="2749">
        <f t="shared" si="35"/>
        <v>107</v>
      </c>
      <c r="E67" s="2749">
        <v>105</v>
      </c>
      <c r="F67" s="2750">
        <v>102</v>
      </c>
      <c r="G67" s="3495">
        <v>2002</v>
      </c>
      <c r="H67" s="2698">
        <v>4</v>
      </c>
      <c r="I67" s="2745"/>
      <c r="J67" s="2745"/>
      <c r="K67" s="2745"/>
      <c r="L67" s="2745"/>
      <c r="N67" s="2746"/>
      <c r="O67" s="2745"/>
      <c r="P67" s="2745"/>
      <c r="Q67" s="2745"/>
      <c r="S67" s="2746"/>
      <c r="T67" s="2745"/>
      <c r="U67" s="2745"/>
      <c r="V67" s="2745"/>
      <c r="X67" s="2737"/>
      <c r="Y67" s="2737"/>
      <c r="Z67" s="2737"/>
    </row>
    <row r="68" spans="1:26">
      <c r="A68" s="2678" t="s">
        <v>2627</v>
      </c>
      <c r="B68" s="2747">
        <f t="shared" ref="B68:C70" si="73">B69+(B$67-B$71)/4</f>
        <v>105</v>
      </c>
      <c r="C68" s="2747">
        <f t="shared" si="73"/>
        <v>106</v>
      </c>
      <c r="D68" s="2747">
        <f t="shared" si="35"/>
        <v>106</v>
      </c>
      <c r="E68" s="2747">
        <f t="shared" ref="E68:F70" si="74">E69+(E$67-E$71)/4</f>
        <v>104.5</v>
      </c>
      <c r="F68" s="2747">
        <f t="shared" si="74"/>
        <v>101.5</v>
      </c>
      <c r="G68" s="3496">
        <v>2002</v>
      </c>
      <c r="H68" s="2703">
        <v>3</v>
      </c>
      <c r="I68" s="2745"/>
      <c r="J68" s="2745"/>
      <c r="K68" s="2745"/>
      <c r="L68" s="2745"/>
      <c r="X68" s="2737"/>
      <c r="Y68" s="2737"/>
      <c r="Z68" s="2737"/>
    </row>
    <row r="69" spans="1:26">
      <c r="A69" s="2678" t="s">
        <v>2628</v>
      </c>
      <c r="B69" s="2747">
        <f t="shared" si="73"/>
        <v>104</v>
      </c>
      <c r="C69" s="2747">
        <f t="shared" si="73"/>
        <v>105</v>
      </c>
      <c r="D69" s="2747">
        <f t="shared" si="35"/>
        <v>105</v>
      </c>
      <c r="E69" s="2747">
        <f t="shared" si="74"/>
        <v>104</v>
      </c>
      <c r="F69" s="2747">
        <f t="shared" si="74"/>
        <v>101</v>
      </c>
      <c r="G69" s="3496">
        <v>2002</v>
      </c>
      <c r="H69" s="2683">
        <v>2</v>
      </c>
      <c r="I69" s="2745"/>
      <c r="J69" s="2745"/>
      <c r="K69" s="2745"/>
      <c r="L69" s="2745"/>
      <c r="X69" s="2737"/>
      <c r="Y69" s="2737"/>
      <c r="Z69" s="2737"/>
    </row>
    <row r="70" spans="1:26" s="2714" customFormat="1" ht="13.5" thickBot="1">
      <c r="A70" s="2710" t="s">
        <v>2629</v>
      </c>
      <c r="B70" s="2751">
        <f t="shared" si="73"/>
        <v>103</v>
      </c>
      <c r="C70" s="2751">
        <f t="shared" si="73"/>
        <v>104</v>
      </c>
      <c r="D70" s="2751">
        <f t="shared" si="35"/>
        <v>104</v>
      </c>
      <c r="E70" s="2751">
        <f t="shared" si="74"/>
        <v>103.5</v>
      </c>
      <c r="F70" s="2751">
        <f t="shared" si="74"/>
        <v>100.5</v>
      </c>
      <c r="G70" s="3497">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2630</v>
      </c>
      <c r="G73" s="2761"/>
      <c r="N73" s="2761"/>
      <c r="S73" s="2761"/>
    </row>
    <row r="74" spans="1:26" s="2760" customFormat="1">
      <c r="A74" s="2760" t="s">
        <v>2631</v>
      </c>
      <c r="G74" s="2761"/>
      <c r="N74" s="2761"/>
      <c r="S74" s="2761"/>
    </row>
    <row r="75" spans="1:26" s="2760" customFormat="1">
      <c r="A75" s="2760" t="s">
        <v>2632</v>
      </c>
      <c r="G75" s="2761"/>
      <c r="I75" s="2762"/>
      <c r="J75" s="2762"/>
      <c r="K75" s="2762"/>
      <c r="L75" s="2762"/>
      <c r="N75" s="2763"/>
      <c r="O75" s="2762"/>
      <c r="P75" s="2762"/>
      <c r="Q75" s="2762"/>
      <c r="S75" s="2763"/>
      <c r="T75" s="2762"/>
      <c r="U75" s="2762"/>
      <c r="V75" s="2762"/>
    </row>
    <row r="76" spans="1:26" s="2760" customFormat="1">
      <c r="A76" s="2760" t="s">
        <v>2633</v>
      </c>
      <c r="G76" s="2761"/>
      <c r="N76" s="2761"/>
      <c r="S76" s="2761"/>
    </row>
    <row r="83" spans="7:22" ht="13.5" thickBot="1"/>
    <row r="84" spans="7:22">
      <c r="G84" s="2686"/>
      <c r="S84" s="2764" t="s">
        <v>2634</v>
      </c>
      <c r="T84" s="2765" t="s">
        <v>2635</v>
      </c>
      <c r="U84" s="2765" t="s">
        <v>2636</v>
      </c>
      <c r="V84" s="2765" t="s">
        <v>2637</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I47" sqref="I47"/>
    </sheetView>
  </sheetViews>
  <sheetFormatPr defaultColWidth="8.875" defaultRowHeight="15"/>
  <cols>
    <col min="1" max="1" width="9" style="2059"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625" style="2096" customWidth="1"/>
    <col min="18" max="18" width="23.5" style="2058" customWidth="1"/>
    <col min="19" max="19" width="1.5" style="2058" customWidth="1"/>
    <col min="20" max="33" width="8.875" style="2058"/>
    <col min="34" max="16384" width="8.875" style="2059"/>
  </cols>
  <sheetData>
    <row r="1" spans="1:33" s="2053" customFormat="1" ht="21">
      <c r="A1" s="831" t="s">
        <v>1725</v>
      </c>
      <c r="B1" s="737"/>
      <c r="C1" s="772"/>
      <c r="D1" s="3155"/>
      <c r="E1" s="2410" t="s">
        <v>2373</v>
      </c>
      <c r="F1" s="2411" t="b">
        <f>J53</f>
        <v>0</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t="e">
        <f ca="1">C40+J29+L46</f>
        <v>#DIV/0!</v>
      </c>
      <c r="C2" s="2056"/>
      <c r="D2" s="2054"/>
      <c r="E2" s="2055"/>
      <c r="F2" s="2055"/>
      <c r="G2" s="1588"/>
      <c r="H2" s="2056"/>
      <c r="I2" s="2056"/>
      <c r="J2" s="2056"/>
      <c r="K2" s="2057"/>
      <c r="L2" s="2056"/>
      <c r="M2" s="2056"/>
    </row>
    <row r="3" spans="1:33" ht="18" customHeight="1" thickBot="1">
      <c r="A3" s="832" t="s">
        <v>1727</v>
      </c>
      <c r="B3" s="833">
        <f ca="1">IF(ISERROR(B2*10000/F43),0,ROUND(B2*10000/F43,0))</f>
        <v>0</v>
      </c>
      <c r="C3" s="2056"/>
      <c r="D3" s="2054"/>
      <c r="E3" s="2055"/>
      <c r="F3" s="2055"/>
      <c r="G3" s="1588"/>
      <c r="H3" s="775" t="s">
        <v>695</v>
      </c>
      <c r="I3" s="1361"/>
      <c r="J3" s="1361"/>
      <c r="K3" s="1589"/>
      <c r="L3" s="1361"/>
      <c r="M3" s="1361"/>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2457</v>
      </c>
      <c r="C5" s="55">
        <f ca="1">C6+C10+C12</f>
        <v>0</v>
      </c>
      <c r="D5" s="2519" t="s">
        <v>2460</v>
      </c>
      <c r="E5" s="2513"/>
      <c r="F5" s="2514"/>
      <c r="G5" s="1590"/>
      <c r="H5" s="780">
        <v>1</v>
      </c>
      <c r="I5" s="781" t="s">
        <v>2457</v>
      </c>
      <c r="J5" s="55">
        <f ca="1">J6+J10+J12</f>
        <v>0</v>
      </c>
      <c r="K5" s="2519" t="s">
        <v>2460</v>
      </c>
      <c r="L5" s="2513"/>
      <c r="M5" s="2514"/>
    </row>
    <row r="6" spans="1:33" ht="18" customHeight="1">
      <c r="A6" s="1829" t="s">
        <v>1824</v>
      </c>
      <c r="B6" s="3489" t="s">
        <v>2462</v>
      </c>
      <c r="C6" s="782">
        <f ca="1">ROUND(F6*F8*F7*(1-F9)/10000,0)</f>
        <v>0</v>
      </c>
      <c r="D6" s="2520" t="s">
        <v>2461</v>
      </c>
      <c r="E6" s="783" t="s">
        <v>1738</v>
      </c>
      <c r="F6" s="784">
        <f ca="1">INDIRECT("'数据-取费表'!u"&amp;$G$1)</f>
        <v>0</v>
      </c>
      <c r="G6" s="1590"/>
      <c r="H6" s="2527" t="s">
        <v>2467</v>
      </c>
      <c r="I6" s="3489" t="s">
        <v>2462</v>
      </c>
      <c r="J6" s="782">
        <f ca="1">ROUND(M6*M8*M7*(1-M9)/10000,0)</f>
        <v>0</v>
      </c>
      <c r="K6" s="340" t="s">
        <v>1737</v>
      </c>
      <c r="L6" s="783" t="s">
        <v>1738</v>
      </c>
      <c r="M6" s="784">
        <f ca="1">INDIRECT("'数据-取费表'!z"&amp;$G$1)</f>
        <v>0</v>
      </c>
    </row>
    <row r="7" spans="1:33" ht="18" customHeight="1">
      <c r="A7" s="2523"/>
      <c r="B7" s="3490"/>
      <c r="C7" s="787"/>
      <c r="D7" s="788"/>
      <c r="E7" s="783" t="s">
        <v>1739</v>
      </c>
      <c r="F7" s="784">
        <f ca="1">IF(INDIRECT("'数据-取费表'!ah"&amp;$G$1)="",INDIRECT("'数据-取费表'!k"&amp;$G$1),INDIRECT("'数据-取费表'!ah"&amp;$G$1))</f>
        <v>0</v>
      </c>
      <c r="G7" s="1590"/>
      <c r="H7" s="2512"/>
      <c r="I7" s="3490"/>
      <c r="J7" s="787"/>
      <c r="K7" s="788"/>
      <c r="L7" s="783" t="s">
        <v>1739</v>
      </c>
      <c r="M7" s="784">
        <f ca="1">F7</f>
        <v>0</v>
      </c>
    </row>
    <row r="8" spans="1:33" ht="18" customHeight="1">
      <c r="A8" s="2516"/>
      <c r="B8" s="3491"/>
      <c r="C8" s="787"/>
      <c r="D8" s="788"/>
      <c r="E8" s="783" t="s">
        <v>1740</v>
      </c>
      <c r="F8" s="784">
        <f ca="1">INDIRECT("'数据-取费表'!ai"&amp;$G$1)</f>
        <v>0</v>
      </c>
      <c r="G8" s="1590"/>
      <c r="H8" s="2512"/>
      <c r="I8" s="3491"/>
      <c r="J8" s="787"/>
      <c r="K8" s="788"/>
      <c r="L8" s="783" t="s">
        <v>1740</v>
      </c>
      <c r="M8" s="784">
        <f ca="1">INDIRECT("'数据-取费表'!ai"&amp;$G$1)</f>
        <v>0</v>
      </c>
    </row>
    <row r="9" spans="1:33" ht="18" customHeight="1">
      <c r="A9" s="785"/>
      <c r="B9" s="3492"/>
      <c r="C9" s="787"/>
      <c r="D9" s="788"/>
      <c r="E9" s="783" t="s">
        <v>1741</v>
      </c>
      <c r="F9" s="793">
        <f ca="1">INDIRECT("'数据-取费表'!w"&amp;$G$1)</f>
        <v>0</v>
      </c>
      <c r="G9" s="1590"/>
      <c r="H9" s="2528"/>
      <c r="I9" s="3491"/>
      <c r="J9" s="787"/>
      <c r="K9" s="788"/>
      <c r="L9" s="794" t="s">
        <v>1741</v>
      </c>
      <c r="M9" s="795">
        <f ca="1">INDIRECT("'数据-取费表'!ab"&amp;$G$1)</f>
        <v>0</v>
      </c>
    </row>
    <row r="10" spans="1:33" ht="18" customHeight="1">
      <c r="A10" s="1829" t="s">
        <v>2465</v>
      </c>
      <c r="B10" s="2517" t="s">
        <v>2458</v>
      </c>
      <c r="C10" s="798">
        <f ca="1">ROUND(IF(F10="押一",C6/12*F11,IF(F10="押二",C6/12*2*F11,IF(F10="押三",C6/12*3*F11,C11*F11))),0)</f>
        <v>0</v>
      </c>
      <c r="D10" s="2524" t="s">
        <v>2974</v>
      </c>
      <c r="E10" s="2521" t="s">
        <v>2463</v>
      </c>
      <c r="F10" s="2644"/>
      <c r="G10" s="1590"/>
      <c r="H10" s="2584" t="s">
        <v>2468</v>
      </c>
      <c r="I10" s="2589" t="s">
        <v>2458</v>
      </c>
      <c r="J10" s="782">
        <f ca="1">ROUND(IF(M10="押一",J6/12*M11,IF(M10="押二",J6/12*2*M11,IF(M10="押三",J6/12*3*M11,J11*M11))),0)</f>
        <v>0</v>
      </c>
      <c r="K10" s="2524" t="s">
        <v>2974</v>
      </c>
      <c r="L10" s="2521" t="s">
        <v>2463</v>
      </c>
      <c r="M10" s="2644"/>
    </row>
    <row r="11" spans="1:33" ht="18" customHeight="1">
      <c r="A11" s="789"/>
      <c r="B11" s="2518" t="s">
        <v>2572</v>
      </c>
      <c r="C11" s="2522"/>
      <c r="D11" s="788"/>
      <c r="E11" s="2521" t="s">
        <v>2464</v>
      </c>
      <c r="F11" s="795">
        <f ca="1">'数据-取费表'!B39</f>
        <v>1.4999999999999999E-2</v>
      </c>
      <c r="G11" s="1590"/>
      <c r="H11" s="2585"/>
      <c r="I11" s="2518" t="s">
        <v>2572</v>
      </c>
      <c r="J11" s="2522"/>
      <c r="K11" s="2586"/>
      <c r="L11" s="2521" t="s">
        <v>2464</v>
      </c>
      <c r="M11" s="2515">
        <f ca="1">'数据-取费表'!B39</f>
        <v>1.4999999999999999E-2</v>
      </c>
    </row>
    <row r="12" spans="1:33" ht="18" customHeight="1" thickBot="1">
      <c r="A12" s="2560" t="s">
        <v>2466</v>
      </c>
      <c r="B12" s="2561" t="s">
        <v>2459</v>
      </c>
      <c r="C12" s="2562"/>
      <c r="D12" s="2563"/>
      <c r="E12" s="2564"/>
      <c r="F12" s="2565"/>
      <c r="G12" s="1590"/>
      <c r="H12" s="2574" t="s">
        <v>2469</v>
      </c>
      <c r="I12" s="2587" t="s">
        <v>2459</v>
      </c>
      <c r="J12" s="2588"/>
      <c r="K12" s="2563"/>
      <c r="L12" s="2564"/>
      <c r="M12" s="2577"/>
    </row>
    <row r="13" spans="1:33" ht="18" customHeight="1" thickTop="1">
      <c r="A13" s="1828">
        <v>2</v>
      </c>
      <c r="B13" s="1826" t="s">
        <v>1742</v>
      </c>
      <c r="C13" s="791">
        <f ca="1">ROUND(C29*F13,0)</f>
        <v>0</v>
      </c>
      <c r="D13" s="1833" t="s">
        <v>2297</v>
      </c>
      <c r="E13" s="1833" t="s">
        <v>1744</v>
      </c>
      <c r="F13" s="2559">
        <f ca="1">INDIRECT("'数据-取费表'!y"&amp;$G$1)</f>
        <v>0</v>
      </c>
      <c r="G13" s="1590"/>
      <c r="H13" s="1828">
        <v>2</v>
      </c>
      <c r="I13" s="1826" t="s">
        <v>1742</v>
      </c>
      <c r="J13" s="1818">
        <f ca="1">ROUND(J14*J15,0)</f>
        <v>0</v>
      </c>
      <c r="K13" s="1820" t="s">
        <v>1743</v>
      </c>
      <c r="L13" s="2575"/>
      <c r="M13" s="2576"/>
    </row>
    <row r="14" spans="1:33" ht="18" customHeight="1">
      <c r="A14" s="1646" t="s">
        <v>1884</v>
      </c>
      <c r="B14" s="783" t="s">
        <v>645</v>
      </c>
      <c r="C14" s="803">
        <f ca="1">INDIRECT("'数据-取费表'!m"&amp;$G$1)+INDIRECT("'数据-取费表'!t"&amp;$G$1)</f>
        <v>0</v>
      </c>
      <c r="D14" s="1978" t="s">
        <v>1745</v>
      </c>
      <c r="E14" s="1979"/>
      <c r="F14" s="804"/>
      <c r="G14" s="1590"/>
      <c r="H14" s="1647" t="s">
        <v>1830</v>
      </c>
      <c r="I14" s="2230" t="s">
        <v>2824</v>
      </c>
      <c r="J14" s="53">
        <f ca="1">C29</f>
        <v>0</v>
      </c>
      <c r="K14" s="26"/>
      <c r="L14" s="800"/>
      <c r="M14" s="801"/>
    </row>
    <row r="15" spans="1:33" s="2063" customFormat="1" ht="18" customHeight="1" thickBot="1">
      <c r="A15" s="1646" t="s">
        <v>1885</v>
      </c>
      <c r="B15" s="783" t="s">
        <v>647</v>
      </c>
      <c r="C15" s="53">
        <f ca="1">ROUND(C14*F15,0)</f>
        <v>0</v>
      </c>
      <c r="D15" s="805" t="s">
        <v>1746</v>
      </c>
      <c r="E15" s="805" t="s">
        <v>1747</v>
      </c>
      <c r="F15" s="806">
        <f>'数据-取费表'!B33</f>
        <v>0.05</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8" t="s">
        <v>1748</v>
      </c>
      <c r="I16" s="1826" t="s">
        <v>1749</v>
      </c>
      <c r="J16" s="791">
        <f ca="1">ROUND(J17+J22+J23+J24,0)</f>
        <v>0</v>
      </c>
      <c r="K16" s="1820" t="s">
        <v>1750</v>
      </c>
      <c r="L16" s="2509"/>
      <c r="M16" s="2514"/>
    </row>
    <row r="17" spans="1:33" s="2063" customFormat="1" ht="18" customHeight="1">
      <c r="A17" s="1646" t="s">
        <v>1887</v>
      </c>
      <c r="B17" s="783" t="s">
        <v>653</v>
      </c>
      <c r="C17" s="53">
        <f ca="1">ROUND(F17*(F43+INDIRECT("'数据-取费表'!S"&amp;$G$1))/10000,0)</f>
        <v>0</v>
      </c>
      <c r="D17" s="783" t="s">
        <v>1751</v>
      </c>
      <c r="E17" s="783" t="s">
        <v>1752</v>
      </c>
      <c r="F17" s="56">
        <f>'数据-取费表'!B35</f>
        <v>500</v>
      </c>
      <c r="G17" s="1591"/>
      <c r="H17" s="1647" t="s">
        <v>1830</v>
      </c>
      <c r="I17" s="783" t="s">
        <v>656</v>
      </c>
      <c r="J17" s="53">
        <f ca="1">ROUND(IF(项目基本情况!B11="自然人",J5*M17,J18+J19+J20),0)</f>
        <v>0</v>
      </c>
      <c r="K17" s="2508" t="s">
        <v>1753</v>
      </c>
      <c r="L17" s="2507"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659</v>
      </c>
      <c r="C18" s="53">
        <f ca="1">ROUND(C14*F18,0)</f>
        <v>0</v>
      </c>
      <c r="D18" s="783" t="s">
        <v>1746</v>
      </c>
      <c r="E18" s="783" t="s">
        <v>1747</v>
      </c>
      <c r="F18" s="808">
        <f>'数据-取费表'!B36</f>
        <v>1.4999999999999999E-2</v>
      </c>
      <c r="G18" s="1591"/>
      <c r="H18" s="1646" t="s">
        <v>1884</v>
      </c>
      <c r="I18" s="783" t="s">
        <v>1755</v>
      </c>
      <c r="J18" s="53">
        <f ca="1">ROUND(J5*M18/1.05,1)</f>
        <v>0</v>
      </c>
      <c r="K18" s="2507" t="s">
        <v>1756</v>
      </c>
      <c r="L18" s="783" t="s">
        <v>1747</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1830</v>
      </c>
      <c r="B19" s="783" t="s">
        <v>662</v>
      </c>
      <c r="C19" s="53">
        <f ca="1">SUM(C14:C18)</f>
        <v>0</v>
      </c>
      <c r="D19" s="260" t="s">
        <v>1757</v>
      </c>
      <c r="E19" s="1981"/>
      <c r="F19" s="56"/>
      <c r="G19" s="1590"/>
      <c r="H19" s="1646" t="s">
        <v>1885</v>
      </c>
      <c r="I19" s="783" t="s">
        <v>1758</v>
      </c>
      <c r="J19" s="53">
        <f ca="1">IF(K19="按租金收入计税",ROUND(J5*M19,1),ROUND(C29*F33*0.7,1))</f>
        <v>0</v>
      </c>
      <c r="K19" s="810" t="s">
        <v>665</v>
      </c>
      <c r="L19" s="783" t="s">
        <v>1747</v>
      </c>
      <c r="M19" s="808">
        <f>IF(K19="按租金收入计税",'数据-取费表'!B51,'数据-取费表'!B50)</f>
        <v>1.2E-2</v>
      </c>
    </row>
    <row r="20" spans="1:33" s="2063" customFormat="1" ht="18" customHeight="1">
      <c r="A20" s="1647" t="s">
        <v>1889</v>
      </c>
      <c r="B20" s="783" t="s">
        <v>666</v>
      </c>
      <c r="C20" s="53">
        <f ca="1">ROUND(C19*F20,0)</f>
        <v>0</v>
      </c>
      <c r="D20" s="811" t="s">
        <v>1759</v>
      </c>
      <c r="E20" s="783" t="s">
        <v>1747</v>
      </c>
      <c r="F20" s="808">
        <f>'数据-取费表'!B37</f>
        <v>0.03</v>
      </c>
      <c r="G20" s="1591"/>
      <c r="H20" s="1649" t="s">
        <v>1880</v>
      </c>
      <c r="I20" s="340" t="s">
        <v>1760</v>
      </c>
      <c r="J20" s="54">
        <f ca="1">ROUND(M20*M21/10000,0)</f>
        <v>0</v>
      </c>
      <c r="K20" s="813" t="s">
        <v>1761</v>
      </c>
      <c r="L20" s="783" t="s">
        <v>1762</v>
      </c>
      <c r="M20" s="639">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1763</v>
      </c>
      <c r="C21" s="53" t="s">
        <v>1764</v>
      </c>
      <c r="D21" s="811" t="s">
        <v>2298</v>
      </c>
      <c r="E21" s="783" t="s">
        <v>1765</v>
      </c>
      <c r="F21" s="808">
        <f>'数据-取费表'!B38</f>
        <v>0.05</v>
      </c>
      <c r="G21" s="1591"/>
      <c r="H21" s="2529"/>
      <c r="I21" s="792"/>
      <c r="J21" s="69"/>
      <c r="K21" s="815"/>
      <c r="L21" s="783" t="s">
        <v>1766</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1767</v>
      </c>
      <c r="C22" s="53"/>
      <c r="D22" s="2595" t="str">
        <f>IF(F23&lt;=1,"单利计息。","复利计息。")&amp;"建造成本、管理费用、销售费用产生的利息。"</f>
        <v>复利计息。建造成本、管理费用、销售费用产生的利息。</v>
      </c>
      <c r="E22" s="1981"/>
      <c r="F22" s="56"/>
      <c r="G22" s="1590"/>
      <c r="H22" s="1647" t="s">
        <v>1889</v>
      </c>
      <c r="I22" s="783" t="s">
        <v>1768</v>
      </c>
      <c r="J22" s="53">
        <f ca="1">ROUND(J14*M22,0)</f>
        <v>0</v>
      </c>
      <c r="K22" s="2507" t="s">
        <v>1769</v>
      </c>
      <c r="L22" s="783" t="s">
        <v>1747</v>
      </c>
      <c r="M22" s="816">
        <f ca="1">INDIRECT("'数据-取费表'!Ak"&amp;$G$1)</f>
        <v>0</v>
      </c>
    </row>
    <row r="23" spans="1:33" s="2063" customFormat="1" ht="18" customHeight="1">
      <c r="A23" s="1646" t="s">
        <v>1831</v>
      </c>
      <c r="B23" s="783" t="s">
        <v>2534</v>
      </c>
      <c r="C23" s="53">
        <f ca="1">ROUND(IF('数据-取费表'!B22&lt;=1,(C19+C20)*F24*F23/2,(C19+C20)*(POWER((1+F24),F23/2)-1)),0)</f>
        <v>0</v>
      </c>
      <c r="D23" s="2594"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507" t="s">
        <v>1771</v>
      </c>
      <c r="L23" s="783" t="s">
        <v>1747</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3">
        <f ca="1">ROUND(IF('数据-取费表'!B22&lt;=1,F21*F24*F23/2,F21*(POWER((1+F24),F23/2)-1)),4)</f>
        <v>1.8E-3</v>
      </c>
      <c r="D24" s="2594" t="str">
        <f>IF(F23&lt;=1,"销售费用×利率×(建设周期÷2)","销售费用×((1+利率)^(建设周期÷2)-1)")</f>
        <v>销售费用×((1+利率)^(建设周期÷2)-1)</v>
      </c>
      <c r="E24" s="783" t="s">
        <v>1773</v>
      </c>
      <c r="F24" s="818">
        <f ca="1">'数据-取费表'!B40</f>
        <v>4.7500000000000001E-2</v>
      </c>
      <c r="G24" s="1591"/>
      <c r="H24" s="2574" t="s">
        <v>1891</v>
      </c>
      <c r="I24" s="2569" t="s">
        <v>666</v>
      </c>
      <c r="J24" s="2567">
        <f ca="1">ROUND(J5*M24,0)</f>
        <v>0</v>
      </c>
      <c r="K24" s="2568" t="s">
        <v>1774</v>
      </c>
      <c r="L24" s="2569" t="s">
        <v>1747</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684</v>
      </c>
      <c r="C25" s="53"/>
      <c r="D25" s="260" t="s">
        <v>1775</v>
      </c>
      <c r="E25" s="1981"/>
      <c r="F25" s="56"/>
      <c r="G25" s="1590"/>
      <c r="H25" s="1828" t="s">
        <v>1776</v>
      </c>
      <c r="I25" s="3033" t="s">
        <v>2820</v>
      </c>
      <c r="J25" s="791">
        <f ca="1">J5-J16</f>
        <v>0</v>
      </c>
      <c r="K25" s="2571" t="s">
        <v>1777</v>
      </c>
      <c r="L25" s="2572"/>
      <c r="M25" s="2573"/>
    </row>
    <row r="26" spans="1:33" ht="18" customHeight="1">
      <c r="A26" s="1646" t="s">
        <v>1831</v>
      </c>
      <c r="B26" s="783" t="s">
        <v>2437</v>
      </c>
      <c r="C26" s="53">
        <f ca="1">ROUND((C19+C20)*F26,0)</f>
        <v>0</v>
      </c>
      <c r="D26" s="811" t="s">
        <v>1778</v>
      </c>
      <c r="E26" s="794" t="s">
        <v>1779</v>
      </c>
      <c r="F26" s="793">
        <f ca="1">INDIRECT("'数据-取费表'!q"&amp;$G$1)</f>
        <v>0</v>
      </c>
      <c r="G26" s="1590"/>
      <c r="H26" s="2525" t="s">
        <v>1780</v>
      </c>
      <c r="I26" s="2231" t="s">
        <v>2825</v>
      </c>
      <c r="J26" s="782">
        <f ca="1">IF(J5&lt;&gt;0,ROUND(J25*(1-((1+M28)/(1+M26))^M27)/(M26-M28),0),0)</f>
        <v>0</v>
      </c>
      <c r="K26" s="813" t="s">
        <v>1781</v>
      </c>
      <c r="L26" s="783" t="s">
        <v>2418</v>
      </c>
      <c r="M26" s="793">
        <f ca="1">INDIRECT("'数据-取费表'!I"&amp;$G$1)</f>
        <v>0</v>
      </c>
    </row>
    <row r="27" spans="1:33" ht="18" customHeight="1">
      <c r="A27" s="1646" t="s">
        <v>1832</v>
      </c>
      <c r="B27" s="783" t="s">
        <v>686</v>
      </c>
      <c r="C27" s="53">
        <f ca="1">ROUND(F21*F26,4)</f>
        <v>0</v>
      </c>
      <c r="D27" s="811" t="s">
        <v>1782</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687</v>
      </c>
      <c r="C28" s="53">
        <f>ROUND(F28/(1+'数据-取费表'!C42),4)</f>
        <v>5.33E-2</v>
      </c>
      <c r="D28" s="811" t="s">
        <v>2299</v>
      </c>
      <c r="E28" s="783" t="s">
        <v>1785</v>
      </c>
      <c r="F28" s="808">
        <f>'数据-取费表'!B41</f>
        <v>5.6000000000000001E-2</v>
      </c>
      <c r="G28" s="1591"/>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2300</v>
      </c>
      <c r="C29" s="2567">
        <f ca="1">ROUND((C19+C20+C23+C26)/(1-F21-C24-C27-C28),0)</f>
        <v>0</v>
      </c>
      <c r="D29" s="2568"/>
      <c r="E29" s="2569"/>
      <c r="F29" s="2570"/>
      <c r="G29" s="1591"/>
      <c r="H29" s="822" t="s">
        <v>1787</v>
      </c>
      <c r="I29" s="823" t="s">
        <v>1788</v>
      </c>
      <c r="J29" s="824">
        <f ca="1">ROUND(J26/(1+F40)^F41,0)</f>
        <v>0</v>
      </c>
      <c r="K29" s="825" t="s">
        <v>1789</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0</v>
      </c>
      <c r="D30" s="1820" t="s">
        <v>1791</v>
      </c>
      <c r="E30" s="2509"/>
      <c r="F30" s="2514"/>
      <c r="G30" s="2061"/>
      <c r="H30" s="2064"/>
      <c r="I30" s="2065"/>
      <c r="J30" s="2066"/>
      <c r="K30" s="2067"/>
      <c r="L30" s="2068"/>
      <c r="M30" s="2069"/>
    </row>
    <row r="31" spans="1:33" ht="18" customHeight="1">
      <c r="A31" s="1647" t="s">
        <v>1830</v>
      </c>
      <c r="B31" s="783" t="s">
        <v>656</v>
      </c>
      <c r="C31" s="53">
        <f ca="1">ROUND(IF(项目基本情况!B11="自然人",C5*F31,C32+C33+C34),1)</f>
        <v>0</v>
      </c>
      <c r="D31" s="1978" t="s">
        <v>1792</v>
      </c>
      <c r="E31" s="197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1831</v>
      </c>
      <c r="B32" s="783" t="s">
        <v>1794</v>
      </c>
      <c r="C32" s="53">
        <f ca="1">ROUND(C5*F32/1.05,1)</f>
        <v>0</v>
      </c>
      <c r="D32" s="1976" t="s">
        <v>1795</v>
      </c>
      <c r="E32" s="783" t="s">
        <v>1796</v>
      </c>
      <c r="F32" s="808">
        <f>'数据-取费表'!B41</f>
        <v>5.6000000000000001E-2</v>
      </c>
      <c r="G32" s="2061"/>
      <c r="H32" s="2070"/>
      <c r="I32" s="2071"/>
      <c r="J32" s="2072"/>
      <c r="K32" s="2073"/>
      <c r="L32" s="2074"/>
      <c r="M32" s="2075"/>
    </row>
    <row r="33" spans="1:18" ht="18" customHeight="1">
      <c r="A33" s="1646" t="s">
        <v>1832</v>
      </c>
      <c r="B33" s="783" t="s">
        <v>1797</v>
      </c>
      <c r="C33" s="53">
        <f ca="1">IF(D33="按租金收入计税",ROUND(C5*F33,1),IF(D33="按房产原值计税",ROUND(C29*F33*0.7,1),INDIRECT("'数据-取费表'!Aj"&amp;$G$1)))</f>
        <v>0</v>
      </c>
      <c r="D33" s="810" t="s">
        <v>1680</v>
      </c>
      <c r="E33" s="783" t="s">
        <v>1796</v>
      </c>
      <c r="F33" s="808">
        <f>IF(D33="按租金收入计税",'数据-取费表'!B51,'数据-取费表'!B50)</f>
        <v>1.2E-2</v>
      </c>
      <c r="G33" s="2061"/>
      <c r="H33" s="2076"/>
      <c r="I33" s="2076"/>
      <c r="J33" s="2076"/>
      <c r="K33" s="2077"/>
      <c r="L33" s="2076"/>
      <c r="M33" s="2076"/>
    </row>
    <row r="34" spans="1:18" ht="18" customHeight="1">
      <c r="A34" s="1649" t="s">
        <v>1833</v>
      </c>
      <c r="B34" s="340" t="s">
        <v>1798</v>
      </c>
      <c r="C34" s="54">
        <f ca="1">ROUND(F34*F35/10000,1)</f>
        <v>0</v>
      </c>
      <c r="D34" s="813" t="s">
        <v>1799</v>
      </c>
      <c r="E34" s="783" t="s">
        <v>1800</v>
      </c>
      <c r="F34" s="639">
        <f>'数据-取费表'!B52</f>
        <v>0</v>
      </c>
      <c r="G34" s="2061"/>
      <c r="H34" s="2064"/>
      <c r="I34" s="834" t="s">
        <v>1813</v>
      </c>
      <c r="J34" s="835"/>
      <c r="K34" s="2079"/>
      <c r="L34" s="2078"/>
      <c r="M34" s="2078"/>
    </row>
    <row r="35" spans="1:18" ht="18" customHeight="1">
      <c r="A35" s="814"/>
      <c r="B35" s="792"/>
      <c r="C35" s="69"/>
      <c r="D35" s="815"/>
      <c r="E35" s="783" t="s">
        <v>1801</v>
      </c>
      <c r="F35" s="784">
        <f ca="1">INDIRECT("'数据-取费表'!r"&amp;$G$1)</f>
        <v>0</v>
      </c>
      <c r="G35" s="2061"/>
      <c r="H35" s="2064"/>
      <c r="I35" s="836" t="s">
        <v>1814</v>
      </c>
      <c r="J35" s="837">
        <f ca="1">ROUND(C13*J36,0)</f>
        <v>0</v>
      </c>
      <c r="K35" s="2077"/>
      <c r="L35" s="2076"/>
      <c r="M35" s="2076"/>
    </row>
    <row r="36" spans="1:18" ht="18" customHeight="1">
      <c r="A36" s="1647" t="s">
        <v>1889</v>
      </c>
      <c r="B36" s="783" t="s">
        <v>1802</v>
      </c>
      <c r="C36" s="53">
        <f ca="1">ROUND(C29*F36,1)</f>
        <v>0</v>
      </c>
      <c r="D36" s="1976" t="s">
        <v>1803</v>
      </c>
      <c r="E36" s="783" t="s">
        <v>1796</v>
      </c>
      <c r="F36" s="816">
        <f ca="1">INDIRECT("'数据-取费表'!Ak"&amp;$G$1)</f>
        <v>0</v>
      </c>
      <c r="G36" s="2061"/>
      <c r="H36" s="2076"/>
      <c r="I36" s="838" t="s">
        <v>1815</v>
      </c>
      <c r="J36" s="839">
        <f ca="1">INDIRECT("'数据-取费表'!j"&amp;$G$1)</f>
        <v>0</v>
      </c>
      <c r="K36" s="2081"/>
      <c r="L36" s="2076"/>
      <c r="M36" s="2076"/>
    </row>
    <row r="37" spans="1:18" ht="18" customHeight="1">
      <c r="A37" s="1647" t="s">
        <v>1890</v>
      </c>
      <c r="B37" s="783" t="s">
        <v>679</v>
      </c>
      <c r="C37" s="53">
        <f ca="1">ROUND(C13*F37,1)</f>
        <v>0</v>
      </c>
      <c r="D37" s="1976" t="s">
        <v>1804</v>
      </c>
      <c r="E37" s="783" t="s">
        <v>1796</v>
      </c>
      <c r="F37" s="817">
        <f ca="1">INDIRECT("'数据-取费表'!Al"&amp;$G$1)</f>
        <v>0</v>
      </c>
      <c r="G37" s="2061"/>
      <c r="H37" s="2076"/>
      <c r="I37" s="840" t="s">
        <v>1816</v>
      </c>
      <c r="J37" s="841"/>
      <c r="K37" s="2081"/>
      <c r="L37" s="2076"/>
      <c r="M37" s="2076"/>
    </row>
    <row r="38" spans="1:18" ht="18" customHeight="1" thickBot="1">
      <c r="A38" s="2574" t="s">
        <v>1891</v>
      </c>
      <c r="B38" s="2569" t="s">
        <v>666</v>
      </c>
      <c r="C38" s="2567">
        <f ca="1">ROUND(C5*F38,1)</f>
        <v>0</v>
      </c>
      <c r="D38" s="2568" t="s">
        <v>1805</v>
      </c>
      <c r="E38" s="2569" t="s">
        <v>1796</v>
      </c>
      <c r="F38" s="2565">
        <f ca="1">INDIRECT("'数据-取费表'!Am"&amp;$G$1)</f>
        <v>0</v>
      </c>
      <c r="G38" s="2061"/>
      <c r="H38" s="2076"/>
      <c r="I38" s="842" t="s">
        <v>1817</v>
      </c>
      <c r="J38" s="843"/>
      <c r="K38" s="2082"/>
      <c r="L38" s="2076"/>
      <c r="M38" s="2076"/>
    </row>
    <row r="39" spans="1:18" ht="24.6" customHeight="1" thickTop="1">
      <c r="A39" s="1828" t="s">
        <v>1894</v>
      </c>
      <c r="B39" s="3033" t="s">
        <v>2820</v>
      </c>
      <c r="C39" s="791">
        <f ca="1">C5-C30</f>
        <v>0</v>
      </c>
      <c r="D39" s="2571" t="s">
        <v>1806</v>
      </c>
      <c r="E39" s="2572"/>
      <c r="F39" s="2573"/>
      <c r="G39" s="2061"/>
      <c r="H39" s="2076"/>
      <c r="I39" s="836" t="s">
        <v>1818</v>
      </c>
      <c r="J39" s="844" t="e">
        <f ca="1">ROUND(J35/C39,3)</f>
        <v>#DIV/0!</v>
      </c>
      <c r="K39" s="2082"/>
      <c r="L39" s="2076"/>
      <c r="M39" s="2076"/>
    </row>
    <row r="40" spans="1:18" ht="18" customHeight="1">
      <c r="A40" s="780" t="s">
        <v>1895</v>
      </c>
      <c r="B40" s="2231" t="s">
        <v>2301</v>
      </c>
      <c r="C40" s="782" t="e">
        <f ca="1">ROUND(C39*(1-((1+F42)/(1+F40))^F41)/(F40-F42),0)</f>
        <v>#DIV/0!</v>
      </c>
      <c r="D40" s="813" t="s">
        <v>1807</v>
      </c>
      <c r="E40" s="783" t="s">
        <v>2418</v>
      </c>
      <c r="F40" s="793">
        <f ca="1">INDIRECT("'数据-取费表'!I"&amp;$G$1)</f>
        <v>0</v>
      </c>
      <c r="G40" s="2061"/>
      <c r="H40" s="2061"/>
      <c r="I40" s="836" t="s">
        <v>1819</v>
      </c>
      <c r="J40" s="844" t="e">
        <f ca="1">1-J39</f>
        <v>#DIV/0!</v>
      </c>
      <c r="K40" s="2082"/>
      <c r="L40" s="2061"/>
      <c r="M40" s="2061"/>
    </row>
    <row r="41" spans="1:18" ht="18" customHeight="1">
      <c r="A41" s="785"/>
      <c r="B41" s="786"/>
      <c r="C41" s="787"/>
      <c r="D41" s="820" t="s">
        <v>1808</v>
      </c>
      <c r="E41" s="783" t="s">
        <v>2964</v>
      </c>
      <c r="F41" s="821">
        <f ca="1">IF(INDIRECT("'数据-取费表'!af"&amp;$G$1)=0,INDIRECT("'数据-取费表'!ae"&amp;$G$1),INDIRECT("'数据-取费表'!af"&amp;$G$1))</f>
        <v>0</v>
      </c>
      <c r="G41" s="2061"/>
      <c r="H41" s="1987"/>
      <c r="I41" s="842" t="s">
        <v>1820</v>
      </c>
      <c r="J41" s="845"/>
      <c r="K41" s="2081"/>
      <c r="L41" s="1987"/>
      <c r="M41" s="1987"/>
    </row>
    <row r="42" spans="1:18" ht="18" customHeight="1">
      <c r="A42" s="789"/>
      <c r="B42" s="790"/>
      <c r="C42" s="791"/>
      <c r="D42" s="815"/>
      <c r="E42" s="783" t="s">
        <v>1809</v>
      </c>
      <c r="F42" s="793">
        <f ca="1">INDIRECT("'数据-取费表'!v"&amp;$G$1)</f>
        <v>0</v>
      </c>
      <c r="G42" s="2061"/>
      <c r="H42" s="1987"/>
      <c r="I42" s="846" t="s">
        <v>1821</v>
      </c>
      <c r="J42" s="844" t="e">
        <f ca="1">ROUND(C13/C40,3)</f>
        <v>#DIV/0!</v>
      </c>
      <c r="K42" s="2081"/>
      <c r="L42" s="1987"/>
      <c r="M42" s="1987"/>
    </row>
    <row r="43" spans="1:18" ht="18" customHeight="1" thickBot="1">
      <c r="A43" s="822" t="s">
        <v>1787</v>
      </c>
      <c r="B43" s="823" t="s">
        <v>1810</v>
      </c>
      <c r="C43" s="824" t="e">
        <f ca="1">ROUND(C40*10000/F43,0)</f>
        <v>#DIV/0!</v>
      </c>
      <c r="D43" s="825" t="s">
        <v>1811</v>
      </c>
      <c r="E43" s="826" t="s">
        <v>1812</v>
      </c>
      <c r="F43" s="827">
        <f ca="1">INDIRECT("'数据-取费表'!k"&amp;$G$1)</f>
        <v>0</v>
      </c>
      <c r="G43" s="2061"/>
      <c r="H43" s="1987"/>
      <c r="I43" s="846" t="s">
        <v>1822</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t="e">
        <f ca="1">C67-C40</f>
        <v>#DIV/0!</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635</v>
      </c>
      <c r="C47" s="2597">
        <f ca="1">C48+C52+C54</f>
        <v>0</v>
      </c>
      <c r="D47" s="2084"/>
      <c r="E47" s="2084"/>
      <c r="F47" s="2084"/>
      <c r="I47" s="2381" t="s">
        <v>2342</v>
      </c>
      <c r="J47" s="2386"/>
      <c r="K47" s="2387" t="s">
        <v>2348</v>
      </c>
      <c r="L47" s="2388">
        <f ca="1">INDIRECT("'数据-取费表'!d"&amp;$G$1)</f>
        <v>0</v>
      </c>
      <c r="M47" s="1602" t="str">
        <f>IF(ISNUMBER(FIND("住宅",C1)),"住宅","非住宅")</f>
        <v>非住宅</v>
      </c>
      <c r="O47" s="2418" t="s">
        <v>2374</v>
      </c>
      <c r="P47" s="2419" t="s">
        <v>2375</v>
      </c>
      <c r="Q47" s="2420" t="s">
        <v>2376</v>
      </c>
      <c r="R47" s="2419" t="s">
        <v>2377</v>
      </c>
    </row>
    <row r="48" spans="1:18" s="2058" customFormat="1" ht="18" customHeight="1" thickBot="1">
      <c r="A48" s="2665" t="s">
        <v>2536</v>
      </c>
      <c r="B48" s="2666" t="s">
        <v>2537</v>
      </c>
      <c r="C48" s="2373">
        <f ca="1">ROUND(F48*F50*F49*(1-F51)/10000,0)</f>
        <v>0</v>
      </c>
      <c r="D48" s="2374" t="s">
        <v>636</v>
      </c>
      <c r="E48" s="2375" t="s">
        <v>2296</v>
      </c>
      <c r="F48" s="2376"/>
      <c r="G48" s="2089"/>
      <c r="I48" s="2382" t="s">
        <v>2343</v>
      </c>
      <c r="J48" s="2389"/>
      <c r="K48" s="2390" t="s">
        <v>2350</v>
      </c>
      <c r="L48" s="2391">
        <f ca="1">INDIRECT("'数据-取费表'!f"&amp;$G$1)</f>
        <v>0</v>
      </c>
      <c r="O48" s="2421" t="s">
        <v>2378</v>
      </c>
      <c r="P48" s="2422" t="s">
        <v>2404</v>
      </c>
      <c r="Q48" s="2423" t="e">
        <f ca="1">C40+J29</f>
        <v>#DIV/0!</v>
      </c>
      <c r="R48" s="2422" t="s">
        <v>2379</v>
      </c>
    </row>
    <row r="49" spans="1:18" s="2058" customFormat="1" ht="18" customHeight="1" thickBot="1">
      <c r="A49" s="785"/>
      <c r="B49" s="786"/>
      <c r="C49" s="787"/>
      <c r="D49" s="788"/>
      <c r="E49" s="783" t="s">
        <v>1739</v>
      </c>
      <c r="F49" s="784">
        <f ca="1">F7</f>
        <v>0</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5"/>
      <c r="B50" s="786"/>
      <c r="C50" s="787"/>
      <c r="D50" s="788"/>
      <c r="E50" s="783" t="s">
        <v>1740</v>
      </c>
      <c r="F50" s="784">
        <f ca="1">F8</f>
        <v>0</v>
      </c>
      <c r="G50" s="2094"/>
      <c r="H50" s="2092"/>
      <c r="I50" s="2382" t="s">
        <v>2345</v>
      </c>
      <c r="J50" s="2395">
        <f>SUMPRODUCT((I63:I65=J47)*(J62:L62=J48)*(J63:L65))</f>
        <v>0</v>
      </c>
      <c r="K50" s="2393" t="s">
        <v>2352</v>
      </c>
      <c r="L50" s="2394"/>
      <c r="O50" s="2424" t="s">
        <v>2382</v>
      </c>
      <c r="P50" s="2422" t="s">
        <v>2406</v>
      </c>
      <c r="Q50" s="2423">
        <f ca="1">C29</f>
        <v>0</v>
      </c>
      <c r="R50" s="2422" t="s">
        <v>2379</v>
      </c>
    </row>
    <row r="51" spans="1:18" s="2058" customFormat="1" ht="18" customHeight="1" thickBot="1">
      <c r="A51" s="785"/>
      <c r="B51" s="786"/>
      <c r="C51" s="787"/>
      <c r="D51" s="788"/>
      <c r="E51" s="783" t="s">
        <v>640</v>
      </c>
      <c r="F51" s="2370"/>
      <c r="H51" s="2092"/>
      <c r="I51" s="2383" t="s">
        <v>2346</v>
      </c>
      <c r="J51" s="2396">
        <f>IF(J49="",J50,J49+J50-YEAR('数据-取费表'!B2))</f>
        <v>0</v>
      </c>
      <c r="K51" s="2382" t="s">
        <v>2353</v>
      </c>
      <c r="L51" s="2397">
        <f ca="1">ROUND(-PV(INDIRECT("'数据-取费表'!h"&amp;$G$1),L48,(C39-C13*J36),0),0)</f>
        <v>0</v>
      </c>
      <c r="O51" s="2424" t="s">
        <v>2383</v>
      </c>
      <c r="P51" s="2422" t="s">
        <v>2384</v>
      </c>
      <c r="Q51" s="2425" t="e">
        <f ca="1">J58</f>
        <v>#VALUE!</v>
      </c>
      <c r="R51" s="2426"/>
    </row>
    <row r="52" spans="1:18" s="2058" customFormat="1" ht="18" customHeight="1" thickBot="1">
      <c r="A52" s="780" t="s">
        <v>2535</v>
      </c>
      <c r="B52" s="2517" t="s">
        <v>2458</v>
      </c>
      <c r="C52" s="798">
        <f ca="1">ROUND(IF(F52="押一",C48/12*F11,IF(F52="押二",C48/12*2*F11,IF(F52="押三",C48/12*3*F11,C53*F11))),0)</f>
        <v>0</v>
      </c>
      <c r="D52" s="2524" t="s">
        <v>2975</v>
      </c>
      <c r="E52" s="2521" t="s">
        <v>2463</v>
      </c>
      <c r="F52" s="2644"/>
      <c r="I52" s="2384" t="s">
        <v>2420</v>
      </c>
      <c r="J52" s="2398"/>
      <c r="K52" s="2384" t="s">
        <v>2419</v>
      </c>
      <c r="L52" s="2398"/>
      <c r="O52" s="2424" t="s">
        <v>2385</v>
      </c>
      <c r="P52" s="2422" t="s">
        <v>2386</v>
      </c>
      <c r="Q52" s="2425">
        <f>J52</f>
        <v>0</v>
      </c>
      <c r="R52" s="2426"/>
    </row>
    <row r="53" spans="1:18" s="2058" customFormat="1" ht="39.75" customHeight="1" thickBot="1">
      <c r="A53" s="785"/>
      <c r="B53" s="2518" t="s">
        <v>2572</v>
      </c>
      <c r="C53" s="2522"/>
      <c r="D53" s="2524"/>
      <c r="E53" s="2521"/>
      <c r="F53" s="799"/>
      <c r="I53" s="2385" t="s">
        <v>2347</v>
      </c>
      <c r="J53" s="2399" t="b">
        <f>IF(M47="住宅",J51,IF(D1="——",MIN(J51,L48),IF(D1="土地（套用方法）",MIN(J51,L48-'数据-取费表'!B20))))</f>
        <v>0</v>
      </c>
      <c r="K53" s="3505" t="s">
        <v>2966</v>
      </c>
      <c r="L53" s="3506"/>
      <c r="O53" s="2424" t="s">
        <v>2387</v>
      </c>
      <c r="P53" s="2422" t="s">
        <v>2388</v>
      </c>
      <c r="Q53" s="2423" t="b">
        <f>J53</f>
        <v>0</v>
      </c>
      <c r="R53" s="2422" t="s">
        <v>2389</v>
      </c>
    </row>
    <row r="54" spans="1:18" s="2058" customFormat="1" ht="18" customHeight="1" thickBot="1">
      <c r="A54" s="2560" t="s">
        <v>2466</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2390</v>
      </c>
      <c r="P54" s="2422" t="s">
        <v>2407</v>
      </c>
      <c r="Q54" s="2423" t="e">
        <f ca="1">Q48+Q49</f>
        <v>#DIV/0!</v>
      </c>
      <c r="R54" s="2426" t="s">
        <v>2391</v>
      </c>
    </row>
    <row r="55" spans="1:18" s="2058" customFormat="1" ht="18" customHeight="1" thickTop="1" thickBot="1">
      <c r="A55" s="796">
        <v>2</v>
      </c>
      <c r="B55" s="797" t="s">
        <v>644</v>
      </c>
      <c r="C55" s="798">
        <f ca="1">C13</f>
        <v>0</v>
      </c>
      <c r="D55" s="794"/>
      <c r="E55" s="794"/>
      <c r="F55" s="799"/>
      <c r="I55" s="3126" t="s">
        <v>2354</v>
      </c>
      <c r="J55" s="3125" t="e">
        <f ca="1">ROUND(IF(J47="钢混",J57/J50,1-(1-2%)*(J50-J57)/J50),3)</f>
        <v>#VALUE!</v>
      </c>
      <c r="K55" s="2400" t="s">
        <v>2355</v>
      </c>
      <c r="L55" s="2401"/>
      <c r="O55" s="2427" t="s">
        <v>2410</v>
      </c>
      <c r="P55" s="1590"/>
      <c r="Q55" s="1602"/>
      <c r="R55" s="1590"/>
    </row>
    <row r="56" spans="1:18" s="2058" customFormat="1" ht="42.75" customHeight="1" thickBot="1">
      <c r="A56" s="1648"/>
      <c r="B56" s="2230" t="s">
        <v>2302</v>
      </c>
      <c r="C56" s="53">
        <f ca="1">C29</f>
        <v>0</v>
      </c>
      <c r="D56" s="2662"/>
      <c r="E56" s="783"/>
      <c r="F56" s="808"/>
      <c r="I56" s="2402" t="s">
        <v>2356</v>
      </c>
      <c r="J56" s="3149" t="s">
        <v>1678</v>
      </c>
      <c r="K56" s="2382" t="s">
        <v>2361</v>
      </c>
      <c r="L56" s="2391">
        <f ca="1">IF(L48&lt;J51,"——",L48-J51)</f>
        <v>0</v>
      </c>
      <c r="O56" s="2418" t="s">
        <v>2374</v>
      </c>
      <c r="P56" s="2419" t="s">
        <v>2375</v>
      </c>
      <c r="Q56" s="2420" t="s">
        <v>2376</v>
      </c>
      <c r="R56" s="2419" t="s">
        <v>2377</v>
      </c>
    </row>
    <row r="57" spans="1:18" s="2058" customFormat="1" ht="28.5" customHeight="1" thickBot="1">
      <c r="A57" s="796" t="s">
        <v>1748</v>
      </c>
      <c r="B57" s="797" t="s">
        <v>651</v>
      </c>
      <c r="C57" s="798">
        <f ca="1">ROUND(C58+C63+C64+C65,0)</f>
        <v>0</v>
      </c>
      <c r="D57" s="26" t="s">
        <v>1750</v>
      </c>
      <c r="E57" s="2663"/>
      <c r="F57" s="56"/>
      <c r="I57" s="2403" t="s">
        <v>2357</v>
      </c>
      <c r="J57" s="2405" t="str">
        <f ca="1">IF(OR(M47="住宅",J51&lt;L48,J56="是"),"——",J51-L48)</f>
        <v>——</v>
      </c>
      <c r="K57" s="2382" t="s">
        <v>2362</v>
      </c>
      <c r="L57" s="2391">
        <f ca="1">IF(L48&lt;J51,"——",IF(L55="比较法",L49,IF(L55="基准地价",L50,L51)))</f>
        <v>0</v>
      </c>
      <c r="O57" s="2421" t="s">
        <v>2378</v>
      </c>
      <c r="P57" s="2422" t="s">
        <v>2408</v>
      </c>
      <c r="Q57" s="2423" t="e">
        <f ca="1">C40+J29</f>
        <v>#DIV/0!</v>
      </c>
      <c r="R57" s="2422" t="s">
        <v>2379</v>
      </c>
    </row>
    <row r="58" spans="1:18" s="2058" customFormat="1" ht="28.5" customHeight="1" thickBot="1">
      <c r="A58" s="1647" t="s">
        <v>1824</v>
      </c>
      <c r="B58" s="783" t="s">
        <v>656</v>
      </c>
      <c r="C58" s="53">
        <f ca="1">ROUND(IF(项目基本情况!B11="自然人",C47*F58,C59+C60+C61),1)</f>
        <v>0</v>
      </c>
      <c r="D58" s="2661" t="s">
        <v>657</v>
      </c>
      <c r="E58" s="2662" t="s">
        <v>690</v>
      </c>
      <c r="F58" s="809" t="str">
        <f ca="1">IF(项目基本情况!B11="企业","",IF(INDIRECT("'数据-取费表'!c"&amp;$G$1)="住宅",5%,IF(F48*F49*F50/12/(1+'数据-取费表'!C42)&gt;20000,12%,7%)))</f>
        <v/>
      </c>
      <c r="I58" s="2403" t="s">
        <v>2358</v>
      </c>
      <c r="J58" s="3127" t="e">
        <f ca="1">IF(J55&lt;0.4,0.4,J55)</f>
        <v>#VALUE!</v>
      </c>
      <c r="K58" s="2382" t="s">
        <v>2363</v>
      </c>
      <c r="L58" s="2391" t="e">
        <f ca="1">ROUND(POWER(1+L52,L47-L48)*(POWER(1+L52,L48)-1)/(POWER(1+L52,L47)-1),4)</f>
        <v>#DIV/0!</v>
      </c>
      <c r="O58" s="2421" t="s">
        <v>2380</v>
      </c>
      <c r="P58" s="2422" t="s">
        <v>2411</v>
      </c>
      <c r="Q58" s="2423" t="e">
        <f ca="1">L60</f>
        <v>#DIV/0!</v>
      </c>
      <c r="R58" s="2426" t="s">
        <v>2413</v>
      </c>
    </row>
    <row r="59" spans="1:18" s="2058" customFormat="1" ht="28.5" customHeight="1" thickBot="1">
      <c r="A59" s="1646" t="s">
        <v>1831</v>
      </c>
      <c r="B59" s="783" t="s">
        <v>660</v>
      </c>
      <c r="C59" s="53">
        <f ca="1">ROUND(C47*F59/1.05,1)</f>
        <v>0</v>
      </c>
      <c r="D59" s="2662" t="s">
        <v>1756</v>
      </c>
      <c r="E59" s="783" t="s">
        <v>1747</v>
      </c>
      <c r="F59" s="808">
        <f t="shared" ref="F59:F65" si="0">F32</f>
        <v>5.6000000000000001E-2</v>
      </c>
      <c r="I59" s="2403" t="s">
        <v>2359</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1832</v>
      </c>
      <c r="B60" s="783" t="s">
        <v>1758</v>
      </c>
      <c r="C60" s="53">
        <f ca="1">IF(D60="按租金收入计税",ROUND(C47*F60,1),IF(D60="按房产原值计税",ROUND(C56*F60*0.7,1),INDIRECT("'数据-取费表'!Aj"&amp;$G$1)))</f>
        <v>0</v>
      </c>
      <c r="D60" s="2662" t="str">
        <f>D33</f>
        <v>按房产原值计税</v>
      </c>
      <c r="E60" s="783" t="s">
        <v>1747</v>
      </c>
      <c r="F60" s="808">
        <f t="shared" si="0"/>
        <v>1.2E-2</v>
      </c>
      <c r="I60" s="2404" t="s">
        <v>2360</v>
      </c>
      <c r="J60" s="2406" t="str">
        <f ca="1">IF(OR(M47="住宅",J51&lt;L48,J56="是"),"0",ROUND(J59/(1+J52)^J53,0))</f>
        <v>0</v>
      </c>
      <c r="K60" s="2407" t="s">
        <v>2365</v>
      </c>
      <c r="L60" s="2406" t="e">
        <f ca="1">IF(OR(M47="住宅",L48&lt;J51),0,ROUND(L57*(L58/L59-1),0))</f>
        <v>#DIV/0!</v>
      </c>
      <c r="O60" s="2424" t="s">
        <v>2383</v>
      </c>
      <c r="P60" s="2422" t="s">
        <v>2392</v>
      </c>
      <c r="Q60" s="2425">
        <f>L52</f>
        <v>0</v>
      </c>
      <c r="R60" s="2426"/>
    </row>
    <row r="61" spans="1:18" s="2058" customFormat="1" ht="18" customHeight="1" thickBot="1">
      <c r="A61" s="1649" t="s">
        <v>1833</v>
      </c>
      <c r="B61" s="340" t="s">
        <v>668</v>
      </c>
      <c r="C61" s="54">
        <f ca="1">ROUND(F61*F62/10000,1)</f>
        <v>0</v>
      </c>
      <c r="D61" s="813" t="s">
        <v>669</v>
      </c>
      <c r="E61" s="783" t="s">
        <v>670</v>
      </c>
      <c r="F61" s="639">
        <f t="shared" si="0"/>
        <v>0</v>
      </c>
      <c r="K61" s="2085"/>
      <c r="O61" s="2424" t="s">
        <v>2385</v>
      </c>
      <c r="P61" s="2422" t="s">
        <v>2393</v>
      </c>
      <c r="Q61" s="2423" t="e">
        <f ca="1">L58</f>
        <v>#DIV/0!</v>
      </c>
      <c r="R61" s="2426" t="s">
        <v>2394</v>
      </c>
    </row>
    <row r="62" spans="1:18" s="2058" customFormat="1" ht="15.75" thickBot="1">
      <c r="A62" s="814"/>
      <c r="B62" s="792"/>
      <c r="C62" s="69"/>
      <c r="D62" s="815"/>
      <c r="E62" s="783" t="s">
        <v>674</v>
      </c>
      <c r="F62" s="784">
        <f t="shared" ca="1" si="0"/>
        <v>0</v>
      </c>
      <c r="I62" s="2408" t="s">
        <v>2366</v>
      </c>
      <c r="J62" s="2409" t="s">
        <v>2367</v>
      </c>
      <c r="K62" s="2409" t="s">
        <v>2368</v>
      </c>
      <c r="L62" s="2409" t="s">
        <v>2349</v>
      </c>
      <c r="M62" s="3128" t="s">
        <v>2941</v>
      </c>
      <c r="O62" s="2424" t="s">
        <v>2387</v>
      </c>
      <c r="P62" s="2422" t="str">
        <f>K59</f>
        <v>建设期及建筑物耐用年限下的土地年期修正系数Kn</v>
      </c>
      <c r="Q62" s="2423" t="e">
        <f ca="1">L59</f>
        <v>#DIV/0!</v>
      </c>
      <c r="R62" s="2426" t="s">
        <v>2396</v>
      </c>
    </row>
    <row r="63" spans="1:18" s="2058" customFormat="1" ht="15.75" thickBot="1">
      <c r="A63" s="1647" t="s">
        <v>1889</v>
      </c>
      <c r="B63" s="783" t="s">
        <v>676</v>
      </c>
      <c r="C63" s="53">
        <f ca="1">ROUND(C56*F63,1)</f>
        <v>0</v>
      </c>
      <c r="D63" s="2662" t="s">
        <v>1803</v>
      </c>
      <c r="E63" s="783" t="s">
        <v>1747</v>
      </c>
      <c r="F63" s="816">
        <f t="shared" ca="1" si="0"/>
        <v>0</v>
      </c>
      <c r="I63" s="2408" t="s">
        <v>2369</v>
      </c>
      <c r="J63" s="2409">
        <v>70</v>
      </c>
      <c r="K63" s="2409">
        <v>50</v>
      </c>
      <c r="L63" s="2409">
        <v>80</v>
      </c>
      <c r="M63" s="3129">
        <v>0.02</v>
      </c>
      <c r="O63" s="2421" t="s">
        <v>2390</v>
      </c>
      <c r="P63" s="2422" t="s">
        <v>2407</v>
      </c>
      <c r="Q63" s="2423" t="e">
        <f ca="1">Q57+Q58</f>
        <v>#DIV/0!</v>
      </c>
      <c r="R63" s="2426" t="s">
        <v>2391</v>
      </c>
    </row>
    <row r="64" spans="1:18" s="2058" customFormat="1" ht="16.5" thickBot="1">
      <c r="A64" s="1647" t="s">
        <v>1890</v>
      </c>
      <c r="B64" s="783" t="s">
        <v>679</v>
      </c>
      <c r="C64" s="53">
        <f ca="1">ROUND(C55*F64,1)</f>
        <v>0</v>
      </c>
      <c r="D64" s="2662" t="s">
        <v>680</v>
      </c>
      <c r="E64" s="783" t="s">
        <v>1747</v>
      </c>
      <c r="F64" s="817">
        <f t="shared" ca="1" si="0"/>
        <v>0</v>
      </c>
      <c r="I64" s="2408" t="s">
        <v>2370</v>
      </c>
      <c r="J64" s="2409">
        <v>50</v>
      </c>
      <c r="K64" s="2409">
        <v>35</v>
      </c>
      <c r="L64" s="2409">
        <v>60</v>
      </c>
      <c r="M64" s="3130">
        <v>0</v>
      </c>
      <c r="O64" s="2427" t="s">
        <v>2414</v>
      </c>
      <c r="P64" s="1590"/>
      <c r="Q64" s="1602"/>
      <c r="R64" s="1590"/>
    </row>
    <row r="65" spans="1:18" s="2058" customFormat="1" ht="15.75" thickBot="1">
      <c r="A65" s="1647" t="s">
        <v>1891</v>
      </c>
      <c r="B65" s="783" t="s">
        <v>666</v>
      </c>
      <c r="C65" s="53">
        <f ca="1">ROUND(C47*F65,1)</f>
        <v>0</v>
      </c>
      <c r="D65" s="2662" t="s">
        <v>683</v>
      </c>
      <c r="E65" s="783" t="s">
        <v>1747</v>
      </c>
      <c r="F65" s="793">
        <f t="shared" ca="1" si="0"/>
        <v>0</v>
      </c>
      <c r="I65" s="2408" t="s">
        <v>2371</v>
      </c>
      <c r="J65" s="2409">
        <v>40</v>
      </c>
      <c r="K65" s="2409">
        <v>30</v>
      </c>
      <c r="L65" s="2409">
        <v>50</v>
      </c>
      <c r="M65" s="3129">
        <v>0.02</v>
      </c>
      <c r="O65" s="2418" t="s">
        <v>2374</v>
      </c>
      <c r="P65" s="2419" t="s">
        <v>2375</v>
      </c>
      <c r="Q65" s="2420" t="s">
        <v>2376</v>
      </c>
      <c r="R65" s="2419" t="s">
        <v>2377</v>
      </c>
    </row>
    <row r="66" spans="1:18" s="2058" customFormat="1" ht="24.75" thickBot="1">
      <c r="A66" s="796" t="s">
        <v>1776</v>
      </c>
      <c r="B66" s="3034" t="s">
        <v>2820</v>
      </c>
      <c r="C66" s="798">
        <f ca="1">C47-C57</f>
        <v>0</v>
      </c>
      <c r="D66" s="2661" t="s">
        <v>700</v>
      </c>
      <c r="E66" s="2660"/>
      <c r="F66" s="819"/>
      <c r="K66" s="2085"/>
      <c r="O66" s="2421" t="s">
        <v>2378</v>
      </c>
      <c r="P66" s="2422" t="s">
        <v>2408</v>
      </c>
      <c r="Q66" s="2423" t="e">
        <f ca="1">C40+J29</f>
        <v>#DIV/0!</v>
      </c>
      <c r="R66" s="2422" t="s">
        <v>2379</v>
      </c>
    </row>
    <row r="67" spans="1:18" s="2058" customFormat="1" ht="20.25" thickBot="1">
      <c r="A67" s="780" t="s">
        <v>1780</v>
      </c>
      <c r="B67" s="2231" t="s">
        <v>2301</v>
      </c>
      <c r="C67" s="782" t="e">
        <f ca="1">ROUND(C66*(1-((1+F69)/(1+F67))^F68)/(F67-F69),0)</f>
        <v>#DIV/0!</v>
      </c>
      <c r="D67" s="813" t="s">
        <v>704</v>
      </c>
      <c r="E67" s="783" t="s">
        <v>705</v>
      </c>
      <c r="F67" s="793">
        <f ca="1">F40</f>
        <v>0</v>
      </c>
      <c r="K67" s="2085"/>
      <c r="O67" s="2421" t="s">
        <v>2380</v>
      </c>
      <c r="P67" s="2422" t="s">
        <v>2411</v>
      </c>
      <c r="Q67" s="2423" t="e">
        <f ca="1">L60</f>
        <v>#DIV/0!</v>
      </c>
      <c r="R67" s="2426" t="s">
        <v>2413</v>
      </c>
    </row>
    <row r="68" spans="1:18" ht="21.75" thickBot="1">
      <c r="A68" s="785"/>
      <c r="B68" s="786"/>
      <c r="C68" s="787"/>
      <c r="D68" s="820" t="s">
        <v>1808</v>
      </c>
      <c r="E68" s="783" t="s">
        <v>1784</v>
      </c>
      <c r="F68" s="821">
        <f ca="1">F41</f>
        <v>0</v>
      </c>
      <c r="O68" s="2424" t="s">
        <v>2382</v>
      </c>
      <c r="P68" s="2422" t="s">
        <v>2412</v>
      </c>
      <c r="Q68" s="2428">
        <f ca="1">L51</f>
        <v>0</v>
      </c>
      <c r="R68" s="2429" t="s">
        <v>2415</v>
      </c>
    </row>
    <row r="69" spans="1:18" ht="20.25" thickBot="1">
      <c r="A69" s="789"/>
      <c r="B69" s="790"/>
      <c r="C69" s="791"/>
      <c r="D69" s="815"/>
      <c r="E69" s="783" t="s">
        <v>710</v>
      </c>
      <c r="F69" s="2370"/>
      <c r="O69" s="2424" t="s">
        <v>2383</v>
      </c>
      <c r="P69" s="2430" t="s">
        <v>2397</v>
      </c>
      <c r="Q69" s="2423">
        <f ca="1">ROUND(Q70-Q71*Q72,0)</f>
        <v>0</v>
      </c>
      <c r="R69" s="2426"/>
    </row>
    <row r="70" spans="1:18" ht="15.75" thickBot="1">
      <c r="A70" s="822" t="s">
        <v>1787</v>
      </c>
      <c r="B70" s="823" t="s">
        <v>1810</v>
      </c>
      <c r="C70" s="824" t="e">
        <f ca="1">ROUND(C67*10000/F70,0)</f>
        <v>#DIV/0!</v>
      </c>
      <c r="D70" s="825" t="s">
        <v>1811</v>
      </c>
      <c r="E70" s="826" t="s">
        <v>1812</v>
      </c>
      <c r="F70" s="827">
        <f ca="1">F43</f>
        <v>0</v>
      </c>
      <c r="O70" s="2424" t="s">
        <v>2398</v>
      </c>
      <c r="P70" s="2430" t="s">
        <v>2399</v>
      </c>
      <c r="Q70" s="2423">
        <f ca="1">C39</f>
        <v>0</v>
      </c>
      <c r="R70" s="2422" t="s">
        <v>2379</v>
      </c>
    </row>
    <row r="71" spans="1:18" ht="15.75" thickBot="1">
      <c r="O71" s="2424" t="s">
        <v>2400</v>
      </c>
      <c r="P71" s="2430" t="s">
        <v>2401</v>
      </c>
      <c r="Q71" s="2423">
        <f ca="1">C13</f>
        <v>0</v>
      </c>
      <c r="R71" s="2422" t="s">
        <v>2379</v>
      </c>
    </row>
    <row r="72" spans="1:18" ht="15.75" thickBot="1">
      <c r="O72" s="2424" t="s">
        <v>2402</v>
      </c>
      <c r="P72" s="2430" t="s">
        <v>2403</v>
      </c>
      <c r="Q72" s="2425">
        <f ca="1">J36</f>
        <v>0</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t="e">
        <f ca="1">Q66+Q67</f>
        <v>#DIV/0!</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07" t="s">
        <v>2470</v>
      </c>
      <c r="B1" s="3508"/>
      <c r="C1" s="3509"/>
      <c r="D1" s="3510">
        <f>SUM(I10,I15,I20,I21,I23)</f>
        <v>0</v>
      </c>
      <c r="E1" s="3510"/>
      <c r="F1" s="3510"/>
      <c r="G1" s="3510"/>
      <c r="H1" s="3510"/>
      <c r="I1" s="3511"/>
    </row>
    <row r="2" spans="1:9">
      <c r="A2" s="3512" t="s">
        <v>2471</v>
      </c>
      <c r="B2" s="3513" t="s">
        <v>2472</v>
      </c>
      <c r="C2" s="3513"/>
      <c r="D2" s="2530" t="s">
        <v>2473</v>
      </c>
      <c r="E2" s="2530" t="s">
        <v>2474</v>
      </c>
      <c r="F2" s="2530" t="s">
        <v>2475</v>
      </c>
      <c r="G2" s="2530" t="s">
        <v>2476</v>
      </c>
      <c r="H2" s="2530" t="s">
        <v>2477</v>
      </c>
      <c r="I2" s="2531" t="s">
        <v>2478</v>
      </c>
    </row>
    <row r="3" spans="1:9">
      <c r="A3" s="3512"/>
      <c r="B3" s="3513" t="s">
        <v>2479</v>
      </c>
      <c r="C3" s="3513"/>
      <c r="D3" s="2532"/>
      <c r="E3" s="2530"/>
      <c r="F3" s="2533"/>
      <c r="G3" s="2533"/>
      <c r="H3" s="2534"/>
      <c r="I3" s="2535">
        <f>ROUND(D3*E3*F3*G3*H3/10000,0)</f>
        <v>0</v>
      </c>
    </row>
    <row r="4" spans="1:9">
      <c r="A4" s="3512"/>
      <c r="B4" s="3513" t="s">
        <v>2480</v>
      </c>
      <c r="C4" s="3513"/>
      <c r="D4" s="2532"/>
      <c r="E4" s="2530"/>
      <c r="F4" s="2533"/>
      <c r="G4" s="2533"/>
      <c r="H4" s="2534"/>
      <c r="I4" s="2535">
        <f t="shared" ref="I4:I9" si="0">ROUND(D4*E4*F4*G4*H4/10000,0)</f>
        <v>0</v>
      </c>
    </row>
    <row r="5" spans="1:9">
      <c r="A5" s="3512"/>
      <c r="B5" s="3513" t="s">
        <v>2481</v>
      </c>
      <c r="C5" s="3513"/>
      <c r="D5" s="2532"/>
      <c r="E5" s="2530"/>
      <c r="F5" s="2533"/>
      <c r="G5" s="2533"/>
      <c r="H5" s="2534"/>
      <c r="I5" s="2535">
        <f t="shared" si="0"/>
        <v>0</v>
      </c>
    </row>
    <row r="6" spans="1:9">
      <c r="A6" s="3512"/>
      <c r="B6" s="3513" t="s">
        <v>2482</v>
      </c>
      <c r="C6" s="3513"/>
      <c r="D6" s="2532"/>
      <c r="E6" s="2530"/>
      <c r="F6" s="2533"/>
      <c r="G6" s="2533"/>
      <c r="H6" s="2534"/>
      <c r="I6" s="2535">
        <f t="shared" si="0"/>
        <v>0</v>
      </c>
    </row>
    <row r="7" spans="1:9">
      <c r="A7" s="3512"/>
      <c r="B7" s="3513" t="s">
        <v>2483</v>
      </c>
      <c r="C7" s="3513"/>
      <c r="D7" s="2532"/>
      <c r="E7" s="2530"/>
      <c r="F7" s="2533"/>
      <c r="G7" s="2533"/>
      <c r="H7" s="2534"/>
      <c r="I7" s="2535">
        <f t="shared" si="0"/>
        <v>0</v>
      </c>
    </row>
    <row r="8" spans="1:9">
      <c r="A8" s="3512"/>
      <c r="B8" s="3513" t="s">
        <v>2484</v>
      </c>
      <c r="C8" s="3513"/>
      <c r="D8" s="2532"/>
      <c r="E8" s="2530"/>
      <c r="F8" s="2533"/>
      <c r="G8" s="2533"/>
      <c r="H8" s="2534"/>
      <c r="I8" s="2535">
        <f t="shared" si="0"/>
        <v>0</v>
      </c>
    </row>
    <row r="9" spans="1:9">
      <c r="A9" s="3512"/>
      <c r="B9" s="3513" t="s">
        <v>2485</v>
      </c>
      <c r="C9" s="3513"/>
      <c r="D9" s="2532"/>
      <c r="E9" s="2530"/>
      <c r="F9" s="2533"/>
      <c r="G9" s="2533"/>
      <c r="H9" s="2534"/>
      <c r="I9" s="2535">
        <f t="shared" si="0"/>
        <v>0</v>
      </c>
    </row>
    <row r="10" spans="1:9">
      <c r="A10" s="3512"/>
      <c r="B10" s="3514" t="s">
        <v>2486</v>
      </c>
      <c r="C10" s="3514"/>
      <c r="D10" s="2536">
        <v>527</v>
      </c>
      <c r="E10" s="2536" t="e">
        <f>ROUND(D1*10000/D10/H9,0)</f>
        <v>#DIV/0!</v>
      </c>
      <c r="F10" s="2537"/>
      <c r="G10" s="2537"/>
      <c r="H10" s="2538"/>
      <c r="I10" s="2539">
        <f>SUM(I3:I9)</f>
        <v>0</v>
      </c>
    </row>
    <row r="11" spans="1:9" ht="14.25">
      <c r="A11" s="3512" t="s">
        <v>2487</v>
      </c>
      <c r="B11" s="3513" t="s">
        <v>2488</v>
      </c>
      <c r="C11" s="3513"/>
      <c r="D11" s="2532" t="s">
        <v>2489</v>
      </c>
      <c r="E11" s="2532" t="s">
        <v>2490</v>
      </c>
      <c r="F11" s="2533" t="s">
        <v>2491</v>
      </c>
      <c r="G11" s="2533" t="s">
        <v>2492</v>
      </c>
      <c r="H11" s="2540" t="s">
        <v>2493</v>
      </c>
      <c r="I11" s="2531" t="s">
        <v>2494</v>
      </c>
    </row>
    <row r="12" spans="1:9">
      <c r="A12" s="3512"/>
      <c r="B12" s="3513" t="s">
        <v>2495</v>
      </c>
      <c r="C12" s="3513"/>
      <c r="D12" s="2532"/>
      <c r="E12" s="2532"/>
      <c r="F12" s="2533"/>
      <c r="G12" s="2534"/>
      <c r="H12" s="2541"/>
      <c r="I12" s="2531">
        <f>ROUND(D12*E12*F12*G12/10000,0)</f>
        <v>0</v>
      </c>
    </row>
    <row r="13" spans="1:9">
      <c r="A13" s="3512"/>
      <c r="B13" s="3513" t="s">
        <v>2496</v>
      </c>
      <c r="C13" s="3513"/>
      <c r="D13" s="2532"/>
      <c r="E13" s="2532"/>
      <c r="F13" s="2533"/>
      <c r="G13" s="2534"/>
      <c r="H13" s="2541"/>
      <c r="I13" s="2531">
        <f>ROUND(D13*E13*F13*G13/10000,0)</f>
        <v>0</v>
      </c>
    </row>
    <row r="14" spans="1:9">
      <c r="A14" s="3512"/>
      <c r="B14" s="3513" t="s">
        <v>2497</v>
      </c>
      <c r="C14" s="3513"/>
      <c r="D14" s="2532"/>
      <c r="E14" s="2532"/>
      <c r="F14" s="2533"/>
      <c r="G14" s="2534"/>
      <c r="H14" s="2541"/>
      <c r="I14" s="2531">
        <f>ROUND(D14*E14*F14*G14/10000,0)</f>
        <v>0</v>
      </c>
    </row>
    <row r="15" spans="1:9">
      <c r="A15" s="3512"/>
      <c r="B15" s="3514" t="s">
        <v>2486</v>
      </c>
      <c r="C15" s="3514"/>
      <c r="D15" s="2536"/>
      <c r="E15" s="2536">
        <f>SUM(E12:E14)</f>
        <v>0</v>
      </c>
      <c r="F15" s="2537"/>
      <c r="G15" s="2534"/>
      <c r="H15" s="2541"/>
      <c r="I15" s="2542">
        <f>SUM(I12:I14)</f>
        <v>0</v>
      </c>
    </row>
    <row r="16" spans="1:9" ht="24">
      <c r="A16" s="3512" t="s">
        <v>2498</v>
      </c>
      <c r="B16" s="3513" t="s">
        <v>2499</v>
      </c>
      <c r="C16" s="3513"/>
      <c r="D16" s="2532" t="s">
        <v>2500</v>
      </c>
      <c r="E16" s="2543" t="s">
        <v>2501</v>
      </c>
      <c r="F16" s="2533" t="s">
        <v>2502</v>
      </c>
      <c r="G16" s="2534" t="s">
        <v>2492</v>
      </c>
      <c r="H16" s="2540" t="s">
        <v>2493</v>
      </c>
      <c r="I16" s="2531" t="s">
        <v>2494</v>
      </c>
    </row>
    <row r="17" spans="1:9" ht="14.25">
      <c r="A17" s="3512"/>
      <c r="B17" s="3513" t="s">
        <v>2503</v>
      </c>
      <c r="C17" s="3513"/>
      <c r="D17" s="2532"/>
      <c r="E17" s="2532"/>
      <c r="F17" s="2533"/>
      <c r="G17" s="2534"/>
      <c r="H17" s="2544"/>
      <c r="I17" s="2545">
        <f>ROUND(D17*E17*F17*G17/10000,0)</f>
        <v>0</v>
      </c>
    </row>
    <row r="18" spans="1:9" ht="14.25">
      <c r="A18" s="3512"/>
      <c r="B18" s="3513" t="s">
        <v>2504</v>
      </c>
      <c r="C18" s="3513"/>
      <c r="D18" s="2532"/>
      <c r="E18" s="2532"/>
      <c r="F18" s="2533"/>
      <c r="G18" s="2534"/>
      <c r="H18" s="2544"/>
      <c r="I18" s="2545">
        <f>ROUND(D18*E18*F18*G18/10000,0)</f>
        <v>0</v>
      </c>
    </row>
    <row r="19" spans="1:9" ht="14.25">
      <c r="A19" s="3512"/>
      <c r="B19" s="3513" t="s">
        <v>2505</v>
      </c>
      <c r="C19" s="3513"/>
      <c r="D19" s="2532"/>
      <c r="E19" s="2532"/>
      <c r="F19" s="2533"/>
      <c r="G19" s="2534"/>
      <c r="H19" s="2544"/>
      <c r="I19" s="2545">
        <f>ROUND(D19*E19*F19*G19/10000,0)</f>
        <v>0</v>
      </c>
    </row>
    <row r="20" spans="1:9">
      <c r="A20" s="3512"/>
      <c r="B20" s="3514" t="s">
        <v>2486</v>
      </c>
      <c r="C20" s="3514"/>
      <c r="D20" s="2536">
        <f>SUM(D17:D19)</f>
        <v>0</v>
      </c>
      <c r="E20" s="2536"/>
      <c r="F20" s="2537"/>
      <c r="G20" s="2534"/>
      <c r="H20" s="2541"/>
      <c r="I20" s="2542">
        <f>SUM(I17:I19)</f>
        <v>0</v>
      </c>
    </row>
    <row r="21" spans="1:9">
      <c r="A21" s="3512" t="s">
        <v>2506</v>
      </c>
      <c r="B21" s="3516"/>
      <c r="C21" s="3516"/>
      <c r="D21" s="3516"/>
      <c r="E21" s="3516"/>
      <c r="F21" s="3516"/>
      <c r="G21" s="3516"/>
      <c r="H21" s="2546">
        <v>0.1</v>
      </c>
      <c r="I21" s="2539">
        <f>ROUND(I10*H21,0)</f>
        <v>0</v>
      </c>
    </row>
    <row r="22" spans="1:9" ht="14.25">
      <c r="A22" s="3517" t="s">
        <v>2507</v>
      </c>
      <c r="B22" s="3518"/>
      <c r="C22" s="3519"/>
      <c r="D22" s="2547" t="s">
        <v>2508</v>
      </c>
      <c r="E22" s="2547" t="s">
        <v>2509</v>
      </c>
      <c r="F22" s="2548" t="s">
        <v>2510</v>
      </c>
      <c r="G22" s="2548" t="s">
        <v>2511</v>
      </c>
      <c r="H22" s="2540" t="s">
        <v>2512</v>
      </c>
      <c r="I22" s="2531" t="s">
        <v>2513</v>
      </c>
    </row>
    <row r="23" spans="1:9" ht="14.25" thickBot="1">
      <c r="A23" s="3520"/>
      <c r="B23" s="3521"/>
      <c r="C23" s="3522"/>
      <c r="D23" s="2549"/>
      <c r="E23" s="2549"/>
      <c r="F23" s="2549"/>
      <c r="G23" s="2550"/>
      <c r="H23" s="2551"/>
      <c r="I23" s="2552">
        <f>ROUND(E23*D23*F23*(1-G23)/10000,0)</f>
        <v>0</v>
      </c>
    </row>
    <row r="26" spans="1:9">
      <c r="A26" s="2553" t="s">
        <v>2514</v>
      </c>
      <c r="B26" s="2553"/>
      <c r="C26" s="2553"/>
      <c r="D26" s="2553"/>
      <c r="E26" s="3523">
        <f>C27-C30-C31-C32</f>
        <v>0</v>
      </c>
      <c r="F26" s="3523"/>
      <c r="G26" s="3523"/>
      <c r="H26" s="3067" t="s">
        <v>2841</v>
      </c>
    </row>
    <row r="27" spans="1:9">
      <c r="A27" s="2554">
        <v>1</v>
      </c>
      <c r="B27" s="2555" t="s">
        <v>2515</v>
      </c>
      <c r="C27" s="2555"/>
      <c r="D27" s="2555"/>
      <c r="E27" s="3524"/>
      <c r="F27" s="3524"/>
      <c r="G27" s="3524"/>
    </row>
    <row r="28" spans="1:9">
      <c r="A28" s="2556" t="s">
        <v>2516</v>
      </c>
      <c r="B28" s="2555" t="s">
        <v>2517</v>
      </c>
      <c r="C28" s="2555"/>
      <c r="D28" s="2555"/>
      <c r="E28" s="3524"/>
      <c r="F28" s="3524"/>
      <c r="G28" s="3524"/>
    </row>
    <row r="29" spans="1:9">
      <c r="A29" s="2556" t="s">
        <v>2518</v>
      </c>
      <c r="B29" s="2555" t="s">
        <v>2459</v>
      </c>
      <c r="C29" s="2555"/>
      <c r="D29" s="2555"/>
      <c r="E29" s="2555" t="s">
        <v>2519</v>
      </c>
      <c r="F29" s="2555"/>
      <c r="G29" s="2555"/>
    </row>
    <row r="30" spans="1:9">
      <c r="A30" s="2554">
        <v>2</v>
      </c>
      <c r="B30" s="2555" t="s">
        <v>2520</v>
      </c>
      <c r="C30" s="2555">
        <f>C27*D30</f>
        <v>0</v>
      </c>
      <c r="D30" s="2557">
        <v>0.2</v>
      </c>
      <c r="E30" s="2555" t="s">
        <v>2521</v>
      </c>
      <c r="F30" s="2555"/>
      <c r="G30" s="2555"/>
    </row>
    <row r="31" spans="1:9">
      <c r="A31" s="2554">
        <v>3</v>
      </c>
      <c r="B31" s="2555" t="s">
        <v>2522</v>
      </c>
      <c r="C31" s="2555">
        <f>C25*D31</f>
        <v>0</v>
      </c>
      <c r="D31" s="2557">
        <v>0.15</v>
      </c>
      <c r="E31" s="2555" t="s">
        <v>2523</v>
      </c>
      <c r="F31" s="2555"/>
      <c r="G31" s="2555"/>
    </row>
    <row r="32" spans="1:9">
      <c r="A32" s="2554">
        <v>4</v>
      </c>
      <c r="B32" s="2555" t="s">
        <v>2524</v>
      </c>
      <c r="C32" s="2555">
        <f>C27*D32</f>
        <v>0</v>
      </c>
      <c r="D32" s="2557">
        <v>0.05</v>
      </c>
      <c r="E32" s="3515"/>
      <c r="F32" s="3515"/>
      <c r="G32" s="3515"/>
    </row>
    <row r="33" spans="1:7" hidden="1">
      <c r="A33" s="3525" t="s">
        <v>2525</v>
      </c>
      <c r="B33" s="3526"/>
      <c r="C33" s="3526"/>
      <c r="D33" s="3527"/>
      <c r="E33" s="3523"/>
      <c r="F33" s="3523"/>
      <c r="G33" s="3523"/>
    </row>
    <row r="34" spans="1:7" hidden="1">
      <c r="A34" s="2558">
        <v>1</v>
      </c>
      <c r="B34" s="2555" t="s">
        <v>2526</v>
      </c>
      <c r="C34" s="2555"/>
      <c r="D34" s="2555"/>
      <c r="E34" s="3524"/>
      <c r="F34" s="3524"/>
      <c r="G34" s="3524"/>
    </row>
    <row r="35" spans="1:7" hidden="1">
      <c r="A35" s="2558">
        <v>2</v>
      </c>
      <c r="B35" s="2555" t="s">
        <v>2527</v>
      </c>
      <c r="C35" s="2555"/>
      <c r="D35" s="2555"/>
      <c r="E35" s="3524"/>
      <c r="F35" s="3524"/>
      <c r="G35" s="3524"/>
    </row>
    <row r="36" spans="1:7" hidden="1">
      <c r="A36" s="2558">
        <v>3</v>
      </c>
      <c r="B36" s="2555" t="s">
        <v>2528</v>
      </c>
      <c r="C36" s="2555"/>
      <c r="D36" s="2555"/>
      <c r="E36" s="3524"/>
      <c r="F36" s="3524"/>
      <c r="G36" s="3524"/>
    </row>
    <row r="37" spans="1:7" hidden="1">
      <c r="A37" s="2558">
        <v>4</v>
      </c>
      <c r="B37" s="2555" t="s">
        <v>2529</v>
      </c>
      <c r="C37" s="2555"/>
      <c r="D37" s="2555"/>
      <c r="E37" s="3524"/>
      <c r="F37" s="3524"/>
      <c r="G37" s="3524"/>
    </row>
    <row r="38" spans="1:7" hidden="1">
      <c r="A38" s="3525" t="s">
        <v>2530</v>
      </c>
      <c r="B38" s="3526"/>
      <c r="C38" s="3526"/>
      <c r="D38" s="3527"/>
      <c r="E38" s="3523"/>
      <c r="F38" s="3523"/>
      <c r="G38" s="352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B28" sqref="B28"/>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1685</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92">
        <v>1</v>
      </c>
      <c r="B7" s="747" t="s">
        <v>609</v>
      </c>
      <c r="C7" s="748">
        <f>C8+C9</f>
        <v>0</v>
      </c>
      <c r="D7" s="748"/>
      <c r="E7" s="749"/>
      <c r="F7" s="749"/>
      <c r="G7" s="2502"/>
    </row>
    <row r="8" spans="1:25" s="2182" customFormat="1" ht="13.5" customHeight="1">
      <c r="A8" s="2492" t="s">
        <v>2439</v>
      </c>
      <c r="B8" s="2495" t="s">
        <v>2441</v>
      </c>
      <c r="C8" s="2496"/>
      <c r="D8" s="748"/>
      <c r="E8" s="749"/>
      <c r="F8" s="749"/>
      <c r="G8" s="750"/>
    </row>
    <row r="9" spans="1:25" s="2182" customFormat="1" ht="13.5" customHeight="1">
      <c r="A9" s="2492" t="s">
        <v>2440</v>
      </c>
      <c r="B9" s="2495" t="s">
        <v>2442</v>
      </c>
      <c r="C9" s="2496"/>
      <c r="D9" s="748"/>
      <c r="E9" s="749"/>
      <c r="F9" s="749"/>
      <c r="G9" s="750"/>
    </row>
    <row r="10" spans="1:25" s="2182" customFormat="1" ht="36">
      <c r="A10" s="2492">
        <v>2</v>
      </c>
      <c r="B10" s="747" t="s">
        <v>613</v>
      </c>
      <c r="C10" s="748">
        <f>C11+C14+C15</f>
        <v>0</v>
      </c>
      <c r="D10" s="759">
        <f>'数据-汇总表'!E3</f>
        <v>30884</v>
      </c>
      <c r="E10" s="748">
        <f>'数据-取费表'!B31</f>
        <v>300</v>
      </c>
      <c r="F10" s="760"/>
      <c r="G10" s="758" t="s">
        <v>614</v>
      </c>
    </row>
    <row r="11" spans="1:25" s="2182" customFormat="1" ht="13.5" customHeight="1">
      <c r="A11" s="2492" t="s">
        <v>2439</v>
      </c>
      <c r="B11" s="751" t="s">
        <v>610</v>
      </c>
      <c r="C11" s="752">
        <f>'数据-取费表'!B29</f>
        <v>0</v>
      </c>
      <c r="D11" s="753"/>
      <c r="E11" s="752"/>
      <c r="F11" s="754"/>
      <c r="G11" s="2501" t="s">
        <v>2450</v>
      </c>
    </row>
    <row r="12" spans="1:25" s="2182" customFormat="1" ht="13.5" customHeight="1">
      <c r="A12" s="2499" t="s">
        <v>2447</v>
      </c>
      <c r="B12" s="755" t="s">
        <v>611</v>
      </c>
      <c r="C12" s="756">
        <f>ROUND(D12*E12/10000,0)</f>
        <v>463</v>
      </c>
      <c r="D12" s="757">
        <f>'数据-汇总表'!E5</f>
        <v>30884</v>
      </c>
      <c r="E12" s="756">
        <f>'数据-取费表'!B27</f>
        <v>150</v>
      </c>
      <c r="F12" s="754"/>
      <c r="G12" s="758"/>
    </row>
    <row r="13" spans="1:25" s="2182" customFormat="1" ht="13.5" customHeight="1">
      <c r="A13" s="2499" t="s">
        <v>2446</v>
      </c>
      <c r="B13" s="755" t="s">
        <v>612</v>
      </c>
      <c r="C13" s="756">
        <f>ROUND(D13*E13/10000,0)</f>
        <v>0</v>
      </c>
      <c r="D13" s="757">
        <f>'数据-汇总表'!E6</f>
        <v>0</v>
      </c>
      <c r="E13" s="756">
        <f>'数据-取费表'!B28</f>
        <v>150</v>
      </c>
      <c r="F13" s="754"/>
      <c r="G13" s="758"/>
    </row>
    <row r="14" spans="1:25" s="2182" customFormat="1" ht="13.5" customHeight="1">
      <c r="A14" s="2492" t="s">
        <v>2440</v>
      </c>
      <c r="B14" s="2498" t="s">
        <v>2443</v>
      </c>
      <c r="C14" s="2496"/>
      <c r="D14" s="757"/>
      <c r="E14" s="756"/>
      <c r="F14" s="2497"/>
      <c r="G14" s="2500" t="s">
        <v>2448</v>
      </c>
    </row>
    <row r="15" spans="1:25" s="2182" customFormat="1" ht="13.5" customHeight="1">
      <c r="A15" s="2492" t="s">
        <v>2445</v>
      </c>
      <c r="B15" s="2498" t="s">
        <v>2444</v>
      </c>
      <c r="C15" s="2496"/>
      <c r="D15" s="757"/>
      <c r="E15" s="756"/>
      <c r="F15" s="2497"/>
      <c r="G15" s="2500" t="s">
        <v>2449</v>
      </c>
    </row>
    <row r="16" spans="1:25" s="2183" customFormat="1" ht="48">
      <c r="A16" s="2492">
        <v>3</v>
      </c>
      <c r="B16" s="747" t="s">
        <v>615</v>
      </c>
      <c r="C16" s="2496"/>
      <c r="D16" s="759"/>
      <c r="E16" s="748"/>
      <c r="F16" s="760"/>
      <c r="G16" s="758"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616</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617</v>
      </c>
      <c r="C18" s="748">
        <f>ROUND((C7+C10+C16)*F18,0)</f>
        <v>0</v>
      </c>
      <c r="D18" s="761"/>
      <c r="E18" s="762"/>
      <c r="F18" s="760">
        <f>'数据-取费表'!Q16</f>
        <v>0.35</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625</v>
      </c>
      <c r="C22" s="748">
        <f ca="1">ROUND(C21*F22,0)</f>
        <v>0</v>
      </c>
      <c r="D22" s="759"/>
      <c r="E22" s="748"/>
      <c r="F22" s="765">
        <f>'数据-取费表'!AP16</f>
        <v>0.93400000000000005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15" zoomScale="80" zoomScaleNormal="80" zoomScalePageLayoutView="80" workbookViewId="0">
      <selection activeCell="G55" sqref="G55"/>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71620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23190</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22" t="s">
        <v>522</v>
      </c>
      <c r="D4" s="3423"/>
      <c r="E4" s="3456" t="s">
        <v>523</v>
      </c>
      <c r="F4" s="3457"/>
      <c r="G4" s="3422" t="s">
        <v>524</v>
      </c>
      <c r="H4" s="3423"/>
      <c r="I4" s="3422" t="s">
        <v>525</v>
      </c>
      <c r="J4" s="3423"/>
      <c r="K4" s="852" t="s">
        <v>526</v>
      </c>
      <c r="L4" s="2132"/>
      <c r="M4" s="2133"/>
      <c r="N4" s="2133"/>
      <c r="O4" s="2133"/>
      <c r="P4" s="3424" t="s">
        <v>527</v>
      </c>
      <c r="Q4" s="3425"/>
      <c r="R4" s="3430" t="s">
        <v>523</v>
      </c>
      <c r="S4" s="3431"/>
      <c r="T4" s="3430" t="s">
        <v>524</v>
      </c>
      <c r="U4" s="3431"/>
      <c r="V4" s="3417" t="s">
        <v>525</v>
      </c>
      <c r="W4" s="3417"/>
      <c r="X4" s="1565"/>
      <c r="Y4" s="3430" t="s">
        <v>527</v>
      </c>
      <c r="Z4" s="3431"/>
      <c r="AA4" s="3419" t="s">
        <v>523</v>
      </c>
      <c r="AB4" s="3419" t="s">
        <v>524</v>
      </c>
      <c r="AC4" s="3419" t="s">
        <v>525</v>
      </c>
    </row>
    <row r="5" spans="1:29" ht="15">
      <c r="A5" s="514"/>
      <c r="B5" s="515"/>
      <c r="C5" s="3438" t="s">
        <v>2926</v>
      </c>
      <c r="D5" s="3439"/>
      <c r="E5" s="3534" t="s">
        <v>3136</v>
      </c>
      <c r="F5" s="3459"/>
      <c r="G5" s="3531" t="s">
        <v>3138</v>
      </c>
      <c r="H5" s="3439"/>
      <c r="I5" s="3438" t="s">
        <v>3137</v>
      </c>
      <c r="J5" s="3439"/>
      <c r="K5" s="853"/>
      <c r="L5" s="2132"/>
      <c r="M5" s="2133"/>
      <c r="N5" s="2133"/>
      <c r="O5" s="2133"/>
      <c r="P5" s="3426"/>
      <c r="Q5" s="3427"/>
      <c r="R5" s="3432"/>
      <c r="S5" s="3433"/>
      <c r="T5" s="3432"/>
      <c r="U5" s="3433"/>
      <c r="V5" s="3417"/>
      <c r="W5" s="3417"/>
      <c r="X5" s="1565"/>
      <c r="Y5" s="3432"/>
      <c r="Z5" s="3433"/>
      <c r="AA5" s="3420"/>
      <c r="AB5" s="3420"/>
      <c r="AC5" s="3420"/>
    </row>
    <row r="6" spans="1:29" ht="15.75" thickBot="1">
      <c r="A6" s="516"/>
      <c r="B6" s="517"/>
      <c r="C6" s="3436" t="s">
        <v>2930</v>
      </c>
      <c r="D6" s="3437"/>
      <c r="E6" s="3532" t="s">
        <v>3140</v>
      </c>
      <c r="F6" s="3455"/>
      <c r="G6" s="3533" t="s">
        <v>3139</v>
      </c>
      <c r="H6" s="3437"/>
      <c r="I6" s="3436" t="str">
        <f>E6</f>
        <v>神州半岛旅游度假区</v>
      </c>
      <c r="J6" s="3437"/>
      <c r="K6" s="853" t="s">
        <v>528</v>
      </c>
      <c r="L6" s="2132"/>
      <c r="M6" s="2133"/>
      <c r="N6" s="2133"/>
      <c r="O6" s="2133"/>
      <c r="P6" s="3428"/>
      <c r="Q6" s="3429"/>
      <c r="R6" s="3432"/>
      <c r="S6" s="3433"/>
      <c r="T6" s="3434"/>
      <c r="U6" s="3435"/>
      <c r="V6" s="3417"/>
      <c r="W6" s="3417"/>
      <c r="X6" s="1565"/>
      <c r="Y6" s="3434"/>
      <c r="Z6" s="3435"/>
      <c r="AA6" s="3421"/>
      <c r="AB6" s="3421"/>
      <c r="AC6" s="3421"/>
    </row>
    <row r="7" spans="1:29" s="1218" customFormat="1" ht="15.75" thickBot="1">
      <c r="A7" s="2935"/>
      <c r="B7" s="2942" t="s">
        <v>529</v>
      </c>
      <c r="C7" s="518">
        <f>'数据-取费表'!B2</f>
        <v>43224</v>
      </c>
      <c r="D7" s="519">
        <v>100</v>
      </c>
      <c r="E7" s="3229">
        <v>43221</v>
      </c>
      <c r="F7" s="3230">
        <f>SUMIF(58:58,YEAR(E7)&amp;"-"&amp;MONTH(E7),59:59)</f>
        <v>100</v>
      </c>
      <c r="G7" s="3231">
        <f>E7</f>
        <v>43221</v>
      </c>
      <c r="H7" s="3232">
        <f>SUMIF(58:58,YEAR(G7)&amp;"-"&amp;MONTH(G7),59:59)</f>
        <v>100</v>
      </c>
      <c r="I7" s="3231">
        <f>E7</f>
        <v>43221</v>
      </c>
      <c r="J7" s="3232">
        <f>SUMIF(58:58,YEAR(I7)&amp;"-"&amp;MONTH(I7),59:59)</f>
        <v>100</v>
      </c>
      <c r="K7" s="854"/>
      <c r="L7" s="2134"/>
      <c r="M7" s="2135"/>
      <c r="N7" s="2135"/>
      <c r="O7" s="2135"/>
      <c r="P7" s="3447" t="s">
        <v>530</v>
      </c>
      <c r="Q7" s="3449"/>
      <c r="R7" s="1566" t="s">
        <v>13</v>
      </c>
      <c r="S7" s="1567">
        <f t="shared" ref="S7:S15" si="0">F7</f>
        <v>100</v>
      </c>
      <c r="T7" s="1566" t="s">
        <v>13</v>
      </c>
      <c r="U7" s="1567">
        <f t="shared" ref="U7:U15" si="1">H7</f>
        <v>100</v>
      </c>
      <c r="V7" s="1566" t="s">
        <v>13</v>
      </c>
      <c r="W7" s="1567">
        <f t="shared" ref="W7:W15" si="2">J7</f>
        <v>100</v>
      </c>
      <c r="X7" s="1568"/>
      <c r="Y7" s="3447" t="s">
        <v>530</v>
      </c>
      <c r="Z7" s="3448"/>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47" t="s">
        <v>533</v>
      </c>
      <c r="Q8" s="3448"/>
      <c r="R8" s="1566" t="s">
        <v>13</v>
      </c>
      <c r="S8" s="1567">
        <f t="shared" si="0"/>
        <v>100</v>
      </c>
      <c r="T8" s="1566" t="s">
        <v>13</v>
      </c>
      <c r="U8" s="1567">
        <f t="shared" si="1"/>
        <v>100</v>
      </c>
      <c r="V8" s="1566" t="s">
        <v>13</v>
      </c>
      <c r="W8" s="1567">
        <f t="shared" si="2"/>
        <v>100</v>
      </c>
      <c r="X8" s="1568"/>
      <c r="Y8" s="3447" t="s">
        <v>533</v>
      </c>
      <c r="Z8" s="3448"/>
      <c r="AA8" s="1569">
        <f t="shared" ref="AA8:AA46" si="3">D8/F8</f>
        <v>1</v>
      </c>
      <c r="AB8" s="1569">
        <f t="shared" ref="AB8:AB46" si="4">D8/H8</f>
        <v>1</v>
      </c>
      <c r="AC8" s="1569">
        <f t="shared" ref="AC8:AC46" si="5">D8/J8</f>
        <v>1</v>
      </c>
    </row>
    <row r="9" spans="1:29" s="1218" customFormat="1" ht="15">
      <c r="A9" s="2937"/>
      <c r="B9" s="2944" t="s">
        <v>2754</v>
      </c>
      <c r="C9" s="3198" t="s">
        <v>3106</v>
      </c>
      <c r="D9" s="253">
        <v>100</v>
      </c>
      <c r="E9" s="3198" t="s">
        <v>3106</v>
      </c>
      <c r="F9" s="858">
        <f>SUMIF(63:63,E9,64:64)-SUMIF(63:63,C9,64:64)+100</f>
        <v>100</v>
      </c>
      <c r="G9" s="3198" t="s">
        <v>3106</v>
      </c>
      <c r="H9" s="253">
        <f>SUMIF(63:63,G9,64:64)-SUMIF(63:63,C9,64:64)+100</f>
        <v>100</v>
      </c>
      <c r="I9" s="3198" t="s">
        <v>3106</v>
      </c>
      <c r="J9" s="253">
        <f>SUMIF(63:63,I9,64:64)-SUMIF(63:63,C9,64:64)+100</f>
        <v>100</v>
      </c>
      <c r="K9" s="854"/>
      <c r="L9" s="2134"/>
      <c r="M9" s="2135"/>
      <c r="N9" s="2135"/>
      <c r="O9" s="2136"/>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38"/>
      <c r="B10" s="2943" t="s">
        <v>2755</v>
      </c>
      <c r="C10" s="860" t="s">
        <v>3107</v>
      </c>
      <c r="D10" s="254">
        <v>100</v>
      </c>
      <c r="E10" s="860" t="s">
        <v>3107</v>
      </c>
      <c r="F10" s="862">
        <f>SUMIF(65:65,E10,66:66)-SUMIF(65:65,C10,66:66)+100</f>
        <v>100</v>
      </c>
      <c r="G10" s="860" t="s">
        <v>3107</v>
      </c>
      <c r="H10" s="254">
        <f>SUMIF(65:65,G10,66:66)-SUMIF(65:65,C10,66:66)+100</f>
        <v>100</v>
      </c>
      <c r="I10" s="860" t="s">
        <v>3107</v>
      </c>
      <c r="J10" s="254">
        <f>SUMIF(65:65,I10,66:66)-SUMIF(65:65,C10,66:66)+100</f>
        <v>100</v>
      </c>
      <c r="K10" s="863">
        <v>1</v>
      </c>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75" thickBot="1">
      <c r="A11" s="2939"/>
      <c r="B11" s="2943" t="s">
        <v>2756</v>
      </c>
      <c r="C11" s="532">
        <v>0.6</v>
      </c>
      <c r="D11" s="254">
        <v>100</v>
      </c>
      <c r="E11" s="533">
        <v>1.3</v>
      </c>
      <c r="F11" s="862">
        <f>LOOKUP(E11,68:68,69:69)-LOOKUP(C11,68:68,69:69)+100</f>
        <v>99.5</v>
      </c>
      <c r="G11" s="532">
        <v>0.8</v>
      </c>
      <c r="H11" s="254">
        <f>LOOKUP(G11,68:68,69:69)-LOOKUP(C11,68:68,69:69)+100</f>
        <v>100</v>
      </c>
      <c r="I11" s="532">
        <f>E11</f>
        <v>1.3</v>
      </c>
      <c r="J11" s="254">
        <f>LOOKUP(I11,68:68,69:69)-LOOKUP(C11,68:68,69:69)+100</f>
        <v>99.5</v>
      </c>
      <c r="K11" s="3233">
        <v>0.5</v>
      </c>
      <c r="L11" s="2139"/>
      <c r="M11" s="2133"/>
      <c r="N11" s="2133"/>
      <c r="O11" s="2140"/>
      <c r="P11" s="3416"/>
      <c r="Q11" s="1149" t="str">
        <f t="shared" si="6"/>
        <v>容积率</v>
      </c>
      <c r="R11" s="1566" t="s">
        <v>11</v>
      </c>
      <c r="S11" s="1567">
        <f t="shared" si="0"/>
        <v>99.5</v>
      </c>
      <c r="T11" s="1566" t="s">
        <v>11</v>
      </c>
      <c r="U11" s="1567">
        <f t="shared" si="1"/>
        <v>100</v>
      </c>
      <c r="V11" s="1566" t="s">
        <v>11</v>
      </c>
      <c r="W11" s="1567">
        <f t="shared" si="2"/>
        <v>99.5</v>
      </c>
      <c r="X11" s="1568"/>
      <c r="Y11" s="3362"/>
      <c r="Z11" s="1148" t="str">
        <f t="shared" si="7"/>
        <v>容积率</v>
      </c>
      <c r="AA11" s="1569">
        <f t="shared" si="3"/>
        <v>1.0050251256281406</v>
      </c>
      <c r="AB11" s="1569">
        <f t="shared" si="4"/>
        <v>1</v>
      </c>
      <c r="AC11" s="1569">
        <f t="shared" si="5"/>
        <v>1.0050251256281406</v>
      </c>
    </row>
    <row r="12" spans="1:29" s="1218" customFormat="1" ht="15" hidden="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1149">
        <f t="shared" si="6"/>
        <v>0</v>
      </c>
      <c r="R12" s="1566" t="s">
        <v>11</v>
      </c>
      <c r="S12" s="1567">
        <f t="shared" si="0"/>
        <v>100</v>
      </c>
      <c r="T12" s="1566" t="s">
        <v>11</v>
      </c>
      <c r="U12" s="1567">
        <f t="shared" si="1"/>
        <v>100</v>
      </c>
      <c r="V12" s="1566" t="s">
        <v>11</v>
      </c>
      <c r="W12" s="1567">
        <f t="shared" si="2"/>
        <v>100</v>
      </c>
      <c r="X12" s="1568"/>
      <c r="Y12" s="3362"/>
      <c r="Z12" s="1148">
        <f t="shared" si="7"/>
        <v>0</v>
      </c>
      <c r="AA12" s="1569">
        <f>D12/F12</f>
        <v>1</v>
      </c>
      <c r="AB12" s="1569">
        <f>D12/H12</f>
        <v>1</v>
      </c>
      <c r="AC12" s="1569">
        <f>D12/J12</f>
        <v>1</v>
      </c>
    </row>
    <row r="13" spans="1:29" ht="15" hidden="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1149">
        <f t="shared" si="6"/>
        <v>0</v>
      </c>
      <c r="R13" s="1566" t="s">
        <v>11</v>
      </c>
      <c r="S13" s="1567">
        <f t="shared" si="0"/>
        <v>100</v>
      </c>
      <c r="T13" s="1566" t="s">
        <v>11</v>
      </c>
      <c r="U13" s="1567">
        <f t="shared" si="1"/>
        <v>100</v>
      </c>
      <c r="V13" s="1566" t="s">
        <v>11</v>
      </c>
      <c r="W13" s="1567">
        <f t="shared" si="2"/>
        <v>100</v>
      </c>
      <c r="X13" s="1568"/>
      <c r="Y13" s="3362"/>
      <c r="Z13" s="1148">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1149">
        <f t="shared" si="6"/>
        <v>0</v>
      </c>
      <c r="R14" s="1566" t="s">
        <v>11</v>
      </c>
      <c r="S14" s="1567">
        <f t="shared" si="0"/>
        <v>100</v>
      </c>
      <c r="T14" s="1566" t="s">
        <v>11</v>
      </c>
      <c r="U14" s="1567">
        <f t="shared" si="1"/>
        <v>100</v>
      </c>
      <c r="V14" s="1566" t="s">
        <v>11</v>
      </c>
      <c r="W14" s="1567">
        <f t="shared" si="2"/>
        <v>100</v>
      </c>
      <c r="X14" s="1568"/>
      <c r="Y14" s="3362"/>
      <c r="Z14" s="1148">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2</v>
      </c>
      <c r="L15" s="2141"/>
      <c r="M15" s="2133"/>
      <c r="N15" s="2133"/>
      <c r="O15" s="2140"/>
      <c r="P15" s="3450" t="s">
        <v>540</v>
      </c>
      <c r="Q15" s="1570" t="str">
        <f t="shared" si="6"/>
        <v>居住社区成熟度</v>
      </c>
      <c r="R15" s="1571" t="s">
        <v>11</v>
      </c>
      <c r="S15" s="1572">
        <f t="shared" si="0"/>
        <v>100</v>
      </c>
      <c r="T15" s="1571" t="s">
        <v>11</v>
      </c>
      <c r="U15" s="1572">
        <f t="shared" si="1"/>
        <v>100</v>
      </c>
      <c r="V15" s="1571" t="s">
        <v>11</v>
      </c>
      <c r="W15" s="1572">
        <f t="shared" si="2"/>
        <v>100</v>
      </c>
      <c r="X15" s="1565"/>
      <c r="Y15" s="3450" t="s">
        <v>540</v>
      </c>
      <c r="Z15" s="1573" t="str">
        <f t="shared" si="7"/>
        <v>居住社区成熟度</v>
      </c>
      <c r="AA15" s="1574">
        <f t="shared" si="3"/>
        <v>1</v>
      </c>
      <c r="AB15" s="1574">
        <f t="shared" si="4"/>
        <v>1</v>
      </c>
      <c r="AC15" s="1574">
        <f t="shared" si="5"/>
        <v>1</v>
      </c>
    </row>
    <row r="16" spans="1:29" ht="15">
      <c r="A16" s="531"/>
      <c r="B16" s="868"/>
      <c r="C16" s="575" t="s">
        <v>3082</v>
      </c>
      <c r="D16" s="554"/>
      <c r="E16" s="575" t="s">
        <v>3082</v>
      </c>
      <c r="F16" s="556"/>
      <c r="G16" s="575" t="s">
        <v>3082</v>
      </c>
      <c r="H16" s="558"/>
      <c r="I16" s="575" t="s">
        <v>3082</v>
      </c>
      <c r="J16" s="554"/>
      <c r="K16" s="869"/>
      <c r="L16" s="2141"/>
      <c r="M16" s="2133"/>
      <c r="N16" s="2133"/>
      <c r="O16" s="2140"/>
      <c r="P16" s="3451"/>
      <c r="Q16" s="1570"/>
      <c r="R16" s="1571"/>
      <c r="S16" s="1572"/>
      <c r="T16" s="1571"/>
      <c r="U16" s="1572"/>
      <c r="V16" s="1571"/>
      <c r="W16" s="1572"/>
      <c r="X16" s="1565"/>
      <c r="Y16" s="3451"/>
      <c r="Z16" s="1573"/>
      <c r="AA16" s="1574">
        <v>1</v>
      </c>
      <c r="AB16" s="1574">
        <v>1</v>
      </c>
      <c r="AC16" s="1574">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1570" t="str">
        <f>B17</f>
        <v>交通便捷度</v>
      </c>
      <c r="R17" s="1571" t="s">
        <v>11</v>
      </c>
      <c r="S17" s="1572">
        <f>F17</f>
        <v>100</v>
      </c>
      <c r="T17" s="1571" t="s">
        <v>11</v>
      </c>
      <c r="U17" s="1572">
        <f>H17</f>
        <v>100</v>
      </c>
      <c r="V17" s="1571" t="s">
        <v>11</v>
      </c>
      <c r="W17" s="1572">
        <f>J17</f>
        <v>100</v>
      </c>
      <c r="X17" s="1565"/>
      <c r="Y17" s="3451"/>
      <c r="Z17" s="1573" t="str">
        <f>Q17</f>
        <v>交通便捷度</v>
      </c>
      <c r="AA17" s="1574">
        <f t="shared" si="3"/>
        <v>1</v>
      </c>
      <c r="AB17" s="1574">
        <f t="shared" si="4"/>
        <v>1</v>
      </c>
      <c r="AC17" s="1574">
        <f t="shared" si="5"/>
        <v>1</v>
      </c>
    </row>
    <row r="18" spans="1:29" ht="15">
      <c r="A18" s="531"/>
      <c r="B18" s="594"/>
      <c r="C18" s="872" t="s">
        <v>3083</v>
      </c>
      <c r="D18" s="558"/>
      <c r="E18" s="872" t="s">
        <v>3083</v>
      </c>
      <c r="F18" s="562"/>
      <c r="G18" s="872" t="s">
        <v>3083</v>
      </c>
      <c r="H18" s="554"/>
      <c r="I18" s="872" t="s">
        <v>3083</v>
      </c>
      <c r="J18" s="554"/>
      <c r="K18" s="869"/>
      <c r="L18" s="2141"/>
      <c r="M18" s="2133"/>
      <c r="N18" s="2133"/>
      <c r="O18" s="2140"/>
      <c r="P18" s="3451"/>
      <c r="Q18" s="1570"/>
      <c r="R18" s="1571"/>
      <c r="S18" s="1572"/>
      <c r="T18" s="1571"/>
      <c r="U18" s="1572"/>
      <c r="V18" s="1571"/>
      <c r="W18" s="1572"/>
      <c r="X18" s="1565"/>
      <c r="Y18" s="3451"/>
      <c r="Z18" s="1573"/>
      <c r="AA18" s="1574">
        <v>1</v>
      </c>
      <c r="AB18" s="1574">
        <v>1</v>
      </c>
      <c r="AC18" s="1574">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2</v>
      </c>
      <c r="L19" s="2141"/>
      <c r="M19" s="2133"/>
      <c r="N19" s="2133"/>
      <c r="O19" s="2140"/>
      <c r="P19" s="3451"/>
      <c r="Q19" s="1570" t="str">
        <f>B19</f>
        <v>公共配套设施</v>
      </c>
      <c r="R19" s="1571" t="s">
        <v>11</v>
      </c>
      <c r="S19" s="1572">
        <f>F19</f>
        <v>100</v>
      </c>
      <c r="T19" s="1571" t="s">
        <v>11</v>
      </c>
      <c r="U19" s="1572">
        <f>H19</f>
        <v>100</v>
      </c>
      <c r="V19" s="1571" t="s">
        <v>11</v>
      </c>
      <c r="W19" s="1572">
        <f>J19</f>
        <v>100</v>
      </c>
      <c r="X19" s="1565"/>
      <c r="Y19" s="3451"/>
      <c r="Z19" s="1573" t="str">
        <f>Q19</f>
        <v>公共配套设施</v>
      </c>
      <c r="AA19" s="1574">
        <f t="shared" si="3"/>
        <v>1</v>
      </c>
      <c r="AB19" s="1574">
        <f t="shared" si="4"/>
        <v>1</v>
      </c>
      <c r="AC19" s="1574">
        <f t="shared" si="5"/>
        <v>1</v>
      </c>
    </row>
    <row r="20" spans="1:29" ht="15">
      <c r="A20" s="531"/>
      <c r="B20" s="594"/>
      <c r="C20" s="575" t="s">
        <v>3082</v>
      </c>
      <c r="D20" s="554"/>
      <c r="E20" s="575" t="s">
        <v>3082</v>
      </c>
      <c r="F20" s="556"/>
      <c r="G20" s="575" t="s">
        <v>3082</v>
      </c>
      <c r="H20" s="554"/>
      <c r="I20" s="575" t="s">
        <v>3082</v>
      </c>
      <c r="J20" s="554"/>
      <c r="K20" s="869"/>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1"/>
      <c r="M21" s="2133"/>
      <c r="N21" s="2133"/>
      <c r="O21" s="2140"/>
      <c r="P21" s="3451"/>
      <c r="Q21" s="2602" t="str">
        <f>B21</f>
        <v>基础设施水平</v>
      </c>
      <c r="R21" s="1571" t="s">
        <v>11</v>
      </c>
      <c r="S21" s="1572">
        <f>F21</f>
        <v>100</v>
      </c>
      <c r="T21" s="1571" t="s">
        <v>11</v>
      </c>
      <c r="U21" s="1572">
        <f>H21</f>
        <v>100</v>
      </c>
      <c r="V21" s="1571" t="s">
        <v>11</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921"/>
      <c r="C22" s="872" t="s">
        <v>3084</v>
      </c>
      <c r="D22" s="554"/>
      <c r="E22" s="872" t="s">
        <v>3084</v>
      </c>
      <c r="F22" s="556"/>
      <c r="G22" s="872" t="s">
        <v>3084</v>
      </c>
      <c r="H22" s="554"/>
      <c r="I22" s="872" t="s">
        <v>3084</v>
      </c>
      <c r="J22" s="554"/>
      <c r="K22" s="2622"/>
      <c r="L22" s="2141"/>
      <c r="M22" s="2133"/>
      <c r="N22" s="2133"/>
      <c r="O22" s="2140"/>
      <c r="P22" s="3451"/>
      <c r="Q22" s="2602"/>
      <c r="R22" s="1571"/>
      <c r="S22" s="1572"/>
      <c r="T22" s="1571"/>
      <c r="U22" s="1572"/>
      <c r="V22" s="1571"/>
      <c r="W22" s="1572"/>
      <c r="X22" s="2604"/>
      <c r="Y22" s="3451"/>
      <c r="Z22" s="2603"/>
      <c r="AA22" s="1574">
        <v>1</v>
      </c>
      <c r="AB22" s="1574">
        <v>1</v>
      </c>
      <c r="AC22" s="1574">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98</v>
      </c>
      <c r="I23" s="561"/>
      <c r="J23" s="558">
        <f>SUMIF(84:84,I24,85:85)-SUMIF(84:84,C24,85:85)+100</f>
        <v>100</v>
      </c>
      <c r="K23" s="867">
        <v>2</v>
      </c>
      <c r="L23" s="2141"/>
      <c r="M23" s="2133"/>
      <c r="N23" s="2133"/>
      <c r="O23" s="2140"/>
      <c r="P23" s="3451"/>
      <c r="Q23" s="1570" t="str">
        <f>B23</f>
        <v>自然及人文环境</v>
      </c>
      <c r="R23" s="1571" t="s">
        <v>11</v>
      </c>
      <c r="S23" s="1572">
        <f>F23</f>
        <v>100</v>
      </c>
      <c r="T23" s="1571" t="s">
        <v>11</v>
      </c>
      <c r="U23" s="1572">
        <f>H23</f>
        <v>98</v>
      </c>
      <c r="V23" s="1571" t="s">
        <v>11</v>
      </c>
      <c r="W23" s="1572">
        <f>J23</f>
        <v>100</v>
      </c>
      <c r="X23" s="1565"/>
      <c r="Y23" s="3451"/>
      <c r="Z23" s="1573" t="str">
        <f>Q23</f>
        <v>自然及人文环境</v>
      </c>
      <c r="AA23" s="1574">
        <f t="shared" si="3"/>
        <v>1</v>
      </c>
      <c r="AB23" s="1574">
        <f t="shared" si="4"/>
        <v>1.0204081632653061</v>
      </c>
      <c r="AC23" s="1574">
        <f t="shared" si="5"/>
        <v>1</v>
      </c>
    </row>
    <row r="24" spans="1:29" ht="15">
      <c r="A24" s="531"/>
      <c r="B24" s="594"/>
      <c r="C24" s="575" t="s">
        <v>3074</v>
      </c>
      <c r="D24" s="554"/>
      <c r="E24" s="575" t="s">
        <v>3074</v>
      </c>
      <c r="F24" s="556"/>
      <c r="G24" s="557" t="s">
        <v>3083</v>
      </c>
      <c r="H24" s="554"/>
      <c r="I24" s="575" t="s">
        <v>3074</v>
      </c>
      <c r="J24" s="554"/>
      <c r="K24" s="869"/>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1570" t="str">
        <f t="shared" ref="Q25:Q46" si="11">B25</f>
        <v>楼层-1</v>
      </c>
      <c r="R25" s="1571" t="s">
        <v>11</v>
      </c>
      <c r="S25" s="1572">
        <f>F25</f>
        <v>100</v>
      </c>
      <c r="T25" s="1571" t="s">
        <v>11</v>
      </c>
      <c r="U25" s="1572">
        <f>H25</f>
        <v>100</v>
      </c>
      <c r="V25" s="1571" t="s">
        <v>11</v>
      </c>
      <c r="W25" s="1572">
        <f>J25</f>
        <v>100</v>
      </c>
      <c r="X25" s="1565"/>
      <c r="Y25" s="3451"/>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1570" t="str">
        <f t="shared" si="11"/>
        <v>朝向</v>
      </c>
      <c r="R26" s="1571" t="s">
        <v>11</v>
      </c>
      <c r="S26" s="1572">
        <f>F26</f>
        <v>100</v>
      </c>
      <c r="T26" s="1571" t="s">
        <v>11</v>
      </c>
      <c r="U26" s="1572">
        <f>H26</f>
        <v>100</v>
      </c>
      <c r="V26" s="1571" t="s">
        <v>11</v>
      </c>
      <c r="W26" s="1572">
        <f>J26</f>
        <v>100</v>
      </c>
      <c r="X26" s="1565"/>
      <c r="Y26" s="3451"/>
      <c r="Z26" s="1573" t="str">
        <f>Q26</f>
        <v>朝向</v>
      </c>
      <c r="AA26" s="1574">
        <f t="shared" si="3"/>
        <v>1</v>
      </c>
      <c r="AB26" s="1574">
        <f t="shared" si="4"/>
        <v>1</v>
      </c>
      <c r="AC26" s="1574">
        <f t="shared" si="5"/>
        <v>1</v>
      </c>
    </row>
    <row r="27" spans="1:29" s="1218" customFormat="1" ht="15.75" thickBot="1">
      <c r="A27" s="535"/>
      <c r="B27" s="3234" t="s">
        <v>3145</v>
      </c>
      <c r="C27" s="3235" t="s">
        <v>3144</v>
      </c>
      <c r="D27" s="3236">
        <v>100</v>
      </c>
      <c r="E27" s="3237" t="s">
        <v>3143</v>
      </c>
      <c r="F27" s="3238">
        <f>SUMIF(90:90,E27,91:91)-SUMIF(90:90,C27,91:91)+100</f>
        <v>105</v>
      </c>
      <c r="G27" s="3239" t="s">
        <v>3144</v>
      </c>
      <c r="H27" s="3236">
        <f>SUMIF(90:90,G27,91:91)-SUMIF(90:90,C27,91:91)+100</f>
        <v>100</v>
      </c>
      <c r="I27" s="3237" t="s">
        <v>3143</v>
      </c>
      <c r="J27" s="3236">
        <f>SUMIF(90:90,I27,91:91)-SUMIF(90:90,C27,91:91)+100</f>
        <v>105</v>
      </c>
      <c r="K27" s="3240"/>
      <c r="L27" s="2134"/>
      <c r="M27" s="2135"/>
      <c r="N27" s="2135"/>
      <c r="O27" s="2136"/>
      <c r="P27" s="3451"/>
      <c r="Q27" s="1149" t="str">
        <f t="shared" si="11"/>
        <v>楼层</v>
      </c>
      <c r="R27" s="1566" t="s">
        <v>11</v>
      </c>
      <c r="S27" s="1567">
        <f>F27</f>
        <v>105</v>
      </c>
      <c r="T27" s="1566" t="s">
        <v>11</v>
      </c>
      <c r="U27" s="1567">
        <f>H27</f>
        <v>100</v>
      </c>
      <c r="V27" s="1566" t="s">
        <v>11</v>
      </c>
      <c r="W27" s="1567">
        <f>J27</f>
        <v>105</v>
      </c>
      <c r="X27" s="1568"/>
      <c r="Y27" s="3451"/>
      <c r="Z27" s="1148" t="str">
        <f>Q27</f>
        <v>楼层</v>
      </c>
      <c r="AA27" s="1574">
        <f>D27/F27</f>
        <v>0.95238095238095233</v>
      </c>
      <c r="AB27" s="1574">
        <f>D27/H27</f>
        <v>1</v>
      </c>
      <c r="AC27" s="1574">
        <f>D27/J27</f>
        <v>0.95238095238095233</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1570">
        <f t="shared" si="11"/>
        <v>0</v>
      </c>
      <c r="R28" s="1571" t="s">
        <v>11</v>
      </c>
      <c r="S28" s="1572">
        <f t="shared" ref="S28:S46" si="12">F28</f>
        <v>100</v>
      </c>
      <c r="T28" s="1571" t="s">
        <v>11</v>
      </c>
      <c r="U28" s="1572">
        <f t="shared" ref="U28:U46" si="13">H28</f>
        <v>100</v>
      </c>
      <c r="V28" s="1571" t="s">
        <v>11</v>
      </c>
      <c r="W28" s="1572">
        <f t="shared" ref="W28:W46" si="14">J28</f>
        <v>100</v>
      </c>
      <c r="X28" s="1565"/>
      <c r="Y28" s="3451"/>
      <c r="Z28" s="1573">
        <f t="shared" ref="Z28:Z46" si="15">Q28</f>
        <v>0</v>
      </c>
      <c r="AA28" s="1574">
        <f t="shared" si="3"/>
        <v>1</v>
      </c>
      <c r="AB28" s="1574">
        <f t="shared" si="4"/>
        <v>1</v>
      </c>
      <c r="AC28" s="1574">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1570">
        <f t="shared" si="11"/>
        <v>0</v>
      </c>
      <c r="R29" s="1571" t="s">
        <v>11</v>
      </c>
      <c r="S29" s="1572">
        <f t="shared" si="12"/>
        <v>100</v>
      </c>
      <c r="T29" s="1571" t="s">
        <v>11</v>
      </c>
      <c r="U29" s="1572">
        <f t="shared" si="13"/>
        <v>100</v>
      </c>
      <c r="V29" s="1571" t="s">
        <v>11</v>
      </c>
      <c r="W29" s="1572">
        <f t="shared" si="14"/>
        <v>100</v>
      </c>
      <c r="X29" s="1565"/>
      <c r="Y29" s="3451"/>
      <c r="Z29" s="1573">
        <f t="shared" si="15"/>
        <v>0</v>
      </c>
      <c r="AA29" s="1574">
        <f t="shared" si="3"/>
        <v>1</v>
      </c>
      <c r="AB29" s="1574">
        <f t="shared" si="4"/>
        <v>1</v>
      </c>
      <c r="AC29" s="1574">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1570">
        <f t="shared" si="11"/>
        <v>0</v>
      </c>
      <c r="R30" s="1571" t="s">
        <v>11</v>
      </c>
      <c r="S30" s="1572">
        <f t="shared" si="12"/>
        <v>100</v>
      </c>
      <c r="T30" s="1571" t="s">
        <v>11</v>
      </c>
      <c r="U30" s="1572">
        <f t="shared" si="13"/>
        <v>100</v>
      </c>
      <c r="V30" s="1571" t="s">
        <v>11</v>
      </c>
      <c r="W30" s="1572">
        <f t="shared" si="14"/>
        <v>100</v>
      </c>
      <c r="X30" s="1565"/>
      <c r="Y30" s="3451"/>
      <c r="Z30" s="1573">
        <f t="shared" si="15"/>
        <v>0</v>
      </c>
      <c r="AA30" s="1574">
        <f t="shared" si="3"/>
        <v>1</v>
      </c>
      <c r="AB30" s="1574">
        <f t="shared" si="4"/>
        <v>1</v>
      </c>
      <c r="AC30" s="1574">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1570">
        <f t="shared" si="11"/>
        <v>0</v>
      </c>
      <c r="R31" s="1571" t="s">
        <v>11</v>
      </c>
      <c r="S31" s="1572">
        <f t="shared" si="12"/>
        <v>100</v>
      </c>
      <c r="T31" s="1571" t="s">
        <v>11</v>
      </c>
      <c r="U31" s="1572">
        <f t="shared" si="13"/>
        <v>100</v>
      </c>
      <c r="V31" s="1571" t="s">
        <v>11</v>
      </c>
      <c r="W31" s="1572">
        <f t="shared" si="14"/>
        <v>100</v>
      </c>
      <c r="X31" s="1565"/>
      <c r="Y31" s="3451"/>
      <c r="Z31" s="1573">
        <f t="shared" si="15"/>
        <v>0</v>
      </c>
      <c r="AA31" s="1574">
        <f t="shared" si="3"/>
        <v>1</v>
      </c>
      <c r="AB31" s="1574">
        <f t="shared" si="4"/>
        <v>1</v>
      </c>
      <c r="AC31" s="1574">
        <f t="shared" si="5"/>
        <v>1</v>
      </c>
    </row>
    <row r="32" spans="1:29" ht="15">
      <c r="A32" s="2930" t="s">
        <v>2753</v>
      </c>
      <c r="B32" s="172" t="s">
        <v>724</v>
      </c>
      <c r="C32" s="3228" t="s">
        <v>3092</v>
      </c>
      <c r="D32" s="596">
        <v>100</v>
      </c>
      <c r="E32" s="878" t="s">
        <v>3096</v>
      </c>
      <c r="F32" s="574">
        <f>SUMIF(100:100,E32,101:101)-SUMIF(100:100,C32,101:101)+100</f>
        <v>94</v>
      </c>
      <c r="G32" s="877" t="s">
        <v>3092</v>
      </c>
      <c r="H32" s="596">
        <f>SUMIF(100:100,G32,101:101)-SUMIF(100:100,C32,101:101)+100</f>
        <v>100</v>
      </c>
      <c r="I32" s="878" t="s">
        <v>3096</v>
      </c>
      <c r="J32" s="539">
        <f>SUMIF(100:100,I32,101:101)-SUMIF(100:100,C32,101:101)+100</f>
        <v>94</v>
      </c>
      <c r="K32" s="863">
        <v>3</v>
      </c>
      <c r="L32" s="2141"/>
      <c r="M32" s="2133"/>
      <c r="N32" s="2133"/>
      <c r="O32" s="2140"/>
      <c r="P32" s="3452" t="s">
        <v>550</v>
      </c>
      <c r="Q32" s="1570" t="str">
        <f t="shared" si="11"/>
        <v>建筑类型</v>
      </c>
      <c r="R32" s="1571" t="s">
        <v>11</v>
      </c>
      <c r="S32" s="1572">
        <f t="shared" si="12"/>
        <v>94</v>
      </c>
      <c r="T32" s="1571" t="s">
        <v>11</v>
      </c>
      <c r="U32" s="1572">
        <f t="shared" si="13"/>
        <v>100</v>
      </c>
      <c r="V32" s="1571" t="s">
        <v>11</v>
      </c>
      <c r="W32" s="1572">
        <f t="shared" si="14"/>
        <v>94</v>
      </c>
      <c r="X32" s="1565"/>
      <c r="Y32" s="3453" t="s">
        <v>550</v>
      </c>
      <c r="Z32" s="1573" t="str">
        <f t="shared" si="15"/>
        <v>建筑类型</v>
      </c>
      <c r="AA32" s="1574">
        <f t="shared" si="3"/>
        <v>1.0638297872340425</v>
      </c>
      <c r="AB32" s="1574">
        <f t="shared" si="4"/>
        <v>1</v>
      </c>
      <c r="AC32" s="1574">
        <f t="shared" si="5"/>
        <v>1.0638297872340425</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11</v>
      </c>
      <c r="S33" s="1576">
        <f t="shared" si="12"/>
        <v>100</v>
      </c>
      <c r="T33" s="1575" t="s">
        <v>11</v>
      </c>
      <c r="U33" s="1576">
        <f t="shared" si="13"/>
        <v>100</v>
      </c>
      <c r="V33" s="1575" t="s">
        <v>11</v>
      </c>
      <c r="W33" s="1576">
        <f t="shared" si="14"/>
        <v>100</v>
      </c>
      <c r="X33" s="1577"/>
      <c r="Y33" s="3453"/>
      <c r="Z33" s="1578" t="str">
        <f t="shared" si="15"/>
        <v>项目建筑规模</v>
      </c>
      <c r="AA33" s="1574">
        <f t="shared" si="3"/>
        <v>1</v>
      </c>
      <c r="AB33" s="1574">
        <f t="shared" si="4"/>
        <v>1</v>
      </c>
      <c r="AC33" s="1574">
        <f t="shared" si="5"/>
        <v>1</v>
      </c>
    </row>
    <row r="34" spans="1:29" ht="15">
      <c r="A34" s="593"/>
      <c r="B34" s="526" t="s">
        <v>726</v>
      </c>
      <c r="C34" s="880" t="s">
        <v>3098</v>
      </c>
      <c r="D34" s="539">
        <v>100</v>
      </c>
      <c r="E34" s="881" t="s">
        <v>3098</v>
      </c>
      <c r="F34" s="574">
        <f>SUMIF(105:105,E34,106:106)-SUMIF(105:105,C34,106:106)+100</f>
        <v>100</v>
      </c>
      <c r="G34" s="880" t="s">
        <v>3098</v>
      </c>
      <c r="H34" s="539">
        <f>SUMIF(105:105,G34,106:106)-SUMIF(105:105,C34,106:106)+100</f>
        <v>100</v>
      </c>
      <c r="I34" s="881" t="s">
        <v>3098</v>
      </c>
      <c r="J34" s="539">
        <f>SUMIF(105:105,I34,106:106)-SUMIF(105:105,C34,106:106)+100</f>
        <v>100</v>
      </c>
      <c r="K34" s="863">
        <v>2</v>
      </c>
      <c r="L34" s="2141"/>
      <c r="M34" s="2133"/>
      <c r="N34" s="2133"/>
      <c r="O34" s="2140"/>
      <c r="P34" s="3453"/>
      <c r="Q34" s="1570" t="str">
        <f t="shared" si="11"/>
        <v>建筑结构</v>
      </c>
      <c r="R34" s="1571" t="s">
        <v>11</v>
      </c>
      <c r="S34" s="1572">
        <f t="shared" si="12"/>
        <v>100</v>
      </c>
      <c r="T34" s="1571" t="s">
        <v>11</v>
      </c>
      <c r="U34" s="1572">
        <f t="shared" si="13"/>
        <v>100</v>
      </c>
      <c r="V34" s="1571" t="s">
        <v>11</v>
      </c>
      <c r="W34" s="1572">
        <f t="shared" si="14"/>
        <v>100</v>
      </c>
      <c r="X34" s="1565"/>
      <c r="Y34" s="3453"/>
      <c r="Z34" s="1573" t="str">
        <f t="shared" si="15"/>
        <v>建筑结构</v>
      </c>
      <c r="AA34" s="1574">
        <f t="shared" si="3"/>
        <v>1</v>
      </c>
      <c r="AB34" s="1574">
        <f t="shared" si="4"/>
        <v>1</v>
      </c>
      <c r="AC34" s="1574">
        <f t="shared" si="5"/>
        <v>1</v>
      </c>
    </row>
    <row r="35" spans="1:29" ht="15">
      <c r="A35" s="593"/>
      <c r="B35" s="526" t="s">
        <v>727</v>
      </c>
      <c r="C35" s="598" t="s">
        <v>3101</v>
      </c>
      <c r="D35" s="539">
        <v>100</v>
      </c>
      <c r="E35" s="873" t="s">
        <v>3101</v>
      </c>
      <c r="F35" s="574">
        <f>SUMIF(107:107,E35,108:108)-SUMIF(107:107,C35,108:108)+100</f>
        <v>100</v>
      </c>
      <c r="G35" s="598" t="s">
        <v>3101</v>
      </c>
      <c r="H35" s="539">
        <f>SUMIF(107:107,G35,108:108)-SUMIF(107:107,C35,108:108)+100</f>
        <v>100</v>
      </c>
      <c r="I35" s="873" t="s">
        <v>3101</v>
      </c>
      <c r="J35" s="539">
        <f>SUMIF(107:107,I35,108:108)-SUMIF(107:107,C35,108:108)+100</f>
        <v>100</v>
      </c>
      <c r="K35" s="863">
        <v>2</v>
      </c>
      <c r="L35" s="2141"/>
      <c r="M35" s="2133"/>
      <c r="N35" s="2133"/>
      <c r="O35" s="2140"/>
      <c r="P35" s="3453"/>
      <c r="Q35" s="1570" t="str">
        <f t="shared" si="11"/>
        <v>建筑品质</v>
      </c>
      <c r="R35" s="1571" t="s">
        <v>11</v>
      </c>
      <c r="S35" s="1572">
        <f t="shared" si="12"/>
        <v>100</v>
      </c>
      <c r="T35" s="1571" t="s">
        <v>11</v>
      </c>
      <c r="U35" s="1572">
        <f t="shared" si="13"/>
        <v>100</v>
      </c>
      <c r="V35" s="1571" t="s">
        <v>11</v>
      </c>
      <c r="W35" s="1572">
        <f t="shared" si="14"/>
        <v>100</v>
      </c>
      <c r="X35" s="1565"/>
      <c r="Y35" s="3453"/>
      <c r="Z35" s="1573" t="str">
        <f t="shared" si="15"/>
        <v>建筑品质</v>
      </c>
      <c r="AA35" s="1574">
        <f t="shared" si="3"/>
        <v>1</v>
      </c>
      <c r="AB35" s="1574">
        <f t="shared" si="4"/>
        <v>1</v>
      </c>
      <c r="AC35" s="1574">
        <f t="shared" si="5"/>
        <v>1</v>
      </c>
    </row>
    <row r="36" spans="1:29" ht="15">
      <c r="A36" s="593"/>
      <c r="B36" s="526" t="s">
        <v>728</v>
      </c>
      <c r="C36" s="598" t="s">
        <v>3085</v>
      </c>
      <c r="D36" s="539">
        <v>100</v>
      </c>
      <c r="E36" s="873" t="s">
        <v>3085</v>
      </c>
      <c r="F36" s="574">
        <f>SUMIF(109:109,E36,110:110)-SUMIF(109:109,C36,110:110)+100</f>
        <v>100</v>
      </c>
      <c r="G36" s="598" t="s">
        <v>3085</v>
      </c>
      <c r="H36" s="539">
        <f>SUMIF(109:109,G36,110:110)-SUMIF(109:109,C36,110:110)+100</f>
        <v>100</v>
      </c>
      <c r="I36" s="873" t="s">
        <v>3085</v>
      </c>
      <c r="J36" s="539">
        <f>SUMIF(109:109,I36,110:110)-SUMIF(109:109,C36,110:110)+100</f>
        <v>100</v>
      </c>
      <c r="K36" s="863">
        <v>2</v>
      </c>
      <c r="L36" s="2141"/>
      <c r="M36" s="2133"/>
      <c r="N36" s="2133"/>
      <c r="O36" s="2140"/>
      <c r="P36" s="3453"/>
      <c r="Q36" s="1570" t="str">
        <f t="shared" si="11"/>
        <v>公共部分装修</v>
      </c>
      <c r="R36" s="1571" t="s">
        <v>11</v>
      </c>
      <c r="S36" s="1572">
        <f t="shared" si="12"/>
        <v>100</v>
      </c>
      <c r="T36" s="1571" t="s">
        <v>11</v>
      </c>
      <c r="U36" s="1572">
        <f t="shared" si="13"/>
        <v>100</v>
      </c>
      <c r="V36" s="1571" t="s">
        <v>11</v>
      </c>
      <c r="W36" s="1572">
        <f t="shared" si="14"/>
        <v>100</v>
      </c>
      <c r="X36" s="1565"/>
      <c r="Y36" s="3453"/>
      <c r="Z36" s="1573" t="str">
        <f t="shared" si="15"/>
        <v>公共部分装修</v>
      </c>
      <c r="AA36" s="1574">
        <f t="shared" si="3"/>
        <v>1</v>
      </c>
      <c r="AB36" s="1574">
        <f t="shared" si="4"/>
        <v>1</v>
      </c>
      <c r="AC36" s="1574">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1149" t="str">
        <f t="shared" si="11"/>
        <v>成新度</v>
      </c>
      <c r="R37" s="1566" t="s">
        <v>11</v>
      </c>
      <c r="S37" s="1567">
        <f t="shared" si="12"/>
        <v>100</v>
      </c>
      <c r="T37" s="1566" t="s">
        <v>11</v>
      </c>
      <c r="U37" s="1567">
        <f t="shared" si="13"/>
        <v>100</v>
      </c>
      <c r="V37" s="1566" t="s">
        <v>11</v>
      </c>
      <c r="W37" s="1567">
        <f t="shared" si="14"/>
        <v>100</v>
      </c>
      <c r="X37" s="1568"/>
      <c r="Y37" s="3453"/>
      <c r="Z37" s="1148" t="str">
        <f t="shared" si="15"/>
        <v>成新度</v>
      </c>
      <c r="AA37" s="1569">
        <f t="shared" si="3"/>
        <v>1</v>
      </c>
      <c r="AB37" s="1569">
        <f t="shared" si="4"/>
        <v>1</v>
      </c>
      <c r="AC37" s="1569">
        <f t="shared" si="5"/>
        <v>1</v>
      </c>
    </row>
    <row r="38" spans="1:29" ht="15">
      <c r="A38" s="593"/>
      <c r="B38" s="526" t="s">
        <v>730</v>
      </c>
      <c r="C38" s="598" t="s">
        <v>3103</v>
      </c>
      <c r="D38" s="539">
        <v>100</v>
      </c>
      <c r="E38" s="873" t="s">
        <v>3103</v>
      </c>
      <c r="F38" s="574">
        <f>SUMIF(114:114,E38,115:115)-SUMIF(114:114,C38,115:115)+100</f>
        <v>100</v>
      </c>
      <c r="G38" s="598" t="s">
        <v>3103</v>
      </c>
      <c r="H38" s="539">
        <f>SUMIF(114:114,G38,115:115)-SUMIF(114:114,C38,115:115)+100</f>
        <v>100</v>
      </c>
      <c r="I38" s="873" t="s">
        <v>3103</v>
      </c>
      <c r="J38" s="539">
        <f>SUMIF(114:114,I38,115:115)-SUMIF(114:114,C38,115:115)+100</f>
        <v>100</v>
      </c>
      <c r="K38" s="863">
        <v>2</v>
      </c>
      <c r="L38" s="2141"/>
      <c r="M38" s="2133"/>
      <c r="N38" s="2133"/>
      <c r="O38" s="2140"/>
      <c r="P38" s="3453" t="s">
        <v>550</v>
      </c>
      <c r="Q38" s="1570" t="str">
        <f t="shared" si="11"/>
        <v>物业管理</v>
      </c>
      <c r="R38" s="1571" t="s">
        <v>11</v>
      </c>
      <c r="S38" s="1572">
        <f t="shared" si="12"/>
        <v>100</v>
      </c>
      <c r="T38" s="1571" t="s">
        <v>11</v>
      </c>
      <c r="U38" s="1572">
        <f t="shared" si="13"/>
        <v>100</v>
      </c>
      <c r="V38" s="1571" t="s">
        <v>11</v>
      </c>
      <c r="W38" s="1572">
        <f t="shared" si="14"/>
        <v>100</v>
      </c>
      <c r="X38" s="1565"/>
      <c r="Y38" s="3453" t="s">
        <v>550</v>
      </c>
      <c r="Z38" s="1573" t="str">
        <f t="shared" si="15"/>
        <v>物业管理</v>
      </c>
      <c r="AA38" s="1574">
        <f t="shared" si="3"/>
        <v>1</v>
      </c>
      <c r="AB38" s="1574">
        <f t="shared" si="4"/>
        <v>1</v>
      </c>
      <c r="AC38" s="1574">
        <f t="shared" si="5"/>
        <v>1</v>
      </c>
    </row>
    <row r="39" spans="1:29" ht="15">
      <c r="A39" s="593"/>
      <c r="B39" s="1894" t="s">
        <v>2563</v>
      </c>
      <c r="C39" s="598" t="s">
        <v>3084</v>
      </c>
      <c r="D39" s="539">
        <v>100</v>
      </c>
      <c r="E39" s="873" t="s">
        <v>3084</v>
      </c>
      <c r="F39" s="574">
        <f>SUMIF(116:116,E39,117:117)-SUMIF(116:116,C39,117:117)+100</f>
        <v>100</v>
      </c>
      <c r="G39" s="598" t="s">
        <v>3084</v>
      </c>
      <c r="H39" s="539">
        <f>SUMIF(116:116,G39,117:117)-SUMIF(116:116,C39,117:117)+100</f>
        <v>100</v>
      </c>
      <c r="I39" s="873" t="s">
        <v>3084</v>
      </c>
      <c r="J39" s="539">
        <f>SUMIF(116:116,I39,117:117)-SUMIF(116:116,C39,117:117)+100</f>
        <v>100</v>
      </c>
      <c r="K39" s="863">
        <v>2</v>
      </c>
      <c r="L39" s="2141"/>
      <c r="M39" s="2133"/>
      <c r="N39" s="2133"/>
      <c r="O39" s="2140"/>
      <c r="P39" s="3453"/>
      <c r="Q39" s="1570" t="str">
        <f t="shared" si="11"/>
        <v>市政基础设施</v>
      </c>
      <c r="R39" s="1571" t="s">
        <v>11</v>
      </c>
      <c r="S39" s="1572">
        <f t="shared" si="12"/>
        <v>100</v>
      </c>
      <c r="T39" s="1571" t="s">
        <v>11</v>
      </c>
      <c r="U39" s="1572">
        <f t="shared" si="13"/>
        <v>100</v>
      </c>
      <c r="V39" s="1571" t="s">
        <v>11</v>
      </c>
      <c r="W39" s="1572">
        <f t="shared" si="14"/>
        <v>100</v>
      </c>
      <c r="X39" s="1565"/>
      <c r="Y39" s="3453"/>
      <c r="Z39" s="1573" t="str">
        <f t="shared" si="15"/>
        <v>市政基础设施</v>
      </c>
      <c r="AA39" s="1574">
        <f t="shared" si="3"/>
        <v>1</v>
      </c>
      <c r="AB39" s="1574">
        <f t="shared" si="4"/>
        <v>1</v>
      </c>
      <c r="AC39" s="1574">
        <f t="shared" si="5"/>
        <v>1</v>
      </c>
    </row>
    <row r="40" spans="1:29" ht="15">
      <c r="A40" s="593"/>
      <c r="B40" s="526" t="s">
        <v>731</v>
      </c>
      <c r="C40" s="598" t="s">
        <v>3090</v>
      </c>
      <c r="D40" s="539">
        <v>100</v>
      </c>
      <c r="E40" s="873" t="s">
        <v>3108</v>
      </c>
      <c r="F40" s="574">
        <f>SUMIF(118:118,E40,119:119)-SUMIF(118:118,C40,119:119)+100</f>
        <v>105</v>
      </c>
      <c r="G40" s="598" t="s">
        <v>3090</v>
      </c>
      <c r="H40" s="539">
        <f>SUMIF(118:118,G40,119:119)-SUMIF(118:118,C40,119:119)+100</f>
        <v>100</v>
      </c>
      <c r="I40" s="873" t="s">
        <v>3090</v>
      </c>
      <c r="J40" s="539">
        <f>SUMIF(118:118,I40,119:119)-SUMIF(118:118,C40,119:119)+100</f>
        <v>100</v>
      </c>
      <c r="K40" s="863">
        <v>5</v>
      </c>
      <c r="L40" s="2141"/>
      <c r="M40" s="2133"/>
      <c r="N40" s="2133"/>
      <c r="O40" s="2140"/>
      <c r="P40" s="3453"/>
      <c r="Q40" s="1570" t="str">
        <f t="shared" si="11"/>
        <v>房型</v>
      </c>
      <c r="R40" s="1571" t="s">
        <v>11</v>
      </c>
      <c r="S40" s="1572">
        <f t="shared" si="12"/>
        <v>105</v>
      </c>
      <c r="T40" s="1571" t="s">
        <v>11</v>
      </c>
      <c r="U40" s="1572">
        <f t="shared" si="13"/>
        <v>100</v>
      </c>
      <c r="V40" s="1571" t="s">
        <v>11</v>
      </c>
      <c r="W40" s="1572">
        <f t="shared" si="14"/>
        <v>100</v>
      </c>
      <c r="X40" s="1565"/>
      <c r="Y40" s="3453"/>
      <c r="Z40" s="1573" t="str">
        <f t="shared" si="15"/>
        <v>房型</v>
      </c>
      <c r="AA40" s="1574">
        <f t="shared" si="3"/>
        <v>0.95238095238095233</v>
      </c>
      <c r="AB40" s="1574">
        <f t="shared" si="4"/>
        <v>1</v>
      </c>
      <c r="AC40" s="1574">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11</v>
      </c>
      <c r="S41" s="1576">
        <f t="shared" si="12"/>
        <v>100</v>
      </c>
      <c r="T41" s="1575" t="s">
        <v>11</v>
      </c>
      <c r="U41" s="1576">
        <f t="shared" si="13"/>
        <v>100</v>
      </c>
      <c r="V41" s="1575" t="s">
        <v>11</v>
      </c>
      <c r="W41" s="1576">
        <f t="shared" si="14"/>
        <v>100</v>
      </c>
      <c r="X41" s="1577"/>
      <c r="Y41" s="3453"/>
      <c r="Z41" s="1578" t="str">
        <f t="shared" si="15"/>
        <v>单套/主力户型建筑面积</v>
      </c>
      <c r="AA41" s="1574">
        <f t="shared" si="3"/>
        <v>1</v>
      </c>
      <c r="AB41" s="1574">
        <f t="shared" si="4"/>
        <v>1</v>
      </c>
      <c r="AC41" s="1574">
        <f t="shared" si="5"/>
        <v>1</v>
      </c>
    </row>
    <row r="42" spans="1:29" ht="15">
      <c r="A42" s="593"/>
      <c r="B42" s="526" t="s">
        <v>733</v>
      </c>
      <c r="C42" s="598" t="s">
        <v>3087</v>
      </c>
      <c r="D42" s="539">
        <v>100</v>
      </c>
      <c r="E42" s="873" t="s">
        <v>3087</v>
      </c>
      <c r="F42" s="574">
        <f>SUMIF(122:122,E42,123:123)-SUMIF(122:122,C42,123:123)+100</f>
        <v>100</v>
      </c>
      <c r="G42" s="598" t="s">
        <v>3087</v>
      </c>
      <c r="H42" s="539">
        <f>SUMIF(122:122,G42,123:123)-SUMIF(122:122,C42,123:123)+100</f>
        <v>100</v>
      </c>
      <c r="I42" s="873" t="s">
        <v>3087</v>
      </c>
      <c r="J42" s="539">
        <f>SUMIF(122:122,I42,123:123)-SUMIF(122:122,C42,123:123)+100</f>
        <v>100</v>
      </c>
      <c r="K42" s="863">
        <v>5</v>
      </c>
      <c r="L42" s="2141"/>
      <c r="M42" s="2133"/>
      <c r="N42" s="2133"/>
      <c r="O42" s="2140"/>
      <c r="P42" s="3453"/>
      <c r="Q42" s="1570" t="str">
        <f t="shared" si="11"/>
        <v>内部装修</v>
      </c>
      <c r="R42" s="1571" t="s">
        <v>11</v>
      </c>
      <c r="S42" s="1572">
        <f t="shared" si="12"/>
        <v>100</v>
      </c>
      <c r="T42" s="1571" t="s">
        <v>11</v>
      </c>
      <c r="U42" s="1572">
        <f t="shared" si="13"/>
        <v>100</v>
      </c>
      <c r="V42" s="1571" t="s">
        <v>11</v>
      </c>
      <c r="W42" s="1572">
        <f t="shared" si="14"/>
        <v>100</v>
      </c>
      <c r="X42" s="1565"/>
      <c r="Y42" s="3453"/>
      <c r="Z42" s="1573" t="str">
        <f t="shared" si="15"/>
        <v>内部装修</v>
      </c>
      <c r="AA42" s="1574">
        <f t="shared" si="3"/>
        <v>1</v>
      </c>
      <c r="AB42" s="1574">
        <f t="shared" si="4"/>
        <v>1</v>
      </c>
      <c r="AC42" s="1574">
        <f t="shared" si="5"/>
        <v>1</v>
      </c>
    </row>
    <row r="43" spans="1:29" ht="33" customHeight="1">
      <c r="A43" s="593"/>
      <c r="B43" s="526" t="s">
        <v>734</v>
      </c>
      <c r="C43" s="598" t="s">
        <v>3074</v>
      </c>
      <c r="D43" s="539">
        <v>100</v>
      </c>
      <c r="E43" s="598" t="s">
        <v>3074</v>
      </c>
      <c r="F43" s="574">
        <f>SUMIF(124:124,E43,125:125)-SUMIF(124:124,C43,125:125)+100</f>
        <v>100</v>
      </c>
      <c r="G43" s="598" t="s">
        <v>3074</v>
      </c>
      <c r="H43" s="539">
        <f>SUMIF(124:124,G43,125:125)-SUMIF(124:124,C43,125:125)+100</f>
        <v>100</v>
      </c>
      <c r="I43" s="598" t="s">
        <v>3074</v>
      </c>
      <c r="J43" s="539">
        <f>SUMIF(124:124,I43,125:125)-SUMIF(124:124,C43,125:125)+100</f>
        <v>100</v>
      </c>
      <c r="K43" s="863">
        <v>2</v>
      </c>
      <c r="L43" s="2141"/>
      <c r="M43" s="2133"/>
      <c r="N43" s="2133"/>
      <c r="O43" s="2140"/>
      <c r="P43" s="3453"/>
      <c r="Q43" s="1570" t="str">
        <f t="shared" si="11"/>
        <v>内部装修维护情况</v>
      </c>
      <c r="R43" s="1571" t="s">
        <v>11</v>
      </c>
      <c r="S43" s="1572">
        <f t="shared" si="12"/>
        <v>100</v>
      </c>
      <c r="T43" s="1571" t="s">
        <v>11</v>
      </c>
      <c r="U43" s="1572">
        <f t="shared" si="13"/>
        <v>100</v>
      </c>
      <c r="V43" s="1571" t="s">
        <v>11</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9"/>
      <c r="B44" s="876"/>
      <c r="C44" s="879"/>
      <c r="D44" s="254">
        <v>100</v>
      </c>
      <c r="E44" s="879" t="s">
        <v>3123</v>
      </c>
      <c r="F44" s="862">
        <f>SUMIF(126:126,E44,127:127)-SUMIF(126:126,C44,127:127)+100</f>
        <v>100</v>
      </c>
      <c r="G44" s="879" t="s">
        <v>3122</v>
      </c>
      <c r="H44" s="254">
        <f>SUMIF(126:126,G44,127:127)-SUMIF(126:126,C44,127:127)+100</f>
        <v>100</v>
      </c>
      <c r="I44" s="879" t="s">
        <v>3121</v>
      </c>
      <c r="J44" s="254">
        <f>SUMIF(126:126,I44,127:127)-SUMIF(126:126,C44,127:127)+100</f>
        <v>100</v>
      </c>
      <c r="K44" s="864"/>
      <c r="L44" s="2134"/>
      <c r="M44" s="2135"/>
      <c r="N44" s="2135"/>
      <c r="O44" s="2136"/>
      <c r="P44" s="3453"/>
      <c r="Q44" s="1149">
        <f t="shared" si="11"/>
        <v>0</v>
      </c>
      <c r="R44" s="1566" t="s">
        <v>11</v>
      </c>
      <c r="S44" s="1567">
        <f t="shared" si="12"/>
        <v>100</v>
      </c>
      <c r="T44" s="1566" t="s">
        <v>11</v>
      </c>
      <c r="U44" s="1567">
        <f t="shared" si="13"/>
        <v>100</v>
      </c>
      <c r="V44" s="1566" t="s">
        <v>11</v>
      </c>
      <c r="W44" s="1567">
        <f t="shared" si="14"/>
        <v>100</v>
      </c>
      <c r="X44" s="1568"/>
      <c r="Y44" s="3453"/>
      <c r="Z44" s="1148">
        <f t="shared" si="15"/>
        <v>0</v>
      </c>
      <c r="AA44" s="1569">
        <f t="shared" si="3"/>
        <v>1</v>
      </c>
      <c r="AB44" s="1569">
        <f t="shared" si="4"/>
        <v>1</v>
      </c>
      <c r="AC44" s="1569">
        <f t="shared" si="5"/>
        <v>1</v>
      </c>
    </row>
    <row r="45" spans="1:29" ht="15.75" thickBot="1">
      <c r="A45" s="593"/>
      <c r="B45" s="876"/>
      <c r="C45" s="544"/>
      <c r="D45" s="545">
        <v>100</v>
      </c>
      <c r="E45" s="538" t="s">
        <v>3118</v>
      </c>
      <c r="F45" s="574">
        <f>SUMIF(128:128,E45,129:129)-SUMIF(128:128,C45,129:129)+100</f>
        <v>100</v>
      </c>
      <c r="G45" s="544" t="s">
        <v>3119</v>
      </c>
      <c r="H45" s="545">
        <f>SUMIF(128:128,G45,129:129)-SUMIF(128:128,C45,129:129)+100</f>
        <v>100</v>
      </c>
      <c r="I45" s="538" t="s">
        <v>3118</v>
      </c>
      <c r="J45" s="539">
        <f>SUMIF(128:128,I45,129:129)-SUMIF(128:128,C45,129:129)+100</f>
        <v>100</v>
      </c>
      <c r="K45" s="864"/>
      <c r="L45" s="2141"/>
      <c r="M45" s="2133"/>
      <c r="N45" s="2133"/>
      <c r="O45" s="2140"/>
      <c r="P45" s="3453"/>
      <c r="Q45" s="1570">
        <f t="shared" si="11"/>
        <v>0</v>
      </c>
      <c r="R45" s="1571" t="s">
        <v>11</v>
      </c>
      <c r="S45" s="1572">
        <f t="shared" si="12"/>
        <v>100</v>
      </c>
      <c r="T45" s="1571" t="s">
        <v>11</v>
      </c>
      <c r="U45" s="1572">
        <f t="shared" si="13"/>
        <v>100</v>
      </c>
      <c r="V45" s="1571" t="s">
        <v>11</v>
      </c>
      <c r="W45" s="1572">
        <f t="shared" si="14"/>
        <v>100</v>
      </c>
      <c r="X45" s="1565"/>
      <c r="Y45" s="3453"/>
      <c r="Z45" s="1573">
        <f t="shared" si="15"/>
        <v>0</v>
      </c>
      <c r="AA45" s="1574">
        <f t="shared" si="3"/>
        <v>1</v>
      </c>
      <c r="AB45" s="1574">
        <f t="shared" si="4"/>
        <v>1</v>
      </c>
      <c r="AC45" s="1574">
        <f t="shared" si="5"/>
        <v>1</v>
      </c>
    </row>
    <row r="46" spans="1:29" ht="15.75" thickBot="1">
      <c r="A46" s="885"/>
      <c r="B46" s="3242" t="s">
        <v>3128</v>
      </c>
      <c r="C46" s="3243"/>
      <c r="D46" s="3244">
        <v>100</v>
      </c>
      <c r="E46" s="3245"/>
      <c r="F46" s="3246">
        <f>SUMIF(130:130,E46,131:131)-SUMIF(130:130,C46,131:131)+100</f>
        <v>100</v>
      </c>
      <c r="G46" s="3243"/>
      <c r="H46" s="3244">
        <f>SUMIF(130:130,G46,131:131)-SUMIF(130:130,C46,131:131)+100</f>
        <v>100</v>
      </c>
      <c r="I46" s="3245"/>
      <c r="J46" s="3247">
        <f>SUMIF(130:130,I46,131:131)-SUMIF(130:130,C46,131:131)+100</f>
        <v>100</v>
      </c>
      <c r="K46" s="864"/>
      <c r="L46" s="2141"/>
      <c r="M46" s="2133"/>
      <c r="N46" s="2133"/>
      <c r="O46" s="2140"/>
      <c r="P46" s="3530"/>
      <c r="Q46" s="1570" t="str">
        <f t="shared" si="11"/>
        <v>海景</v>
      </c>
      <c r="R46" s="1571" t="s">
        <v>10</v>
      </c>
      <c r="S46" s="1572">
        <f t="shared" si="12"/>
        <v>100</v>
      </c>
      <c r="T46" s="1571" t="s">
        <v>10</v>
      </c>
      <c r="U46" s="1572">
        <f t="shared" si="13"/>
        <v>100</v>
      </c>
      <c r="V46" s="1571" t="s">
        <v>10</v>
      </c>
      <c r="W46" s="1572">
        <f t="shared" si="14"/>
        <v>100</v>
      </c>
      <c r="X46" s="1565"/>
      <c r="Y46" s="3530"/>
      <c r="Z46" s="1573" t="str">
        <f t="shared" si="15"/>
        <v>海景</v>
      </c>
      <c r="AA46" s="1574">
        <f t="shared" si="3"/>
        <v>1</v>
      </c>
      <c r="AB46" s="1574">
        <f t="shared" si="4"/>
        <v>1</v>
      </c>
      <c r="AC46" s="1574">
        <f t="shared" si="5"/>
        <v>1</v>
      </c>
    </row>
    <row r="47" spans="1:29" ht="15">
      <c r="A47" s="606" t="s">
        <v>735</v>
      </c>
      <c r="B47" s="886"/>
      <c r="C47" s="2650" t="s">
        <v>9</v>
      </c>
      <c r="D47" s="2651"/>
      <c r="E47" s="2652">
        <f>ROUND(25000*0.93,0)</f>
        <v>23250</v>
      </c>
      <c r="F47" s="2653"/>
      <c r="G47" s="2654">
        <f>26000*0.93</f>
        <v>24180</v>
      </c>
      <c r="H47" s="2655"/>
      <c r="I47" s="2652">
        <f>ROUND(177/75*10000*0.93,0)</f>
        <v>21948</v>
      </c>
      <c r="J47" s="2655"/>
      <c r="K47" s="1604"/>
      <c r="L47" s="2143"/>
      <c r="M47" s="2144"/>
      <c r="N47" s="2133"/>
      <c r="O47" s="2144"/>
      <c r="P47" s="3416" t="str">
        <f>A47</f>
        <v>成交单价（元/平方米）</v>
      </c>
      <c r="Q47" s="3416"/>
      <c r="R47" s="3529">
        <f>E47</f>
        <v>23250</v>
      </c>
      <c r="S47" s="3529"/>
      <c r="T47" s="3529">
        <f>G47</f>
        <v>24180</v>
      </c>
      <c r="U47" s="3529"/>
      <c r="V47" s="3529">
        <f>I47</f>
        <v>21948</v>
      </c>
      <c r="W47" s="3529"/>
      <c r="X47" s="1557"/>
      <c r="Y47" s="1579"/>
      <c r="Z47" s="1557"/>
      <c r="AA47" s="1557"/>
      <c r="AB47" s="1557"/>
      <c r="AC47" s="1557"/>
    </row>
    <row r="48" spans="1:29" ht="15.75" thickBot="1">
      <c r="A48" s="614" t="s">
        <v>2758</v>
      </c>
      <c r="B48" s="887"/>
      <c r="C48" s="2656">
        <f>R49</f>
        <v>23190</v>
      </c>
      <c r="D48" s="2657"/>
      <c r="E48" s="2658">
        <f>R48</f>
        <v>22547</v>
      </c>
      <c r="F48" s="2658"/>
      <c r="G48" s="2656">
        <f>T48</f>
        <v>24673</v>
      </c>
      <c r="H48" s="2657"/>
      <c r="I48" s="2658">
        <f>V48</f>
        <v>22349</v>
      </c>
      <c r="J48" s="2657"/>
      <c r="K48" s="1605"/>
      <c r="L48" s="2143"/>
      <c r="M48" s="2144"/>
      <c r="N48" s="2144"/>
      <c r="O48" s="2144"/>
      <c r="P48" s="3416" t="str">
        <f>A48</f>
        <v>比较价格（元/平方米）</v>
      </c>
      <c r="Q48" s="3416"/>
      <c r="R48" s="3529">
        <f>IF(F1="售价",ROUND(PRODUCT(R47,AA7:AA46),0),ROUND(PRODUCT(R47,AA7:AA46),1))</f>
        <v>22547</v>
      </c>
      <c r="S48" s="3529"/>
      <c r="T48" s="3529">
        <f>IF(F1="售价",ROUND(PRODUCT(T47,AB7:AB46),0),ROUND(PRODUCT(T47,AB7:AB46),1))</f>
        <v>24673</v>
      </c>
      <c r="U48" s="3529"/>
      <c r="V48" s="3529">
        <f>IF(F1="售价",ROUND(PRODUCT(V47,AC7:AC46),0),ROUND(PRODUCT(V47,AC7:AC46),1))</f>
        <v>22349</v>
      </c>
      <c r="W48" s="3529"/>
      <c r="X48" s="1557"/>
      <c r="Y48" s="1557"/>
      <c r="Z48" s="1557"/>
      <c r="AA48" s="1557"/>
      <c r="AB48" s="1557"/>
      <c r="AC48" s="1557"/>
    </row>
    <row r="49" spans="1:29" ht="15.75" thickBot="1">
      <c r="A49" s="620" t="s">
        <v>2932</v>
      </c>
      <c r="B49" s="621"/>
      <c r="C49" s="2659">
        <f>R49</f>
        <v>23190</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23190</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3.1179314321195806E-2</v>
      </c>
      <c r="F52" s="626" t="str">
        <f>IF(OR(E52&gt;=0.3,E52&lt;=-0.3),"超过30%","")</f>
        <v/>
      </c>
      <c r="G52" s="625">
        <f>IF(G47&lt;G48,G48/G47-1,G47/G48-1)</f>
        <v>2.0388751033912245E-2</v>
      </c>
      <c r="H52" s="626" t="str">
        <f>IF(OR(G52&gt;=0.3,G52&lt;=-0.3),"超过30%","")</f>
        <v/>
      </c>
      <c r="I52" s="625">
        <f>IF(I47&lt;I48,I48/I47-1,I47/I48-1)</f>
        <v>1.827045744486977E-2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9.4291923537499489E-2</v>
      </c>
      <c r="F53" s="626" t="str">
        <f>IF(OR(E53&gt;=0.2,E53&lt;=-0.2),"超过20%","")</f>
        <v/>
      </c>
      <c r="G53" s="625">
        <f>IF(G48&lt;I48,I48/G48-1,G48/I48-1)</f>
        <v>0.10398675555953285</v>
      </c>
      <c r="H53" s="626" t="str">
        <f>IF(OR(G53&gt;=0.2,G53&lt;=-0.2),"超过20%","")</f>
        <v/>
      </c>
      <c r="I53" s="625">
        <f>IF(I48&lt;E48,E48/I48-1,I48/E48-1)</f>
        <v>8.8594567989619399E-3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99.5</v>
      </c>
      <c r="E69" s="678">
        <f t="shared" si="19"/>
        <v>99</v>
      </c>
      <c r="F69" s="678">
        <f t="shared" si="19"/>
        <v>98.5</v>
      </c>
      <c r="G69" s="678">
        <f t="shared" si="19"/>
        <v>98</v>
      </c>
      <c r="H69" s="678">
        <f t="shared" si="19"/>
        <v>97.5</v>
      </c>
      <c r="I69" s="678">
        <f t="shared" si="19"/>
        <v>97</v>
      </c>
      <c r="J69" s="678">
        <f t="shared" si="19"/>
        <v>96.5</v>
      </c>
      <c r="K69" s="678">
        <f t="shared" si="19"/>
        <v>96</v>
      </c>
      <c r="L69" s="678">
        <f t="shared" si="19"/>
        <v>95.5</v>
      </c>
      <c r="M69" s="679">
        <f t="shared" si="19"/>
        <v>95</v>
      </c>
      <c r="N69" s="2165"/>
      <c r="O69" s="2165"/>
      <c r="P69" s="2164"/>
      <c r="Q69" s="2157"/>
      <c r="R69" s="2144"/>
      <c r="S69" s="2144"/>
      <c r="T69" s="2144"/>
      <c r="U69" s="2144"/>
      <c r="V69" s="2144"/>
      <c r="W69" s="2144"/>
      <c r="X69" s="2144"/>
      <c r="Y69" s="2144"/>
      <c r="Z69" s="2144"/>
      <c r="AA69" s="2144"/>
      <c r="AB69" s="2144"/>
      <c r="AC69" s="2144"/>
    </row>
    <row r="70" spans="1:29" s="1337"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hidden="1"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3146</v>
      </c>
      <c r="D90" s="3195" t="s">
        <v>3144</v>
      </c>
      <c r="E90" s="3195" t="s">
        <v>3143</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3120</v>
      </c>
      <c r="D100" s="3197" t="s">
        <v>3093</v>
      </c>
      <c r="E100" s="3197" t="s">
        <v>3095</v>
      </c>
      <c r="F100" s="3197" t="s">
        <v>3097</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3099</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3100</v>
      </c>
      <c r="D107" s="3194" t="s">
        <v>3102</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3086</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3105</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3109</v>
      </c>
      <c r="D118" s="3194" t="s">
        <v>3091</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3086</v>
      </c>
      <c r="D122" s="3195" t="s">
        <v>3088</v>
      </c>
      <c r="E122" s="3195" t="s">
        <v>3089</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3126</v>
      </c>
      <c r="D130" s="3195">
        <v>0</v>
      </c>
      <c r="E130" s="3195" t="s">
        <v>3129</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756</v>
      </c>
      <c r="C1" s="503" t="s">
        <v>720</v>
      </c>
      <c r="D1" s="2369"/>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422" t="s">
        <v>522</v>
      </c>
      <c r="D4" s="3423"/>
      <c r="E4" s="3456" t="s">
        <v>523</v>
      </c>
      <c r="F4" s="3457"/>
      <c r="G4" s="3422" t="s">
        <v>524</v>
      </c>
      <c r="H4" s="3423"/>
      <c r="I4" s="3422" t="s">
        <v>525</v>
      </c>
      <c r="J4" s="3423"/>
      <c r="K4" s="513" t="s">
        <v>526</v>
      </c>
      <c r="L4" s="2132"/>
      <c r="M4" s="2133"/>
      <c r="N4" s="2133"/>
      <c r="O4" s="2133"/>
      <c r="P4" s="3424" t="s">
        <v>527</v>
      </c>
      <c r="Q4" s="3425"/>
      <c r="R4" s="3430" t="s">
        <v>523</v>
      </c>
      <c r="S4" s="3431"/>
      <c r="T4" s="3430" t="s">
        <v>524</v>
      </c>
      <c r="U4" s="3431"/>
      <c r="V4" s="3417" t="s">
        <v>525</v>
      </c>
      <c r="W4" s="3417"/>
      <c r="X4" s="1565"/>
      <c r="Y4" s="3430" t="s">
        <v>527</v>
      </c>
      <c r="Z4" s="3431"/>
      <c r="AA4" s="3419" t="s">
        <v>523</v>
      </c>
      <c r="AB4" s="3417" t="s">
        <v>524</v>
      </c>
      <c r="AC4" s="3419" t="s">
        <v>525</v>
      </c>
    </row>
    <row r="5" spans="1:29" ht="15">
      <c r="A5" s="514"/>
      <c r="B5" s="515"/>
      <c r="C5" s="3438" t="s">
        <v>2926</v>
      </c>
      <c r="D5" s="3439"/>
      <c r="E5" s="3458" t="s">
        <v>2927</v>
      </c>
      <c r="F5" s="3459"/>
      <c r="G5" s="3438" t="s">
        <v>2928</v>
      </c>
      <c r="H5" s="3439"/>
      <c r="I5" s="3438" t="s">
        <v>2929</v>
      </c>
      <c r="J5" s="3439"/>
      <c r="K5" s="513"/>
      <c r="L5" s="2132"/>
      <c r="M5" s="2133"/>
      <c r="N5" s="2133"/>
      <c r="O5" s="2133"/>
      <c r="P5" s="3426"/>
      <c r="Q5" s="3427"/>
      <c r="R5" s="3432"/>
      <c r="S5" s="3433"/>
      <c r="T5" s="3432"/>
      <c r="U5" s="3433"/>
      <c r="V5" s="3417"/>
      <c r="W5" s="3417"/>
      <c r="X5" s="1565"/>
      <c r="Y5" s="3432"/>
      <c r="Z5" s="3433"/>
      <c r="AA5" s="3420"/>
      <c r="AB5" s="3417"/>
      <c r="AC5" s="3420"/>
    </row>
    <row r="6" spans="1:29" ht="15.75" thickBot="1">
      <c r="A6" s="516"/>
      <c r="B6" s="517"/>
      <c r="C6" s="3436" t="s">
        <v>2930</v>
      </c>
      <c r="D6" s="3437"/>
      <c r="E6" s="3454" t="s">
        <v>2930</v>
      </c>
      <c r="F6" s="3455"/>
      <c r="G6" s="3436" t="s">
        <v>2930</v>
      </c>
      <c r="H6" s="3437"/>
      <c r="I6" s="3436" t="s">
        <v>2930</v>
      </c>
      <c r="J6" s="3437"/>
      <c r="K6" s="513" t="s">
        <v>528</v>
      </c>
      <c r="L6" s="2132"/>
      <c r="M6" s="2133"/>
      <c r="N6" s="2133"/>
      <c r="O6" s="2133"/>
      <c r="P6" s="3428"/>
      <c r="Q6" s="3429"/>
      <c r="R6" s="3432"/>
      <c r="S6" s="3433"/>
      <c r="T6" s="3434"/>
      <c r="U6" s="3435"/>
      <c r="V6" s="3417"/>
      <c r="W6" s="3417"/>
      <c r="X6" s="1565"/>
      <c r="Y6" s="3434"/>
      <c r="Z6" s="3435"/>
      <c r="AA6" s="3421"/>
      <c r="AB6" s="3417"/>
      <c r="AC6" s="3421"/>
    </row>
    <row r="7" spans="1:29" s="1218" customFormat="1" ht="15.75" thickBot="1">
      <c r="A7" s="2935"/>
      <c r="B7" s="2942" t="s">
        <v>529</v>
      </c>
      <c r="C7" s="518">
        <f>'数据-取费表'!B2</f>
        <v>43224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47"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47" t="s">
        <v>533</v>
      </c>
      <c r="Q8" s="3448"/>
      <c r="R8" s="1566" t="s">
        <v>8</v>
      </c>
      <c r="S8" s="1567">
        <f t="shared" si="0"/>
        <v>0</v>
      </c>
      <c r="T8" s="1566" t="s">
        <v>8</v>
      </c>
      <c r="U8" s="1567">
        <f t="shared" si="1"/>
        <v>0</v>
      </c>
      <c r="V8" s="1566" t="s">
        <v>8</v>
      </c>
      <c r="W8" s="1567">
        <f t="shared" si="2"/>
        <v>0</v>
      </c>
      <c r="X8" s="1568"/>
      <c r="Y8" s="3447" t="s">
        <v>533</v>
      </c>
      <c r="Z8" s="3448"/>
      <c r="AA8" s="1569" t="e">
        <f t="shared" ref="AA8:AA46" si="3">D8/F8</f>
        <v>#DIV/0!</v>
      </c>
      <c r="AB8" s="1569" t="e">
        <f t="shared" ref="AB8:AB46" si="4">D8/H8</f>
        <v>#DIV/0!</v>
      </c>
      <c r="AC8" s="1569" t="e">
        <f t="shared" ref="AC8:AC46" si="5">D8/J8</f>
        <v>#DIV/0!</v>
      </c>
    </row>
    <row r="9" spans="1:29" s="1218" customFormat="1" ht="15">
      <c r="A9" s="2937"/>
      <c r="B9" s="2944" t="s">
        <v>2754</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71.25">
      <c r="A15" s="2933"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50" t="s">
        <v>540</v>
      </c>
      <c r="Q15" s="1570" t="str">
        <f t="shared" si="6"/>
        <v>商业繁华度</v>
      </c>
      <c r="R15" s="1571" t="s">
        <v>8</v>
      </c>
      <c r="S15" s="1572">
        <f t="shared" si="0"/>
        <v>100</v>
      </c>
      <c r="T15" s="1571" t="s">
        <v>8</v>
      </c>
      <c r="U15" s="1572">
        <f t="shared" si="1"/>
        <v>100</v>
      </c>
      <c r="V15" s="1571" t="s">
        <v>8</v>
      </c>
      <c r="W15" s="1572">
        <f t="shared" si="2"/>
        <v>100</v>
      </c>
      <c r="X15" s="1565"/>
      <c r="Y15" s="3450"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51"/>
      <c r="Q16" s="1570"/>
      <c r="R16" s="1571"/>
      <c r="S16" s="1572"/>
      <c r="T16" s="1571"/>
      <c r="U16" s="1572"/>
      <c r="V16" s="1571"/>
      <c r="W16" s="1572"/>
      <c r="X16" s="1565"/>
      <c r="Y16" s="3451"/>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51"/>
      <c r="Q18" s="1570"/>
      <c r="R18" s="1571"/>
      <c r="S18" s="1572"/>
      <c r="T18" s="1571"/>
      <c r="U18" s="1572"/>
      <c r="V18" s="1571"/>
      <c r="W18" s="1572"/>
      <c r="X18" s="1565"/>
      <c r="Y18" s="3451"/>
      <c r="Z18" s="1573"/>
      <c r="AA18" s="1574">
        <v>1</v>
      </c>
      <c r="AB18" s="1574">
        <v>1</v>
      </c>
      <c r="AC18" s="1574">
        <v>1</v>
      </c>
    </row>
    <row r="19" spans="1:29" ht="42.7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5"/>
      <c r="L22" s="2141"/>
      <c r="M22" s="2133"/>
      <c r="N22" s="2133"/>
      <c r="O22" s="2140"/>
      <c r="P22" s="3451"/>
      <c r="Q22" s="2602"/>
      <c r="R22" s="1571"/>
      <c r="S22" s="1572"/>
      <c r="T22" s="1571"/>
      <c r="U22" s="1572"/>
      <c r="V22" s="1571"/>
      <c r="W22" s="1572"/>
      <c r="X22" s="2604"/>
      <c r="Y22" s="3451"/>
      <c r="Z22" s="2603"/>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51"/>
      <c r="Q23" s="1570" t="str">
        <f>B23</f>
        <v>自然及人文环境</v>
      </c>
      <c r="R23" s="1571" t="s">
        <v>8</v>
      </c>
      <c r="S23" s="1572">
        <f>F23</f>
        <v>100</v>
      </c>
      <c r="T23" s="1571" t="s">
        <v>8</v>
      </c>
      <c r="U23" s="1572">
        <f>H23</f>
        <v>100</v>
      </c>
      <c r="V23" s="1571" t="s">
        <v>8</v>
      </c>
      <c r="W23" s="1572">
        <f>J23</f>
        <v>100</v>
      </c>
      <c r="X23" s="1565"/>
      <c r="Y23" s="345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51"/>
      <c r="Q25" s="1570" t="str">
        <f t="shared" ref="Q25:Q46" si="11">B25</f>
        <v>临街状况</v>
      </c>
      <c r="R25" s="1571" t="s">
        <v>8</v>
      </c>
      <c r="S25" s="1572">
        <f>F25</f>
        <v>100</v>
      </c>
      <c r="T25" s="1571" t="s">
        <v>8</v>
      </c>
      <c r="U25" s="1572">
        <f>H25</f>
        <v>100</v>
      </c>
      <c r="V25" s="1571" t="s">
        <v>8</v>
      </c>
      <c r="W25" s="1572">
        <f>J25</f>
        <v>100</v>
      </c>
      <c r="X25" s="1565"/>
      <c r="Y25" s="3451"/>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51"/>
      <c r="Q26" s="1570" t="str">
        <f t="shared" si="11"/>
        <v>平面位置/可视性</v>
      </c>
      <c r="R26" s="1571" t="s">
        <v>8</v>
      </c>
      <c r="S26" s="1572">
        <f>F26</f>
        <v>100</v>
      </c>
      <c r="T26" s="1571" t="s">
        <v>8</v>
      </c>
      <c r="U26" s="1572">
        <f>H26</f>
        <v>100</v>
      </c>
      <c r="V26" s="1571" t="s">
        <v>8</v>
      </c>
      <c r="W26" s="1572">
        <f>J26</f>
        <v>100</v>
      </c>
      <c r="X26" s="1565"/>
      <c r="Y26" s="3451"/>
      <c r="Z26" s="1573" t="str">
        <f>Q26</f>
        <v>平面位置/可视性</v>
      </c>
      <c r="AA26" s="1574">
        <f t="shared" si="3"/>
        <v>1</v>
      </c>
      <c r="AB26" s="1574">
        <f t="shared" si="4"/>
        <v>1</v>
      </c>
      <c r="AC26" s="1574">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51"/>
      <c r="Q27" s="1149" t="str">
        <f t="shared" si="11"/>
        <v>人流量</v>
      </c>
      <c r="R27" s="1566" t="s">
        <v>8</v>
      </c>
      <c r="S27" s="1567">
        <f>F27</f>
        <v>100</v>
      </c>
      <c r="T27" s="1566" t="s">
        <v>8</v>
      </c>
      <c r="U27" s="1567">
        <f>H27</f>
        <v>100</v>
      </c>
      <c r="V27" s="1566" t="s">
        <v>8</v>
      </c>
      <c r="W27" s="1567">
        <f>J27</f>
        <v>100</v>
      </c>
      <c r="X27" s="1568"/>
      <c r="Y27" s="3451"/>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5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51"/>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51"/>
      <c r="Q29" s="1570">
        <f t="shared" si="11"/>
        <v>111</v>
      </c>
      <c r="R29" s="1571" t="s">
        <v>8</v>
      </c>
      <c r="S29" s="1572">
        <f t="shared" si="12"/>
        <v>100</v>
      </c>
      <c r="T29" s="1571" t="s">
        <v>8</v>
      </c>
      <c r="U29" s="1572">
        <f t="shared" si="13"/>
        <v>100</v>
      </c>
      <c r="V29" s="1571" t="s">
        <v>8</v>
      </c>
      <c r="W29" s="1572">
        <f t="shared" si="14"/>
        <v>100</v>
      </c>
      <c r="X29" s="1565"/>
      <c r="Y29" s="3451"/>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5">
      <c r="A32" s="2930"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52" t="s">
        <v>550</v>
      </c>
      <c r="Q32" s="1570" t="str">
        <f t="shared" si="11"/>
        <v>商业类型</v>
      </c>
      <c r="R32" s="1571" t="s">
        <v>8</v>
      </c>
      <c r="S32" s="1572">
        <f t="shared" si="12"/>
        <v>100</v>
      </c>
      <c r="T32" s="1571" t="s">
        <v>8</v>
      </c>
      <c r="U32" s="1572">
        <f t="shared" si="13"/>
        <v>100</v>
      </c>
      <c r="V32" s="1571" t="s">
        <v>8</v>
      </c>
      <c r="W32" s="1572">
        <f t="shared" si="14"/>
        <v>100</v>
      </c>
      <c r="X32" s="1565"/>
      <c r="Y32" s="3453" t="s">
        <v>550</v>
      </c>
      <c r="Z32" s="1573" t="str">
        <f t="shared" si="15"/>
        <v>商业类型</v>
      </c>
      <c r="AA32" s="1574">
        <f t="shared" si="3"/>
        <v>1</v>
      </c>
      <c r="AB32" s="1574">
        <f t="shared" si="4"/>
        <v>1</v>
      </c>
      <c r="AC32" s="1574">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53"/>
      <c r="Q33" s="1603" t="str">
        <f t="shared" si="11"/>
        <v>项目建筑规模</v>
      </c>
      <c r="R33" s="1575" t="s">
        <v>8</v>
      </c>
      <c r="S33" s="1576" t="e">
        <f t="shared" si="12"/>
        <v>#N/A</v>
      </c>
      <c r="T33" s="1575" t="s">
        <v>8</v>
      </c>
      <c r="U33" s="1576" t="e">
        <f t="shared" si="13"/>
        <v>#N/A</v>
      </c>
      <c r="V33" s="1575" t="s">
        <v>8</v>
      </c>
      <c r="W33" s="1576" t="e">
        <f t="shared" si="14"/>
        <v>#N/A</v>
      </c>
      <c r="X33" s="1577"/>
      <c r="Y33" s="3453"/>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53"/>
      <c r="Q34" s="1570" t="str">
        <f t="shared" si="11"/>
        <v>建筑结构</v>
      </c>
      <c r="R34" s="1571" t="s">
        <v>8</v>
      </c>
      <c r="S34" s="1572">
        <f t="shared" si="12"/>
        <v>100</v>
      </c>
      <c r="T34" s="1571" t="s">
        <v>8</v>
      </c>
      <c r="U34" s="1572">
        <f t="shared" si="13"/>
        <v>100</v>
      </c>
      <c r="V34" s="1571" t="s">
        <v>8</v>
      </c>
      <c r="W34" s="1572">
        <f t="shared" si="14"/>
        <v>100</v>
      </c>
      <c r="X34" s="1565"/>
      <c r="Y34" s="3453"/>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53"/>
      <c r="Q35" s="1570" t="str">
        <f t="shared" si="11"/>
        <v>公共部分装修</v>
      </c>
      <c r="R35" s="1571" t="s">
        <v>8</v>
      </c>
      <c r="S35" s="1572">
        <f t="shared" si="12"/>
        <v>100</v>
      </c>
      <c r="T35" s="1571" t="s">
        <v>8</v>
      </c>
      <c r="U35" s="1572">
        <f t="shared" si="13"/>
        <v>100</v>
      </c>
      <c r="V35" s="1571" t="s">
        <v>8</v>
      </c>
      <c r="W35" s="1572">
        <f t="shared" si="14"/>
        <v>100</v>
      </c>
      <c r="X35" s="1565"/>
      <c r="Y35" s="3453"/>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53"/>
      <c r="Q36" s="1570" t="str">
        <f t="shared" si="11"/>
        <v>成新度</v>
      </c>
      <c r="R36" s="1571" t="s">
        <v>8</v>
      </c>
      <c r="S36" s="1572" t="e">
        <f t="shared" si="12"/>
        <v>#N/A</v>
      </c>
      <c r="T36" s="1571" t="s">
        <v>8</v>
      </c>
      <c r="U36" s="1572" t="e">
        <f t="shared" si="13"/>
        <v>#N/A</v>
      </c>
      <c r="V36" s="1571" t="s">
        <v>8</v>
      </c>
      <c r="W36" s="1572" t="e">
        <f t="shared" si="14"/>
        <v>#N/A</v>
      </c>
      <c r="X36" s="1565"/>
      <c r="Y36" s="3453"/>
      <c r="Z36" s="1573" t="str">
        <f t="shared" si="15"/>
        <v>成新度</v>
      </c>
      <c r="AA36" s="1574" t="e">
        <f t="shared" si="3"/>
        <v>#N/A</v>
      </c>
      <c r="AB36" s="1574" t="e">
        <f t="shared" si="4"/>
        <v>#N/A</v>
      </c>
      <c r="AC36" s="1574" t="e">
        <f t="shared" si="5"/>
        <v>#N/A</v>
      </c>
    </row>
    <row r="37" spans="1:29" s="1218" customFormat="1" ht="15">
      <c r="A37" s="599"/>
      <c r="B37" s="1894"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53"/>
      <c r="Q37" s="1149" t="str">
        <f t="shared" si="11"/>
        <v>市政基础设施</v>
      </c>
      <c r="R37" s="1566" t="s">
        <v>8</v>
      </c>
      <c r="S37" s="1567">
        <f t="shared" si="12"/>
        <v>100</v>
      </c>
      <c r="T37" s="1566" t="s">
        <v>8</v>
      </c>
      <c r="U37" s="1567">
        <f t="shared" si="13"/>
        <v>100</v>
      </c>
      <c r="V37" s="1566" t="s">
        <v>8</v>
      </c>
      <c r="W37" s="1567">
        <f t="shared" si="14"/>
        <v>100</v>
      </c>
      <c r="X37" s="1568"/>
      <c r="Y37" s="3453"/>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53" t="s">
        <v>765</v>
      </c>
      <c r="Q38" s="1570" t="str">
        <f t="shared" si="11"/>
        <v>业态</v>
      </c>
      <c r="R38" s="1571" t="s">
        <v>8</v>
      </c>
      <c r="S38" s="1572">
        <f t="shared" si="12"/>
        <v>100</v>
      </c>
      <c r="T38" s="1571" t="s">
        <v>8</v>
      </c>
      <c r="U38" s="1572">
        <f t="shared" si="13"/>
        <v>100</v>
      </c>
      <c r="V38" s="1571" t="s">
        <v>8</v>
      </c>
      <c r="W38" s="1572">
        <f t="shared" si="14"/>
        <v>100</v>
      </c>
      <c r="X38" s="1565"/>
      <c r="Y38" s="3453"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53"/>
      <c r="Q39" s="1570" t="str">
        <f t="shared" si="11"/>
        <v>层高</v>
      </c>
      <c r="R39" s="1571" t="s">
        <v>8</v>
      </c>
      <c r="S39" s="1572">
        <f t="shared" si="12"/>
        <v>100</v>
      </c>
      <c r="T39" s="1571" t="s">
        <v>8</v>
      </c>
      <c r="U39" s="1572">
        <f t="shared" si="13"/>
        <v>100</v>
      </c>
      <c r="V39" s="1571" t="s">
        <v>8</v>
      </c>
      <c r="W39" s="1572">
        <f t="shared" si="14"/>
        <v>100</v>
      </c>
      <c r="X39" s="1565"/>
      <c r="Y39" s="3453"/>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53"/>
      <c r="Q40" s="1570" t="str">
        <f t="shared" si="11"/>
        <v>单套建筑面积</v>
      </c>
      <c r="R40" s="1571" t="s">
        <v>8</v>
      </c>
      <c r="S40" s="1572">
        <f t="shared" si="12"/>
        <v>100</v>
      </c>
      <c r="T40" s="1571" t="s">
        <v>8</v>
      </c>
      <c r="U40" s="1572">
        <f t="shared" si="13"/>
        <v>100</v>
      </c>
      <c r="V40" s="1571" t="s">
        <v>8</v>
      </c>
      <c r="W40" s="1572">
        <f t="shared" si="14"/>
        <v>100</v>
      </c>
      <c r="X40" s="1565"/>
      <c r="Y40" s="3453"/>
      <c r="Z40" s="1573" t="str">
        <f t="shared" si="15"/>
        <v>单套建筑面积</v>
      </c>
      <c r="AA40" s="1574">
        <f t="shared" si="3"/>
        <v>1</v>
      </c>
      <c r="AB40" s="1574">
        <f t="shared" si="4"/>
        <v>1</v>
      </c>
      <c r="AC40" s="1574">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53"/>
      <c r="Q41" s="1603" t="str">
        <f t="shared" si="11"/>
        <v>进深比</v>
      </c>
      <c r="R41" s="1575" t="s">
        <v>8</v>
      </c>
      <c r="S41" s="1576">
        <f t="shared" si="12"/>
        <v>100</v>
      </c>
      <c r="T41" s="1575" t="s">
        <v>8</v>
      </c>
      <c r="U41" s="1576">
        <f t="shared" si="13"/>
        <v>100</v>
      </c>
      <c r="V41" s="1575" t="s">
        <v>8</v>
      </c>
      <c r="W41" s="1576">
        <f t="shared" si="14"/>
        <v>100</v>
      </c>
      <c r="X41" s="1577"/>
      <c r="Y41" s="3453"/>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53"/>
      <c r="Q42" s="1570" t="str">
        <f t="shared" si="11"/>
        <v>内部装修</v>
      </c>
      <c r="R42" s="1571" t="s">
        <v>8</v>
      </c>
      <c r="S42" s="1572">
        <f t="shared" si="12"/>
        <v>100</v>
      </c>
      <c r="T42" s="1571" t="s">
        <v>8</v>
      </c>
      <c r="U42" s="1572">
        <f t="shared" si="13"/>
        <v>100</v>
      </c>
      <c r="V42" s="1571" t="s">
        <v>8</v>
      </c>
      <c r="W42" s="1572">
        <f t="shared" si="14"/>
        <v>100</v>
      </c>
      <c r="X42" s="1565"/>
      <c r="Y42" s="3453"/>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53"/>
      <c r="Q43" s="1570" t="str">
        <f t="shared" si="11"/>
        <v>内部装修维护情况</v>
      </c>
      <c r="R43" s="1571" t="s">
        <v>8</v>
      </c>
      <c r="S43" s="1572">
        <f t="shared" si="12"/>
        <v>100</v>
      </c>
      <c r="T43" s="1571" t="s">
        <v>8</v>
      </c>
      <c r="U43" s="1572">
        <f t="shared" si="13"/>
        <v>100</v>
      </c>
      <c r="V43" s="1571" t="s">
        <v>8</v>
      </c>
      <c r="W43" s="1572">
        <f t="shared" si="14"/>
        <v>100</v>
      </c>
      <c r="X43" s="1565"/>
      <c r="Y43" s="3453"/>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53"/>
      <c r="Q44" s="1149">
        <f t="shared" si="11"/>
        <v>111</v>
      </c>
      <c r="R44" s="1566" t="s">
        <v>8</v>
      </c>
      <c r="S44" s="1567">
        <f t="shared" si="12"/>
        <v>100</v>
      </c>
      <c r="T44" s="1566" t="s">
        <v>8</v>
      </c>
      <c r="U44" s="1567">
        <f t="shared" si="13"/>
        <v>100</v>
      </c>
      <c r="V44" s="1566" t="s">
        <v>8</v>
      </c>
      <c r="W44" s="1567">
        <f t="shared" si="14"/>
        <v>100</v>
      </c>
      <c r="X44" s="1568"/>
      <c r="Y44" s="3453"/>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53"/>
      <c r="Q45" s="1570">
        <f t="shared" si="11"/>
        <v>111</v>
      </c>
      <c r="R45" s="1571" t="s">
        <v>8</v>
      </c>
      <c r="S45" s="1572">
        <f t="shared" si="12"/>
        <v>100</v>
      </c>
      <c r="T45" s="1571" t="s">
        <v>8</v>
      </c>
      <c r="U45" s="1572">
        <f t="shared" si="13"/>
        <v>100</v>
      </c>
      <c r="V45" s="1571" t="s">
        <v>8</v>
      </c>
      <c r="W45" s="1572">
        <f t="shared" si="14"/>
        <v>100</v>
      </c>
      <c r="X45" s="1565"/>
      <c r="Y45" s="3453"/>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30"/>
      <c r="Q46" s="1570">
        <f t="shared" si="11"/>
        <v>111</v>
      </c>
      <c r="R46" s="1571" t="s">
        <v>8</v>
      </c>
      <c r="S46" s="1572">
        <f t="shared" si="12"/>
        <v>100</v>
      </c>
      <c r="T46" s="1571" t="s">
        <v>8</v>
      </c>
      <c r="U46" s="1572">
        <f t="shared" si="13"/>
        <v>100</v>
      </c>
      <c r="V46" s="1571" t="s">
        <v>8</v>
      </c>
      <c r="W46" s="1572">
        <f t="shared" si="14"/>
        <v>100</v>
      </c>
      <c r="X46" s="1565"/>
      <c r="Y46" s="3530"/>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416" t="str">
        <f>A47</f>
        <v>成交单价（元/平方米）</v>
      </c>
      <c r="Q47" s="3416"/>
      <c r="R47" s="3529">
        <f>E47</f>
        <v>0</v>
      </c>
      <c r="S47" s="3529"/>
      <c r="T47" s="3529">
        <f>G47</f>
        <v>0</v>
      </c>
      <c r="U47" s="3529"/>
      <c r="V47" s="3529">
        <f>I47</f>
        <v>0</v>
      </c>
      <c r="W47" s="3529"/>
      <c r="X47" s="1557"/>
      <c r="Y47" s="1579"/>
      <c r="Z47" s="1557"/>
      <c r="AA47" s="1557"/>
      <c r="AB47" s="1557"/>
      <c r="AC47" s="1557"/>
    </row>
    <row r="48" spans="1:29" ht="15.75" thickBot="1">
      <c r="A48" s="614" t="s">
        <v>2758</v>
      </c>
      <c r="B48" s="887"/>
      <c r="C48" s="2656" t="e">
        <f>R49</f>
        <v>#DIV/0!</v>
      </c>
      <c r="D48" s="2657"/>
      <c r="E48" s="2658" t="e">
        <f>R48</f>
        <v>#DIV/0!</v>
      </c>
      <c r="F48" s="2658"/>
      <c r="G48" s="2656" t="e">
        <f>T48</f>
        <v>#DIV/0!</v>
      </c>
      <c r="H48" s="2657"/>
      <c r="I48" s="2658" t="e">
        <f>V48</f>
        <v>#DIV/0!</v>
      </c>
      <c r="J48" s="2657"/>
      <c r="K48" s="1610"/>
      <c r="L48" s="2143"/>
      <c r="M48" s="2144"/>
      <c r="N48" s="2133"/>
      <c r="O48" s="2144"/>
      <c r="P48" s="3416" t="str">
        <f>A48</f>
        <v>比较价格（元/平方米）</v>
      </c>
      <c r="Q48" s="3416"/>
      <c r="R48" s="3529" t="e">
        <f>IF(F1="售价",ROUND(PRODUCT(R47,AA7:AA46),0),ROUND(PRODUCT(R47,AA7:AA46),1))</f>
        <v>#DIV/0!</v>
      </c>
      <c r="S48" s="3529"/>
      <c r="T48" s="3529" t="e">
        <f>IF(F1="售价",ROUND(PRODUCT(T47,AB7:AB46),0),ROUND(PRODUCT(T47,AB7:AB46),1))</f>
        <v>#DIV/0!</v>
      </c>
      <c r="U48" s="3529"/>
      <c r="V48" s="3529" t="e">
        <f>IF(F1="售价",ROUND(PRODUCT(V47,AC7:AC46),0),ROUND(PRODUCT(V47,AC7:AC46),1))</f>
        <v>#DIV/0!</v>
      </c>
      <c r="W48" s="3529"/>
      <c r="X48" s="1557"/>
      <c r="Y48" s="1557"/>
      <c r="Z48" s="1557"/>
      <c r="AA48" s="1557"/>
      <c r="AB48" s="1557"/>
      <c r="AC48" s="1557"/>
    </row>
    <row r="49" spans="1:29" ht="15.75" thickBot="1">
      <c r="A49" s="620" t="s">
        <v>2932</v>
      </c>
      <c r="B49" s="621"/>
      <c r="C49" s="2659" t="e">
        <f>R49</f>
        <v>#DIV/0!</v>
      </c>
      <c r="D49" s="2659"/>
      <c r="E49" s="2659"/>
      <c r="F49" s="2659"/>
      <c r="G49" s="2659"/>
      <c r="H49" s="2659"/>
      <c r="I49" s="2659"/>
      <c r="J49" s="2659"/>
      <c r="K49" s="1611"/>
      <c r="L49" s="2143"/>
      <c r="M49" s="2144"/>
      <c r="N49" s="2133"/>
      <c r="O49" s="2144"/>
      <c r="P49" s="3413" t="str">
        <f>A49</f>
        <v>估价对象XX用房的比较价格（楼面单价，元/平方米）</v>
      </c>
      <c r="Q49" s="3414"/>
      <c r="R49" s="3528" t="e">
        <f>IF(F1="售价",ROUND(AVERAGE(R48:V48),0),ROUND(AVERAGE(R48:V48),1))</f>
        <v>#DIV/0!</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2220"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776</v>
      </c>
      <c r="C1" s="503" t="s">
        <v>720</v>
      </c>
      <c r="D1" s="848"/>
      <c r="E1" s="505"/>
      <c r="F1" s="2830"/>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422" t="s">
        <v>522</v>
      </c>
      <c r="D4" s="3423"/>
      <c r="E4" s="3456" t="s">
        <v>523</v>
      </c>
      <c r="F4" s="3457"/>
      <c r="G4" s="3422" t="s">
        <v>524</v>
      </c>
      <c r="H4" s="3423"/>
      <c r="I4" s="3422" t="s">
        <v>525</v>
      </c>
      <c r="J4" s="3423"/>
      <c r="K4" s="513" t="s">
        <v>526</v>
      </c>
      <c r="L4" s="2132"/>
      <c r="M4" s="2133"/>
      <c r="N4" s="2133"/>
      <c r="O4" s="2133"/>
      <c r="P4" s="3536" t="s">
        <v>527</v>
      </c>
      <c r="Q4" s="3425"/>
      <c r="R4" s="3430" t="s">
        <v>523</v>
      </c>
      <c r="S4" s="3431"/>
      <c r="T4" s="3430" t="s">
        <v>524</v>
      </c>
      <c r="U4" s="3431"/>
      <c r="V4" s="3417" t="s">
        <v>525</v>
      </c>
      <c r="W4" s="3417"/>
      <c r="X4" s="1565"/>
      <c r="Y4" s="3430" t="s">
        <v>527</v>
      </c>
      <c r="Z4" s="3431"/>
      <c r="AA4" s="3419" t="s">
        <v>523</v>
      </c>
      <c r="AB4" s="3419" t="s">
        <v>524</v>
      </c>
      <c r="AC4" s="3419" t="s">
        <v>525</v>
      </c>
    </row>
    <row r="5" spans="1:29" ht="15">
      <c r="A5" s="514"/>
      <c r="B5" s="515"/>
      <c r="C5" s="3438" t="s">
        <v>2926</v>
      </c>
      <c r="D5" s="3439"/>
      <c r="E5" s="3458" t="s">
        <v>2927</v>
      </c>
      <c r="F5" s="3459"/>
      <c r="G5" s="3438" t="s">
        <v>2928</v>
      </c>
      <c r="H5" s="3439"/>
      <c r="I5" s="3438" t="s">
        <v>2929</v>
      </c>
      <c r="J5" s="3439"/>
      <c r="K5" s="513"/>
      <c r="L5" s="2132"/>
      <c r="M5" s="2133"/>
      <c r="N5" s="2133"/>
      <c r="O5" s="2133"/>
      <c r="P5" s="3537"/>
      <c r="Q5" s="3427"/>
      <c r="R5" s="3432"/>
      <c r="S5" s="3433"/>
      <c r="T5" s="3432"/>
      <c r="U5" s="3433"/>
      <c r="V5" s="3417"/>
      <c r="W5" s="3417"/>
      <c r="X5" s="1565"/>
      <c r="Y5" s="3432"/>
      <c r="Z5" s="3433"/>
      <c r="AA5" s="3420"/>
      <c r="AB5" s="3420"/>
      <c r="AC5" s="3420"/>
    </row>
    <row r="6" spans="1:29" ht="15.75" thickBot="1">
      <c r="A6" s="516"/>
      <c r="B6" s="517"/>
      <c r="C6" s="3436" t="s">
        <v>2930</v>
      </c>
      <c r="D6" s="3437"/>
      <c r="E6" s="3454" t="s">
        <v>2930</v>
      </c>
      <c r="F6" s="3455"/>
      <c r="G6" s="3436" t="s">
        <v>2930</v>
      </c>
      <c r="H6" s="3437"/>
      <c r="I6" s="3436" t="s">
        <v>2930</v>
      </c>
      <c r="J6" s="3437"/>
      <c r="K6" s="513" t="s">
        <v>528</v>
      </c>
      <c r="L6" s="2132"/>
      <c r="M6" s="2133"/>
      <c r="N6" s="2133"/>
      <c r="O6" s="2133"/>
      <c r="P6" s="3538"/>
      <c r="Q6" s="3429"/>
      <c r="R6" s="3432"/>
      <c r="S6" s="3433"/>
      <c r="T6" s="3434"/>
      <c r="U6" s="3435"/>
      <c r="V6" s="3417"/>
      <c r="W6" s="3417"/>
      <c r="X6" s="1565"/>
      <c r="Y6" s="3434"/>
      <c r="Z6" s="3435"/>
      <c r="AA6" s="3421"/>
      <c r="AB6" s="3421"/>
      <c r="AC6" s="3421"/>
    </row>
    <row r="7" spans="1:29" s="1218" customFormat="1" ht="15.75" thickBot="1">
      <c r="A7" s="2935"/>
      <c r="B7" s="2942" t="s">
        <v>529</v>
      </c>
      <c r="C7" s="518">
        <f>'数据-取费表'!B2</f>
        <v>43224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49"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49" t="s">
        <v>533</v>
      </c>
      <c r="Q8" s="3448"/>
      <c r="R8" s="1566" t="s">
        <v>8</v>
      </c>
      <c r="S8" s="1567">
        <f t="shared" si="0"/>
        <v>0</v>
      </c>
      <c r="T8" s="1566" t="s">
        <v>8</v>
      </c>
      <c r="U8" s="1567">
        <f t="shared" si="1"/>
        <v>0</v>
      </c>
      <c r="V8" s="1566" t="s">
        <v>8</v>
      </c>
      <c r="W8" s="1567">
        <f t="shared" si="2"/>
        <v>0</v>
      </c>
      <c r="X8" s="1568"/>
      <c r="Y8" s="3447" t="s">
        <v>533</v>
      </c>
      <c r="Z8" s="3448"/>
      <c r="AA8" s="1569" t="e">
        <f t="shared" ref="AA8:AA47" si="3">D8/F8</f>
        <v>#DIV/0!</v>
      </c>
      <c r="AB8" s="1569" t="e">
        <f t="shared" ref="AB8:AB47" si="4">D8/H8</f>
        <v>#DIV/0!</v>
      </c>
      <c r="AC8" s="1569" t="e">
        <f t="shared" ref="AC8:AC47" si="5">D8/J8</f>
        <v>#DIV/0!</v>
      </c>
    </row>
    <row r="9" spans="1:29" s="1218" customFormat="1" ht="15">
      <c r="A9" s="2937"/>
      <c r="B9" s="2944" t="s">
        <v>2754</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71.25">
      <c r="A15" s="293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50" t="s">
        <v>540</v>
      </c>
      <c r="Q15" s="1570" t="str">
        <f t="shared" si="6"/>
        <v>办公集聚程度</v>
      </c>
      <c r="R15" s="1571" t="s">
        <v>8</v>
      </c>
      <c r="S15" s="1572">
        <f t="shared" si="0"/>
        <v>100</v>
      </c>
      <c r="T15" s="1571" t="s">
        <v>8</v>
      </c>
      <c r="U15" s="1572">
        <f t="shared" si="1"/>
        <v>100</v>
      </c>
      <c r="V15" s="1571" t="s">
        <v>8</v>
      </c>
      <c r="W15" s="1572">
        <f t="shared" si="2"/>
        <v>100</v>
      </c>
      <c r="X15" s="1565"/>
      <c r="Y15" s="3450"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451"/>
      <c r="Q16" s="1570"/>
      <c r="R16" s="1571"/>
      <c r="S16" s="1572"/>
      <c r="T16" s="1571"/>
      <c r="U16" s="1572"/>
      <c r="V16" s="1571"/>
      <c r="W16" s="1572"/>
      <c r="X16" s="1565"/>
      <c r="Y16" s="3451"/>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451"/>
      <c r="Q18" s="1570"/>
      <c r="R18" s="1571"/>
      <c r="S18" s="1572"/>
      <c r="T18" s="1571"/>
      <c r="U18" s="1572"/>
      <c r="V18" s="1571"/>
      <c r="W18" s="1572"/>
      <c r="X18" s="1565"/>
      <c r="Y18" s="3451"/>
      <c r="Z18" s="1573"/>
      <c r="AA18" s="1574">
        <v>1</v>
      </c>
      <c r="AB18" s="1574">
        <v>1</v>
      </c>
      <c r="AC18" s="1574">
        <v>1</v>
      </c>
    </row>
    <row r="19" spans="1:29" ht="42.75">
      <c r="A19" s="531"/>
      <c r="B19" s="262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451"/>
      <c r="Q20" s="1570"/>
      <c r="R20" s="1571"/>
      <c r="S20" s="1572"/>
      <c r="T20" s="1571"/>
      <c r="U20" s="1572"/>
      <c r="V20" s="1571"/>
      <c r="W20" s="1572"/>
      <c r="X20" s="1565"/>
      <c r="Y20" s="3451"/>
      <c r="Z20" s="1573"/>
      <c r="AA20" s="1574">
        <v>1</v>
      </c>
      <c r="AB20" s="1574">
        <v>1</v>
      </c>
      <c r="AC20" s="1574">
        <v>1</v>
      </c>
    </row>
    <row r="21" spans="1:29" ht="28.5">
      <c r="A21" s="531"/>
      <c r="B21" s="261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51"/>
      <c r="Q22" s="2602"/>
      <c r="R22" s="1571"/>
      <c r="S22" s="1572"/>
      <c r="T22" s="1571"/>
      <c r="U22" s="1572"/>
      <c r="V22" s="1571"/>
      <c r="W22" s="1572"/>
      <c r="X22" s="2604"/>
      <c r="Y22" s="3451"/>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451"/>
      <c r="Q24" s="1570"/>
      <c r="R24" s="1571"/>
      <c r="S24" s="1572"/>
      <c r="T24" s="1571"/>
      <c r="U24" s="1572"/>
      <c r="V24" s="1571"/>
      <c r="W24" s="1572"/>
      <c r="X24" s="1565"/>
      <c r="Y24" s="3451"/>
      <c r="Z24" s="1573"/>
      <c r="AA24" s="1574">
        <v>1</v>
      </c>
      <c r="AB24" s="1574">
        <v>1</v>
      </c>
      <c r="AC24" s="1574">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51"/>
      <c r="Q25" s="1570" t="str">
        <f>B25</f>
        <v>毗邻道路的类型与等级</v>
      </c>
      <c r="R25" s="1571" t="s">
        <v>8</v>
      </c>
      <c r="S25" s="1572">
        <f>F25</f>
        <v>100</v>
      </c>
      <c r="T25" s="1571" t="s">
        <v>8</v>
      </c>
      <c r="U25" s="1572">
        <f>H25</f>
        <v>100</v>
      </c>
      <c r="V25" s="1571" t="s">
        <v>8</v>
      </c>
      <c r="W25" s="1572">
        <f>J25</f>
        <v>100</v>
      </c>
      <c r="X25" s="1565"/>
      <c r="Y25" s="345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451"/>
      <c r="Q26" s="1570"/>
      <c r="R26" s="1571"/>
      <c r="S26" s="1572"/>
      <c r="T26" s="1571"/>
      <c r="U26" s="1572"/>
      <c r="V26" s="1571"/>
      <c r="W26" s="1572"/>
      <c r="X26" s="1565"/>
      <c r="Y26" s="3451"/>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51"/>
      <c r="Q27" s="1570" t="str">
        <f t="shared" ref="Q27:Q47" si="11">B27</f>
        <v>楼层</v>
      </c>
      <c r="R27" s="1571" t="s">
        <v>8</v>
      </c>
      <c r="S27" s="1572">
        <f>F27</f>
        <v>100</v>
      </c>
      <c r="T27" s="1571" t="s">
        <v>8</v>
      </c>
      <c r="U27" s="1572">
        <f>H27</f>
        <v>100</v>
      </c>
      <c r="V27" s="1571" t="s">
        <v>8</v>
      </c>
      <c r="W27" s="1572">
        <f>J27</f>
        <v>100</v>
      </c>
      <c r="X27" s="1565"/>
      <c r="Y27" s="3451"/>
      <c r="Z27" s="1573" t="str">
        <f>Q27</f>
        <v>楼层</v>
      </c>
      <c r="AA27" s="1574">
        <f t="shared" si="3"/>
        <v>1</v>
      </c>
      <c r="AB27" s="1574">
        <f t="shared" si="4"/>
        <v>1</v>
      </c>
      <c r="AC27" s="1574">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51"/>
      <c r="Q28" s="1149" t="str">
        <f t="shared" si="11"/>
        <v>朝向</v>
      </c>
      <c r="R28" s="1566" t="s">
        <v>8</v>
      </c>
      <c r="S28" s="1567">
        <f>F28</f>
        <v>100</v>
      </c>
      <c r="T28" s="1566" t="s">
        <v>8</v>
      </c>
      <c r="U28" s="1567">
        <f>H28</f>
        <v>100</v>
      </c>
      <c r="V28" s="1566" t="s">
        <v>8</v>
      </c>
      <c r="W28" s="1567">
        <f>J28</f>
        <v>100</v>
      </c>
      <c r="X28" s="1568"/>
      <c r="Y28" s="3451"/>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51"/>
      <c r="Q29" s="1570">
        <f t="shared" si="11"/>
        <v>111</v>
      </c>
      <c r="R29" s="1571" t="s">
        <v>8</v>
      </c>
      <c r="S29" s="1572">
        <f t="shared" ref="S29:S47" si="12">F29</f>
        <v>100</v>
      </c>
      <c r="T29" s="1571" t="s">
        <v>8</v>
      </c>
      <c r="U29" s="1572">
        <f t="shared" ref="U29:U47" si="13">H29</f>
        <v>100</v>
      </c>
      <c r="V29" s="1571" t="s">
        <v>8</v>
      </c>
      <c r="W29" s="1572">
        <f t="shared" ref="W29:W47" si="14">J29</f>
        <v>100</v>
      </c>
      <c r="X29" s="1565"/>
      <c r="Y29" s="3451"/>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51"/>
      <c r="Q30" s="1570">
        <f t="shared" si="11"/>
        <v>111</v>
      </c>
      <c r="R30" s="1571" t="s">
        <v>8</v>
      </c>
      <c r="S30" s="1572">
        <f t="shared" si="12"/>
        <v>100</v>
      </c>
      <c r="T30" s="1571" t="s">
        <v>8</v>
      </c>
      <c r="U30" s="1572">
        <f t="shared" si="13"/>
        <v>100</v>
      </c>
      <c r="V30" s="1571" t="s">
        <v>8</v>
      </c>
      <c r="W30" s="1572">
        <f t="shared" si="14"/>
        <v>100</v>
      </c>
      <c r="X30" s="1565"/>
      <c r="Y30" s="3451"/>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51"/>
      <c r="Q31" s="1570">
        <f t="shared" si="11"/>
        <v>111</v>
      </c>
      <c r="R31" s="1571" t="s">
        <v>8</v>
      </c>
      <c r="S31" s="1572">
        <f t="shared" si="12"/>
        <v>100</v>
      </c>
      <c r="T31" s="1571" t="s">
        <v>8</v>
      </c>
      <c r="U31" s="1572">
        <f t="shared" si="13"/>
        <v>100</v>
      </c>
      <c r="V31" s="1571" t="s">
        <v>8</v>
      </c>
      <c r="W31" s="1572">
        <f t="shared" si="14"/>
        <v>100</v>
      </c>
      <c r="X31" s="1565"/>
      <c r="Y31" s="3451"/>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51"/>
      <c r="Q32" s="1570">
        <f t="shared" si="11"/>
        <v>111</v>
      </c>
      <c r="R32" s="1571" t="s">
        <v>8</v>
      </c>
      <c r="S32" s="1572">
        <f t="shared" si="12"/>
        <v>100</v>
      </c>
      <c r="T32" s="1571" t="s">
        <v>8</v>
      </c>
      <c r="U32" s="1572">
        <f t="shared" si="13"/>
        <v>100</v>
      </c>
      <c r="V32" s="1571" t="s">
        <v>8</v>
      </c>
      <c r="W32" s="1572">
        <f t="shared" si="14"/>
        <v>100</v>
      </c>
      <c r="X32" s="1565"/>
      <c r="Y32" s="3451"/>
      <c r="Z32" s="1573">
        <f t="shared" si="15"/>
        <v>111</v>
      </c>
      <c r="AA32" s="1574">
        <f t="shared" si="3"/>
        <v>1</v>
      </c>
      <c r="AB32" s="1574">
        <f t="shared" si="4"/>
        <v>1</v>
      </c>
      <c r="AC32" s="1574">
        <f t="shared" si="5"/>
        <v>1</v>
      </c>
    </row>
    <row r="33" spans="1:29" ht="15">
      <c r="A33" s="2930"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52" t="s">
        <v>550</v>
      </c>
      <c r="Q33" s="1570" t="str">
        <f t="shared" si="11"/>
        <v>建筑类型</v>
      </c>
      <c r="R33" s="1571" t="s">
        <v>8</v>
      </c>
      <c r="S33" s="1572">
        <f t="shared" si="12"/>
        <v>100</v>
      </c>
      <c r="T33" s="1571" t="s">
        <v>8</v>
      </c>
      <c r="U33" s="1572">
        <f t="shared" si="13"/>
        <v>100</v>
      </c>
      <c r="V33" s="1571" t="s">
        <v>8</v>
      </c>
      <c r="W33" s="1572">
        <f t="shared" si="14"/>
        <v>100</v>
      </c>
      <c r="X33" s="1565"/>
      <c r="Y33" s="3453" t="s">
        <v>550</v>
      </c>
      <c r="Z33" s="1573" t="str">
        <f t="shared" si="15"/>
        <v>建筑类型</v>
      </c>
      <c r="AA33" s="1574">
        <f t="shared" si="3"/>
        <v>1</v>
      </c>
      <c r="AB33" s="1574">
        <f t="shared" si="4"/>
        <v>1</v>
      </c>
      <c r="AC33" s="1574">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53"/>
      <c r="Q34" s="1603" t="str">
        <f t="shared" si="11"/>
        <v>项目建筑规模</v>
      </c>
      <c r="R34" s="1575" t="s">
        <v>8</v>
      </c>
      <c r="S34" s="1576" t="e">
        <f t="shared" si="12"/>
        <v>#N/A</v>
      </c>
      <c r="T34" s="1575" t="s">
        <v>8</v>
      </c>
      <c r="U34" s="1576" t="e">
        <f t="shared" si="13"/>
        <v>#N/A</v>
      </c>
      <c r="V34" s="1575" t="s">
        <v>8</v>
      </c>
      <c r="W34" s="1576" t="e">
        <f t="shared" si="14"/>
        <v>#N/A</v>
      </c>
      <c r="X34" s="1577"/>
      <c r="Y34" s="3453"/>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53"/>
      <c r="Q35" s="1570" t="str">
        <f t="shared" si="11"/>
        <v>建筑结构</v>
      </c>
      <c r="R35" s="1571" t="s">
        <v>8</v>
      </c>
      <c r="S35" s="1572">
        <f t="shared" si="12"/>
        <v>100</v>
      </c>
      <c r="T35" s="1571" t="s">
        <v>8</v>
      </c>
      <c r="U35" s="1572">
        <f t="shared" si="13"/>
        <v>100</v>
      </c>
      <c r="V35" s="1571" t="s">
        <v>8</v>
      </c>
      <c r="W35" s="1572">
        <f t="shared" si="14"/>
        <v>100</v>
      </c>
      <c r="X35" s="1565"/>
      <c r="Y35" s="3453"/>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53"/>
      <c r="Q36" s="1570" t="str">
        <f t="shared" si="11"/>
        <v>公共部分装修</v>
      </c>
      <c r="R36" s="1571" t="s">
        <v>8</v>
      </c>
      <c r="S36" s="1572">
        <f t="shared" si="12"/>
        <v>100</v>
      </c>
      <c r="T36" s="1571" t="s">
        <v>8</v>
      </c>
      <c r="U36" s="1572">
        <f t="shared" si="13"/>
        <v>100</v>
      </c>
      <c r="V36" s="1571" t="s">
        <v>8</v>
      </c>
      <c r="W36" s="1572">
        <f t="shared" si="14"/>
        <v>100</v>
      </c>
      <c r="X36" s="1565"/>
      <c r="Y36" s="3453"/>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53"/>
      <c r="Q37" s="1570" t="str">
        <f t="shared" si="11"/>
        <v>成新度</v>
      </c>
      <c r="R37" s="1571" t="s">
        <v>8</v>
      </c>
      <c r="S37" s="1572" t="e">
        <f t="shared" si="12"/>
        <v>#N/A</v>
      </c>
      <c r="T37" s="1571" t="s">
        <v>8</v>
      </c>
      <c r="U37" s="1572" t="e">
        <f t="shared" si="13"/>
        <v>#N/A</v>
      </c>
      <c r="V37" s="1571" t="s">
        <v>8</v>
      </c>
      <c r="W37" s="1572" t="e">
        <f t="shared" si="14"/>
        <v>#N/A</v>
      </c>
      <c r="X37" s="1565"/>
      <c r="Y37" s="3453"/>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53"/>
      <c r="Q38" s="1149" t="str">
        <f t="shared" si="11"/>
        <v>写字楼等级</v>
      </c>
      <c r="R38" s="1566" t="s">
        <v>8</v>
      </c>
      <c r="S38" s="1567">
        <f t="shared" si="12"/>
        <v>100</v>
      </c>
      <c r="T38" s="1566" t="s">
        <v>8</v>
      </c>
      <c r="U38" s="1567">
        <f t="shared" si="13"/>
        <v>100</v>
      </c>
      <c r="V38" s="1566" t="s">
        <v>8</v>
      </c>
      <c r="W38" s="1567">
        <f t="shared" si="14"/>
        <v>100</v>
      </c>
      <c r="X38" s="1568"/>
      <c r="Y38" s="3453"/>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53" t="s">
        <v>550</v>
      </c>
      <c r="Q39" s="1570" t="str">
        <f t="shared" si="11"/>
        <v>物业管理</v>
      </c>
      <c r="R39" s="1571" t="s">
        <v>8</v>
      </c>
      <c r="S39" s="1572">
        <f t="shared" si="12"/>
        <v>100</v>
      </c>
      <c r="T39" s="1571" t="s">
        <v>8</v>
      </c>
      <c r="U39" s="1572">
        <f t="shared" si="13"/>
        <v>100</v>
      </c>
      <c r="V39" s="1571" t="s">
        <v>8</v>
      </c>
      <c r="W39" s="1572">
        <f t="shared" si="14"/>
        <v>100</v>
      </c>
      <c r="X39" s="1565"/>
      <c r="Y39" s="3453" t="s">
        <v>550</v>
      </c>
      <c r="Z39" s="1573" t="str">
        <f t="shared" si="15"/>
        <v>物业管理</v>
      </c>
      <c r="AA39" s="1574">
        <f t="shared" si="3"/>
        <v>1</v>
      </c>
      <c r="AB39" s="1574">
        <f t="shared" si="4"/>
        <v>1</v>
      </c>
      <c r="AC39" s="1574">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53"/>
      <c r="Q40" s="1570" t="str">
        <f t="shared" si="11"/>
        <v>市政基础设施</v>
      </c>
      <c r="R40" s="1571" t="s">
        <v>8</v>
      </c>
      <c r="S40" s="1572">
        <f t="shared" si="12"/>
        <v>100</v>
      </c>
      <c r="T40" s="1571" t="s">
        <v>8</v>
      </c>
      <c r="U40" s="1572">
        <f t="shared" si="13"/>
        <v>100</v>
      </c>
      <c r="V40" s="1571" t="s">
        <v>8</v>
      </c>
      <c r="W40" s="1572">
        <f t="shared" si="14"/>
        <v>100</v>
      </c>
      <c r="X40" s="1565"/>
      <c r="Y40" s="3453"/>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53"/>
      <c r="Q41" s="1570" t="str">
        <f t="shared" si="11"/>
        <v>层高</v>
      </c>
      <c r="R41" s="1571" t="s">
        <v>8</v>
      </c>
      <c r="S41" s="1572">
        <f t="shared" si="12"/>
        <v>100</v>
      </c>
      <c r="T41" s="1571" t="s">
        <v>8</v>
      </c>
      <c r="U41" s="1572">
        <f t="shared" si="13"/>
        <v>100</v>
      </c>
      <c r="V41" s="1571" t="s">
        <v>8</v>
      </c>
      <c r="W41" s="1572">
        <f t="shared" si="14"/>
        <v>100</v>
      </c>
      <c r="X41" s="1565"/>
      <c r="Y41" s="3453"/>
      <c r="Z41" s="1573" t="str">
        <f t="shared" si="15"/>
        <v>层高</v>
      </c>
      <c r="AA41" s="1574">
        <f t="shared" si="3"/>
        <v>1</v>
      </c>
      <c r="AB41" s="1574">
        <f t="shared" si="4"/>
        <v>1</v>
      </c>
      <c r="AC41" s="1574">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53"/>
      <c r="Q42" s="1603" t="str">
        <f t="shared" si="11"/>
        <v>单套建筑面积</v>
      </c>
      <c r="R42" s="1575" t="s">
        <v>8</v>
      </c>
      <c r="S42" s="1576">
        <f t="shared" si="12"/>
        <v>100</v>
      </c>
      <c r="T42" s="1575" t="s">
        <v>8</v>
      </c>
      <c r="U42" s="1576">
        <f t="shared" si="13"/>
        <v>100</v>
      </c>
      <c r="V42" s="1575" t="s">
        <v>8</v>
      </c>
      <c r="W42" s="1576">
        <f t="shared" si="14"/>
        <v>100</v>
      </c>
      <c r="X42" s="1577"/>
      <c r="Y42" s="3453"/>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53"/>
      <c r="Q43" s="1570" t="str">
        <f t="shared" si="11"/>
        <v>内部装修</v>
      </c>
      <c r="R43" s="1571" t="s">
        <v>8</v>
      </c>
      <c r="S43" s="1572">
        <f t="shared" si="12"/>
        <v>100</v>
      </c>
      <c r="T43" s="1571" t="s">
        <v>8</v>
      </c>
      <c r="U43" s="1572">
        <f t="shared" si="13"/>
        <v>100</v>
      </c>
      <c r="V43" s="1571" t="s">
        <v>8</v>
      </c>
      <c r="W43" s="1572">
        <f t="shared" si="14"/>
        <v>100</v>
      </c>
      <c r="X43" s="1565"/>
      <c r="Y43" s="3453"/>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53"/>
      <c r="Q44" s="1570" t="str">
        <f t="shared" si="11"/>
        <v>内部装修维护情况</v>
      </c>
      <c r="R44" s="1571" t="s">
        <v>8</v>
      </c>
      <c r="S44" s="1572">
        <f t="shared" si="12"/>
        <v>100</v>
      </c>
      <c r="T44" s="1571" t="s">
        <v>8</v>
      </c>
      <c r="U44" s="1572">
        <f t="shared" si="13"/>
        <v>100</v>
      </c>
      <c r="V44" s="1571" t="s">
        <v>8</v>
      </c>
      <c r="W44" s="1572">
        <f t="shared" si="14"/>
        <v>100</v>
      </c>
      <c r="X44" s="1565"/>
      <c r="Y44" s="3453"/>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53"/>
      <c r="Q45" s="1149">
        <f t="shared" si="11"/>
        <v>111</v>
      </c>
      <c r="R45" s="1566" t="s">
        <v>8</v>
      </c>
      <c r="S45" s="1567">
        <f t="shared" si="12"/>
        <v>100</v>
      </c>
      <c r="T45" s="1566" t="s">
        <v>8</v>
      </c>
      <c r="U45" s="1567">
        <f t="shared" si="13"/>
        <v>100</v>
      </c>
      <c r="V45" s="1566" t="s">
        <v>8</v>
      </c>
      <c r="W45" s="1567">
        <f t="shared" si="14"/>
        <v>100</v>
      </c>
      <c r="X45" s="1568"/>
      <c r="Y45" s="3453"/>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53"/>
      <c r="Q46" s="1570">
        <f t="shared" si="11"/>
        <v>111</v>
      </c>
      <c r="R46" s="1571" t="s">
        <v>8</v>
      </c>
      <c r="S46" s="1572">
        <f t="shared" si="12"/>
        <v>100</v>
      </c>
      <c r="T46" s="1571" t="s">
        <v>8</v>
      </c>
      <c r="U46" s="1572">
        <f t="shared" si="13"/>
        <v>100</v>
      </c>
      <c r="V46" s="1571" t="s">
        <v>8</v>
      </c>
      <c r="W46" s="1572">
        <f t="shared" si="14"/>
        <v>100</v>
      </c>
      <c r="X46" s="1565"/>
      <c r="Y46" s="3453"/>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30"/>
      <c r="Q47" s="1570">
        <f t="shared" si="11"/>
        <v>111</v>
      </c>
      <c r="R47" s="1571" t="s">
        <v>8</v>
      </c>
      <c r="S47" s="1572">
        <f t="shared" si="12"/>
        <v>100</v>
      </c>
      <c r="T47" s="1571" t="s">
        <v>8</v>
      </c>
      <c r="U47" s="1572">
        <f t="shared" si="13"/>
        <v>100</v>
      </c>
      <c r="V47" s="1571" t="s">
        <v>8</v>
      </c>
      <c r="W47" s="1572">
        <f t="shared" si="14"/>
        <v>100</v>
      </c>
      <c r="X47" s="1565"/>
      <c r="Y47" s="3530"/>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414" t="str">
        <f>A48</f>
        <v>成交单价（元/平方米）</v>
      </c>
      <c r="Q48" s="3416"/>
      <c r="R48" s="3529">
        <f>E48</f>
        <v>0</v>
      </c>
      <c r="S48" s="3529"/>
      <c r="T48" s="3529">
        <f>G48</f>
        <v>0</v>
      </c>
      <c r="U48" s="3529"/>
      <c r="V48" s="3529">
        <f>I48</f>
        <v>0</v>
      </c>
      <c r="W48" s="3529"/>
      <c r="X48" s="1557"/>
      <c r="Y48" s="1579"/>
      <c r="Z48" s="1557"/>
      <c r="AA48" s="1557"/>
      <c r="AB48" s="1557"/>
      <c r="AC48" s="1557"/>
    </row>
    <row r="49" spans="1:29" ht="15.75" thickBot="1">
      <c r="A49" s="614" t="s">
        <v>2758</v>
      </c>
      <c r="B49" s="887"/>
      <c r="C49" s="2656" t="e">
        <f>R50</f>
        <v>#DIV/0!</v>
      </c>
      <c r="D49" s="2657"/>
      <c r="E49" s="2658" t="e">
        <f>R49</f>
        <v>#DIV/0!</v>
      </c>
      <c r="F49" s="2658"/>
      <c r="G49" s="2656" t="e">
        <f>T49</f>
        <v>#DIV/0!</v>
      </c>
      <c r="H49" s="2657"/>
      <c r="I49" s="2658" t="e">
        <f>V49</f>
        <v>#DIV/0!</v>
      </c>
      <c r="J49" s="2657"/>
      <c r="K49" s="1610"/>
      <c r="L49" s="2143"/>
      <c r="M49" s="2133"/>
      <c r="N49" s="2133"/>
      <c r="O49" s="2133"/>
      <c r="P49" s="3414" t="str">
        <f>A49</f>
        <v>比较价格（元/平方米）</v>
      </c>
      <c r="Q49" s="3416"/>
      <c r="R49" s="3529" t="e">
        <f>IF(F1="售价",ROUND(PRODUCT(R48,AA7:AA47),0),ROUND(PRODUCT(R48,AA7:AA47),1))</f>
        <v>#DIV/0!</v>
      </c>
      <c r="S49" s="3529"/>
      <c r="T49" s="3529" t="e">
        <f>IF(F1="售价",ROUND(PRODUCT(T48,AB7:AB47),0),ROUND(PRODUCT(T48,AB7:AB47),1))</f>
        <v>#DIV/0!</v>
      </c>
      <c r="U49" s="3529"/>
      <c r="V49" s="3529" t="e">
        <f>IF(F1="售价",ROUND(PRODUCT(V48,AC7:AC47),0),ROUND(PRODUCT(V48,AC7:AC47),1))</f>
        <v>#DIV/0!</v>
      </c>
      <c r="W49" s="3529"/>
      <c r="X49" s="1557"/>
      <c r="Y49" s="1557"/>
      <c r="Z49" s="1557"/>
      <c r="AA49" s="1557"/>
      <c r="AB49" s="1557"/>
      <c r="AC49" s="1557"/>
    </row>
    <row r="50" spans="1:29" ht="15.75" thickBot="1">
      <c r="A50" s="620" t="s">
        <v>2932</v>
      </c>
      <c r="B50" s="621"/>
      <c r="C50" s="2659" t="e">
        <f>R50</f>
        <v>#DIV/0!</v>
      </c>
      <c r="D50" s="2659"/>
      <c r="E50" s="2659"/>
      <c r="F50" s="2659"/>
      <c r="G50" s="2659"/>
      <c r="H50" s="2659"/>
      <c r="I50" s="2659"/>
      <c r="J50" s="2659"/>
      <c r="K50" s="1611"/>
      <c r="L50" s="2143"/>
      <c r="M50" s="2133"/>
      <c r="N50" s="2133"/>
      <c r="O50" s="2133"/>
      <c r="P50" s="3535" t="str">
        <f>A50</f>
        <v>估价对象XX用房的比较价格（楼面单价，元/平方米）</v>
      </c>
      <c r="Q50" s="3414"/>
      <c r="R50" s="3528" t="e">
        <f>IF(F1="售价",ROUND(AVERAGE(R49:V49),0),ROUND(AVERAGE(R49:V49),1))</f>
        <v>#DIV/0!</v>
      </c>
      <c r="S50" s="3528"/>
      <c r="T50" s="3528"/>
      <c r="U50" s="3528"/>
      <c r="V50" s="3528"/>
      <c r="W50" s="3528"/>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2557</v>
      </c>
      <c r="C83" s="2621" t="s">
        <v>2558</v>
      </c>
      <c r="D83" s="2621" t="s">
        <v>2559</v>
      </c>
      <c r="E83" s="2621" t="s">
        <v>2560</v>
      </c>
      <c r="F83" s="2621" t="s">
        <v>2561</v>
      </c>
      <c r="G83" s="2621" t="s">
        <v>2562</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787</v>
      </c>
      <c r="C1" s="503" t="s">
        <v>720</v>
      </c>
      <c r="D1" s="848"/>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422" t="s">
        <v>522</v>
      </c>
      <c r="D4" s="3423"/>
      <c r="E4" s="3456" t="s">
        <v>523</v>
      </c>
      <c r="F4" s="3457"/>
      <c r="G4" s="3422" t="s">
        <v>524</v>
      </c>
      <c r="H4" s="3423"/>
      <c r="I4" s="3422" t="s">
        <v>525</v>
      </c>
      <c r="J4" s="3423"/>
      <c r="K4" s="513" t="s">
        <v>526</v>
      </c>
      <c r="L4" s="2132"/>
      <c r="M4" s="2133"/>
      <c r="N4" s="2133"/>
      <c r="O4" s="2133"/>
      <c r="P4" s="3424" t="s">
        <v>527</v>
      </c>
      <c r="Q4" s="3425"/>
      <c r="R4" s="3430" t="s">
        <v>523</v>
      </c>
      <c r="S4" s="3431"/>
      <c r="T4" s="3430" t="s">
        <v>524</v>
      </c>
      <c r="U4" s="3431"/>
      <c r="V4" s="3417" t="s">
        <v>525</v>
      </c>
      <c r="W4" s="3417"/>
      <c r="X4" s="1565"/>
      <c r="Y4" s="3430" t="s">
        <v>527</v>
      </c>
      <c r="Z4" s="3431"/>
      <c r="AA4" s="3419" t="s">
        <v>523</v>
      </c>
      <c r="AB4" s="3420" t="s">
        <v>524</v>
      </c>
      <c r="AC4" s="3419" t="s">
        <v>525</v>
      </c>
    </row>
    <row r="5" spans="1:29" ht="15">
      <c r="A5" s="514"/>
      <c r="B5" s="515"/>
      <c r="C5" s="3438" t="s">
        <v>2926</v>
      </c>
      <c r="D5" s="3439"/>
      <c r="E5" s="3458" t="s">
        <v>2927</v>
      </c>
      <c r="F5" s="3459"/>
      <c r="G5" s="3438" t="s">
        <v>2928</v>
      </c>
      <c r="H5" s="3439"/>
      <c r="I5" s="3438" t="s">
        <v>2929</v>
      </c>
      <c r="J5" s="3439"/>
      <c r="K5" s="513"/>
      <c r="L5" s="2132"/>
      <c r="M5" s="2133"/>
      <c r="N5" s="2133"/>
      <c r="O5" s="2133"/>
      <c r="P5" s="3426"/>
      <c r="Q5" s="3427"/>
      <c r="R5" s="3432"/>
      <c r="S5" s="3433"/>
      <c r="T5" s="3432"/>
      <c r="U5" s="3433"/>
      <c r="V5" s="3417"/>
      <c r="W5" s="3417"/>
      <c r="X5" s="1565"/>
      <c r="Y5" s="3432"/>
      <c r="Z5" s="3433"/>
      <c r="AA5" s="3420"/>
      <c r="AB5" s="3420"/>
      <c r="AC5" s="3420"/>
    </row>
    <row r="6" spans="1:29" ht="15.75" thickBot="1">
      <c r="A6" s="516"/>
      <c r="B6" s="517"/>
      <c r="C6" s="3436" t="s">
        <v>2930</v>
      </c>
      <c r="D6" s="3437"/>
      <c r="E6" s="3454" t="s">
        <v>2930</v>
      </c>
      <c r="F6" s="3455"/>
      <c r="G6" s="3436" t="s">
        <v>2930</v>
      </c>
      <c r="H6" s="3437"/>
      <c r="I6" s="3436" t="s">
        <v>2930</v>
      </c>
      <c r="J6" s="3437"/>
      <c r="K6" s="513" t="s">
        <v>528</v>
      </c>
      <c r="L6" s="2132"/>
      <c r="M6" s="2133"/>
      <c r="N6" s="2133"/>
      <c r="O6" s="2133"/>
      <c r="P6" s="3428"/>
      <c r="Q6" s="3429"/>
      <c r="R6" s="3432"/>
      <c r="S6" s="3433"/>
      <c r="T6" s="3434"/>
      <c r="U6" s="3435"/>
      <c r="V6" s="3417"/>
      <c r="W6" s="3417"/>
      <c r="X6" s="1565"/>
      <c r="Y6" s="3434"/>
      <c r="Z6" s="3435"/>
      <c r="AA6" s="3421"/>
      <c r="AB6" s="3421"/>
      <c r="AC6" s="3421"/>
    </row>
    <row r="7" spans="1:29" s="1218" customFormat="1" ht="15.75" thickBot="1">
      <c r="A7" s="2935"/>
      <c r="B7" s="2942" t="s">
        <v>529</v>
      </c>
      <c r="C7" s="518">
        <f>'数据-取费表'!B2</f>
        <v>43224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47" t="s">
        <v>530</v>
      </c>
      <c r="Q7" s="3449"/>
      <c r="R7" s="1566" t="s">
        <v>8</v>
      </c>
      <c r="S7" s="1567">
        <f t="shared" ref="S7:S15" si="0">F7</f>
        <v>0</v>
      </c>
      <c r="T7" s="1566" t="s">
        <v>8</v>
      </c>
      <c r="U7" s="1567">
        <f t="shared" ref="U7:U15" si="1">H7</f>
        <v>0</v>
      </c>
      <c r="V7" s="1566" t="s">
        <v>8</v>
      </c>
      <c r="W7" s="1567">
        <f t="shared" ref="W7:W15" si="2">J7</f>
        <v>0</v>
      </c>
      <c r="X7" s="1568"/>
      <c r="Y7" s="3447" t="s">
        <v>530</v>
      </c>
      <c r="Z7" s="3448"/>
      <c r="AA7" s="1569" t="e">
        <f>D7/F7</f>
        <v>#DIV/0!</v>
      </c>
      <c r="AB7" s="1569" t="e">
        <f>D7/H7</f>
        <v>#DIV/0!</v>
      </c>
      <c r="AC7" s="1569" t="e">
        <f>D7/J7</f>
        <v>#DIV/0!</v>
      </c>
    </row>
    <row r="8" spans="1:29" s="1218"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47" t="s">
        <v>533</v>
      </c>
      <c r="Q8" s="3448"/>
      <c r="R8" s="1566" t="s">
        <v>8</v>
      </c>
      <c r="S8" s="1567">
        <f t="shared" si="0"/>
        <v>0</v>
      </c>
      <c r="T8" s="1566" t="s">
        <v>8</v>
      </c>
      <c r="U8" s="1567">
        <f t="shared" si="1"/>
        <v>0</v>
      </c>
      <c r="V8" s="1566" t="s">
        <v>8</v>
      </c>
      <c r="W8" s="1567">
        <f t="shared" si="2"/>
        <v>0</v>
      </c>
      <c r="X8" s="1568"/>
      <c r="Y8" s="3447" t="s">
        <v>533</v>
      </c>
      <c r="Z8" s="3448"/>
      <c r="AA8" s="1569" t="e">
        <f t="shared" ref="AA8:AA40" si="3">D8/F8</f>
        <v>#DIV/0!</v>
      </c>
      <c r="AB8" s="1569" t="e">
        <f t="shared" ref="AB8:AB40" si="4">D8/H8</f>
        <v>#DIV/0!</v>
      </c>
      <c r="AC8" s="1569" t="e">
        <f t="shared" ref="AC8:AC40" si="5">D8/J8</f>
        <v>#DIV/0!</v>
      </c>
    </row>
    <row r="9" spans="1:29" s="1218" customFormat="1" ht="15">
      <c r="A9" s="2937"/>
      <c r="B9" s="2944" t="s">
        <v>2754</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16" t="s">
        <v>535</v>
      </c>
      <c r="Q9" s="1149" t="str">
        <f t="shared" ref="Q9:Q15" si="6">B9</f>
        <v>用途</v>
      </c>
      <c r="R9" s="1566" t="s">
        <v>8</v>
      </c>
      <c r="S9" s="1567">
        <f t="shared" si="0"/>
        <v>100</v>
      </c>
      <c r="T9" s="1566" t="s">
        <v>8</v>
      </c>
      <c r="U9" s="1567">
        <f t="shared" si="1"/>
        <v>100</v>
      </c>
      <c r="V9" s="1566" t="s">
        <v>8</v>
      </c>
      <c r="W9" s="1567">
        <f t="shared" si="2"/>
        <v>100</v>
      </c>
      <c r="X9" s="1568"/>
      <c r="Y9" s="3362"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16"/>
      <c r="Q11" s="1149" t="str">
        <f t="shared" si="6"/>
        <v>容积率</v>
      </c>
      <c r="R11" s="1566" t="s">
        <v>8</v>
      </c>
      <c r="S11" s="1567" t="e">
        <f t="shared" si="0"/>
        <v>#N/A</v>
      </c>
      <c r="T11" s="1566" t="s">
        <v>8</v>
      </c>
      <c r="U11" s="1567" t="e">
        <f t="shared" si="1"/>
        <v>#N/A</v>
      </c>
      <c r="V11" s="1566" t="s">
        <v>8</v>
      </c>
      <c r="W11" s="1567" t="e">
        <f t="shared" si="2"/>
        <v>#N/A</v>
      </c>
      <c r="X11" s="1568"/>
      <c r="Y11" s="3362"/>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16"/>
      <c r="Q14" s="1149">
        <f t="shared" si="6"/>
        <v>111</v>
      </c>
      <c r="R14" s="1566" t="s">
        <v>8</v>
      </c>
      <c r="S14" s="1567">
        <f t="shared" si="0"/>
        <v>100</v>
      </c>
      <c r="T14" s="1566" t="s">
        <v>8</v>
      </c>
      <c r="U14" s="1567">
        <f t="shared" si="1"/>
        <v>100</v>
      </c>
      <c r="V14" s="1566" t="s">
        <v>8</v>
      </c>
      <c r="W14" s="1567">
        <f t="shared" si="2"/>
        <v>100</v>
      </c>
      <c r="X14" s="1568"/>
      <c r="Y14" s="3362"/>
      <c r="Z14" s="1148">
        <f t="shared" si="7"/>
        <v>111</v>
      </c>
      <c r="AA14" s="1569">
        <f t="shared" si="3"/>
        <v>1</v>
      </c>
      <c r="AB14" s="1569">
        <f t="shared" si="4"/>
        <v>1</v>
      </c>
      <c r="AC14" s="1569">
        <f t="shared" si="5"/>
        <v>1</v>
      </c>
    </row>
    <row r="15" spans="1:29" ht="57">
      <c r="A15" s="2933"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50" t="s">
        <v>540</v>
      </c>
      <c r="Q15" s="1570" t="str">
        <f t="shared" si="6"/>
        <v>产业集聚程度</v>
      </c>
      <c r="R15" s="1571" t="s">
        <v>8</v>
      </c>
      <c r="S15" s="1572">
        <f t="shared" si="0"/>
        <v>100</v>
      </c>
      <c r="T15" s="1571" t="s">
        <v>8</v>
      </c>
      <c r="U15" s="1572">
        <f t="shared" si="1"/>
        <v>100</v>
      </c>
      <c r="V15" s="1571" t="s">
        <v>8</v>
      </c>
      <c r="W15" s="1572">
        <f t="shared" si="2"/>
        <v>100</v>
      </c>
      <c r="X15" s="1565"/>
      <c r="Y15" s="3450"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51"/>
      <c r="Q16" s="1570"/>
      <c r="R16" s="1571"/>
      <c r="S16" s="1572"/>
      <c r="T16" s="1571"/>
      <c r="U16" s="1572"/>
      <c r="V16" s="1571"/>
      <c r="W16" s="1572"/>
      <c r="X16" s="1565"/>
      <c r="Y16" s="3451"/>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51"/>
      <c r="Q17" s="1570" t="str">
        <f>B17</f>
        <v>交通便捷度</v>
      </c>
      <c r="R17" s="1571" t="s">
        <v>8</v>
      </c>
      <c r="S17" s="1572">
        <f>F17</f>
        <v>100</v>
      </c>
      <c r="T17" s="1571" t="s">
        <v>8</v>
      </c>
      <c r="U17" s="1572">
        <f>H17</f>
        <v>100</v>
      </c>
      <c r="V17" s="1571" t="s">
        <v>8</v>
      </c>
      <c r="W17" s="1572">
        <f>J17</f>
        <v>100</v>
      </c>
      <c r="X17" s="1565"/>
      <c r="Y17" s="345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51"/>
      <c r="Q18" s="1570"/>
      <c r="R18" s="1571"/>
      <c r="S18" s="1572"/>
      <c r="T18" s="1571"/>
      <c r="U18" s="1572"/>
      <c r="V18" s="1571"/>
      <c r="W18" s="1572"/>
      <c r="X18" s="1565"/>
      <c r="Y18" s="3451"/>
      <c r="Z18" s="1573"/>
      <c r="AA18" s="1574">
        <v>1</v>
      </c>
      <c r="AB18" s="1574">
        <v>1</v>
      </c>
      <c r="AC18" s="1574">
        <v>1</v>
      </c>
    </row>
    <row r="19" spans="1:29" ht="42.75">
      <c r="A19" s="531"/>
      <c r="B19" s="262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51"/>
      <c r="Q19" s="1570" t="str">
        <f>B19</f>
        <v>公共配套设施</v>
      </c>
      <c r="R19" s="1571" t="s">
        <v>8</v>
      </c>
      <c r="S19" s="1572">
        <f>F19</f>
        <v>100</v>
      </c>
      <c r="T19" s="1571" t="s">
        <v>8</v>
      </c>
      <c r="U19" s="1572">
        <f>H19</f>
        <v>100</v>
      </c>
      <c r="V19" s="1571" t="s">
        <v>8</v>
      </c>
      <c r="W19" s="1572">
        <f>J19</f>
        <v>100</v>
      </c>
      <c r="X19" s="1565"/>
      <c r="Y19" s="345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451"/>
      <c r="Q20" s="1570"/>
      <c r="R20" s="1571"/>
      <c r="S20" s="1572"/>
      <c r="T20" s="1571"/>
      <c r="U20" s="1572"/>
      <c r="V20" s="1571"/>
      <c r="W20" s="1572"/>
      <c r="X20" s="1565"/>
      <c r="Y20" s="3451"/>
      <c r="Z20" s="1573"/>
      <c r="AA20" s="1574">
        <v>1</v>
      </c>
      <c r="AB20" s="1574">
        <v>1</v>
      </c>
      <c r="AC20" s="1574">
        <v>1</v>
      </c>
    </row>
    <row r="21" spans="1:29" ht="28.5">
      <c r="A21" s="531"/>
      <c r="B21" s="261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51"/>
      <c r="Q21" s="2602" t="str">
        <f>B21</f>
        <v>基础设施水平</v>
      </c>
      <c r="R21" s="1571" t="s">
        <v>8</v>
      </c>
      <c r="S21" s="1572">
        <f>F21</f>
        <v>100</v>
      </c>
      <c r="T21" s="1571" t="s">
        <v>8</v>
      </c>
      <c r="U21" s="1572">
        <f>H21</f>
        <v>100</v>
      </c>
      <c r="V21" s="1571" t="s">
        <v>8</v>
      </c>
      <c r="W21" s="1572">
        <f>J21</f>
        <v>100</v>
      </c>
      <c r="X21" s="2604"/>
      <c r="Y21" s="3451"/>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51"/>
      <c r="Q22" s="2602"/>
      <c r="R22" s="1571"/>
      <c r="S22" s="1572"/>
      <c r="T22" s="1571"/>
      <c r="U22" s="1572"/>
      <c r="V22" s="1571"/>
      <c r="W22" s="1572"/>
      <c r="X22" s="2604"/>
      <c r="Y22" s="3451"/>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51"/>
      <c r="Q23" s="1570" t="str">
        <f>B23</f>
        <v>环境质量</v>
      </c>
      <c r="R23" s="1571" t="s">
        <v>8</v>
      </c>
      <c r="S23" s="1572">
        <f>F23</f>
        <v>100</v>
      </c>
      <c r="T23" s="1571" t="s">
        <v>8</v>
      </c>
      <c r="U23" s="1572">
        <f>H23</f>
        <v>100</v>
      </c>
      <c r="V23" s="1571" t="s">
        <v>8</v>
      </c>
      <c r="W23" s="1572">
        <f>J23</f>
        <v>100</v>
      </c>
      <c r="X23" s="1565"/>
      <c r="Y23" s="3451"/>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451"/>
      <c r="Q24" s="1570"/>
      <c r="R24" s="1571"/>
      <c r="S24" s="1572"/>
      <c r="T24" s="1571"/>
      <c r="U24" s="1572"/>
      <c r="V24" s="1571"/>
      <c r="W24" s="1572"/>
      <c r="X24" s="1565"/>
      <c r="Y24" s="3451"/>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51"/>
      <c r="Q25" s="1570">
        <f>B25</f>
        <v>111</v>
      </c>
      <c r="R25" s="1571" t="s">
        <v>8</v>
      </c>
      <c r="S25" s="1572">
        <f>F25</f>
        <v>100</v>
      </c>
      <c r="T25" s="1571" t="s">
        <v>8</v>
      </c>
      <c r="U25" s="1572">
        <f>H25</f>
        <v>100</v>
      </c>
      <c r="V25" s="1571" t="s">
        <v>8</v>
      </c>
      <c r="W25" s="1572">
        <f>J25</f>
        <v>100</v>
      </c>
      <c r="X25" s="1565"/>
      <c r="Y25" s="3451"/>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51"/>
      <c r="Q26" s="1570">
        <f t="shared" ref="Q26:Q40" si="11">B26</f>
        <v>111</v>
      </c>
      <c r="R26" s="1571" t="s">
        <v>8</v>
      </c>
      <c r="S26" s="1572">
        <f>F26</f>
        <v>100</v>
      </c>
      <c r="T26" s="1571" t="s">
        <v>8</v>
      </c>
      <c r="U26" s="1572">
        <f>H26</f>
        <v>100</v>
      </c>
      <c r="V26" s="1571" t="s">
        <v>8</v>
      </c>
      <c r="W26" s="1572">
        <f>J26</f>
        <v>100</v>
      </c>
      <c r="X26" s="1565"/>
      <c r="Y26" s="3451"/>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51"/>
      <c r="Q27" s="1149">
        <f t="shared" si="11"/>
        <v>111</v>
      </c>
      <c r="R27" s="1566" t="s">
        <v>8</v>
      </c>
      <c r="S27" s="1567">
        <f>F27</f>
        <v>100</v>
      </c>
      <c r="T27" s="1566" t="s">
        <v>8</v>
      </c>
      <c r="U27" s="1567">
        <f>H27</f>
        <v>100</v>
      </c>
      <c r="V27" s="1566" t="s">
        <v>8</v>
      </c>
      <c r="W27" s="1567">
        <f>J27</f>
        <v>100</v>
      </c>
      <c r="X27" s="1568"/>
      <c r="Y27" s="3451"/>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51"/>
      <c r="Q28" s="1570">
        <f t="shared" si="11"/>
        <v>111</v>
      </c>
      <c r="R28" s="1571" t="s">
        <v>8</v>
      </c>
      <c r="S28" s="1572">
        <f t="shared" ref="S28:S40" si="12">F28</f>
        <v>100</v>
      </c>
      <c r="T28" s="1571" t="s">
        <v>8</v>
      </c>
      <c r="U28" s="1572">
        <f t="shared" ref="U28:U40" si="13">H28</f>
        <v>100</v>
      </c>
      <c r="V28" s="1571" t="s">
        <v>8</v>
      </c>
      <c r="W28" s="1572">
        <f t="shared" ref="W28:W40" si="14">J28</f>
        <v>100</v>
      </c>
      <c r="X28" s="1565"/>
      <c r="Y28" s="3451"/>
      <c r="Z28" s="1573">
        <f t="shared" ref="Z28:Z40" si="15">Q28</f>
        <v>111</v>
      </c>
      <c r="AA28" s="1574">
        <f t="shared" si="3"/>
        <v>1</v>
      </c>
      <c r="AB28" s="1574">
        <f t="shared" si="4"/>
        <v>1</v>
      </c>
      <c r="AC28" s="1574">
        <f t="shared" si="5"/>
        <v>1</v>
      </c>
    </row>
    <row r="29" spans="1:29" ht="15">
      <c r="A29" s="2930"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52" t="s">
        <v>550</v>
      </c>
      <c r="Q29" s="1570" t="str">
        <f t="shared" si="11"/>
        <v>建筑类型</v>
      </c>
      <c r="R29" s="1571" t="s">
        <v>8</v>
      </c>
      <c r="S29" s="1572">
        <f t="shared" si="12"/>
        <v>100</v>
      </c>
      <c r="T29" s="1571" t="s">
        <v>8</v>
      </c>
      <c r="U29" s="1572">
        <f t="shared" si="13"/>
        <v>100</v>
      </c>
      <c r="V29" s="1571" t="s">
        <v>8</v>
      </c>
      <c r="W29" s="1572">
        <f t="shared" si="14"/>
        <v>100</v>
      </c>
      <c r="X29" s="1565"/>
      <c r="Y29" s="3453" t="s">
        <v>550</v>
      </c>
      <c r="Z29" s="1573" t="str">
        <f t="shared" si="15"/>
        <v>建筑类型</v>
      </c>
      <c r="AA29" s="1574">
        <f t="shared" si="3"/>
        <v>1</v>
      </c>
      <c r="AB29" s="1574">
        <f t="shared" si="4"/>
        <v>1</v>
      </c>
      <c r="AC29" s="1574">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53"/>
      <c r="Q30" s="1603" t="str">
        <f t="shared" si="11"/>
        <v>项目建筑规模</v>
      </c>
      <c r="R30" s="1575" t="s">
        <v>8</v>
      </c>
      <c r="S30" s="1576" t="e">
        <f t="shared" si="12"/>
        <v>#N/A</v>
      </c>
      <c r="T30" s="1575" t="s">
        <v>8</v>
      </c>
      <c r="U30" s="1576" t="e">
        <f t="shared" si="13"/>
        <v>#N/A</v>
      </c>
      <c r="V30" s="1575" t="s">
        <v>8</v>
      </c>
      <c r="W30" s="1576" t="e">
        <f t="shared" si="14"/>
        <v>#N/A</v>
      </c>
      <c r="X30" s="1577"/>
      <c r="Y30" s="3453"/>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53"/>
      <c r="Q31" s="1570" t="str">
        <f t="shared" si="11"/>
        <v>建筑结构</v>
      </c>
      <c r="R31" s="1571" t="s">
        <v>8</v>
      </c>
      <c r="S31" s="1572">
        <f t="shared" si="12"/>
        <v>100</v>
      </c>
      <c r="T31" s="1571" t="s">
        <v>8</v>
      </c>
      <c r="U31" s="1572">
        <f t="shared" si="13"/>
        <v>100</v>
      </c>
      <c r="V31" s="1571" t="s">
        <v>8</v>
      </c>
      <c r="W31" s="1572">
        <f t="shared" si="14"/>
        <v>100</v>
      </c>
      <c r="X31" s="1565"/>
      <c r="Y31" s="3453"/>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53"/>
      <c r="Q32" s="1570" t="str">
        <f t="shared" si="11"/>
        <v>公共部分装修</v>
      </c>
      <c r="R32" s="1571" t="s">
        <v>8</v>
      </c>
      <c r="S32" s="1572">
        <f t="shared" si="12"/>
        <v>100</v>
      </c>
      <c r="T32" s="1571" t="s">
        <v>8</v>
      </c>
      <c r="U32" s="1572">
        <f t="shared" si="13"/>
        <v>100</v>
      </c>
      <c r="V32" s="1571" t="s">
        <v>8</v>
      </c>
      <c r="W32" s="1572">
        <f t="shared" si="14"/>
        <v>100</v>
      </c>
      <c r="X32" s="1565"/>
      <c r="Y32" s="3453"/>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53"/>
      <c r="Q33" s="1570" t="str">
        <f t="shared" si="11"/>
        <v>成新度</v>
      </c>
      <c r="R33" s="1571" t="s">
        <v>8</v>
      </c>
      <c r="S33" s="1572" t="e">
        <f t="shared" si="12"/>
        <v>#N/A</v>
      </c>
      <c r="T33" s="1571" t="s">
        <v>8</v>
      </c>
      <c r="U33" s="1572" t="e">
        <f t="shared" si="13"/>
        <v>#N/A</v>
      </c>
      <c r="V33" s="1571" t="s">
        <v>8</v>
      </c>
      <c r="W33" s="1572" t="e">
        <f t="shared" si="14"/>
        <v>#N/A</v>
      </c>
      <c r="X33" s="1565"/>
      <c r="Y33" s="3453"/>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53"/>
      <c r="Q34" s="1149" t="str">
        <f t="shared" si="11"/>
        <v>物业管理</v>
      </c>
      <c r="R34" s="1566" t="s">
        <v>8</v>
      </c>
      <c r="S34" s="1567">
        <f t="shared" si="12"/>
        <v>100</v>
      </c>
      <c r="T34" s="1566" t="s">
        <v>8</v>
      </c>
      <c r="U34" s="1567">
        <f t="shared" si="13"/>
        <v>100</v>
      </c>
      <c r="V34" s="1566" t="s">
        <v>8</v>
      </c>
      <c r="W34" s="1567">
        <f t="shared" si="14"/>
        <v>100</v>
      </c>
      <c r="X34" s="1568"/>
      <c r="Y34" s="3453"/>
      <c r="Z34" s="1148" t="str">
        <f t="shared" si="15"/>
        <v>物业管理</v>
      </c>
      <c r="AA34" s="1569">
        <f t="shared" si="3"/>
        <v>1</v>
      </c>
      <c r="AB34" s="1569">
        <f t="shared" si="4"/>
        <v>1</v>
      </c>
      <c r="AC34" s="1569">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53" t="s">
        <v>550</v>
      </c>
      <c r="Q35" s="1570" t="str">
        <f t="shared" si="11"/>
        <v>市政基础设施</v>
      </c>
      <c r="R35" s="1571" t="s">
        <v>8</v>
      </c>
      <c r="S35" s="1572">
        <f t="shared" si="12"/>
        <v>100</v>
      </c>
      <c r="T35" s="1571" t="s">
        <v>8</v>
      </c>
      <c r="U35" s="1572">
        <f t="shared" si="13"/>
        <v>100</v>
      </c>
      <c r="V35" s="1571" t="s">
        <v>8</v>
      </c>
      <c r="W35" s="1572">
        <f t="shared" si="14"/>
        <v>100</v>
      </c>
      <c r="X35" s="1565"/>
      <c r="Y35" s="3453" t="s">
        <v>550</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53"/>
      <c r="Q36" s="1570" t="str">
        <f t="shared" si="11"/>
        <v>内部装修</v>
      </c>
      <c r="R36" s="1571" t="s">
        <v>8</v>
      </c>
      <c r="S36" s="1572">
        <f t="shared" si="12"/>
        <v>100</v>
      </c>
      <c r="T36" s="1571" t="s">
        <v>8</v>
      </c>
      <c r="U36" s="1572">
        <f t="shared" si="13"/>
        <v>100</v>
      </c>
      <c r="V36" s="1571" t="s">
        <v>8</v>
      </c>
      <c r="W36" s="1572">
        <f t="shared" si="14"/>
        <v>100</v>
      </c>
      <c r="X36" s="1565"/>
      <c r="Y36" s="3453"/>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53"/>
      <c r="Q37" s="1570" t="str">
        <f t="shared" si="11"/>
        <v>内部装修状况</v>
      </c>
      <c r="R37" s="1571" t="s">
        <v>8</v>
      </c>
      <c r="S37" s="1572">
        <f t="shared" si="12"/>
        <v>100</v>
      </c>
      <c r="T37" s="1571" t="s">
        <v>8</v>
      </c>
      <c r="U37" s="1572">
        <f t="shared" si="13"/>
        <v>100</v>
      </c>
      <c r="V37" s="1571" t="s">
        <v>8</v>
      </c>
      <c r="W37" s="1572">
        <f t="shared" si="14"/>
        <v>100</v>
      </c>
      <c r="X37" s="1565"/>
      <c r="Y37" s="3453"/>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53"/>
      <c r="Q38" s="1603">
        <f t="shared" si="11"/>
        <v>111</v>
      </c>
      <c r="R38" s="1575" t="s">
        <v>8</v>
      </c>
      <c r="S38" s="1576">
        <f t="shared" si="12"/>
        <v>100</v>
      </c>
      <c r="T38" s="1575" t="s">
        <v>8</v>
      </c>
      <c r="U38" s="1576">
        <f t="shared" si="13"/>
        <v>100</v>
      </c>
      <c r="V38" s="1575" t="s">
        <v>8</v>
      </c>
      <c r="W38" s="1576">
        <f t="shared" si="14"/>
        <v>100</v>
      </c>
      <c r="X38" s="1577"/>
      <c r="Y38" s="3453"/>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53"/>
      <c r="Q39" s="1570">
        <f t="shared" si="11"/>
        <v>111</v>
      </c>
      <c r="R39" s="1571" t="s">
        <v>8</v>
      </c>
      <c r="S39" s="1572">
        <f t="shared" si="12"/>
        <v>100</v>
      </c>
      <c r="T39" s="1571" t="s">
        <v>8</v>
      </c>
      <c r="U39" s="1572">
        <f t="shared" si="13"/>
        <v>100</v>
      </c>
      <c r="V39" s="1571" t="s">
        <v>8</v>
      </c>
      <c r="W39" s="1572">
        <f t="shared" si="14"/>
        <v>100</v>
      </c>
      <c r="X39" s="1565"/>
      <c r="Y39" s="3453"/>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30"/>
      <c r="Q40" s="1570">
        <f t="shared" si="11"/>
        <v>111</v>
      </c>
      <c r="R40" s="1571" t="s">
        <v>8</v>
      </c>
      <c r="S40" s="1572">
        <f t="shared" si="12"/>
        <v>100</v>
      </c>
      <c r="T40" s="1571" t="s">
        <v>8</v>
      </c>
      <c r="U40" s="1572">
        <f t="shared" si="13"/>
        <v>100</v>
      </c>
      <c r="V40" s="1571" t="s">
        <v>8</v>
      </c>
      <c r="W40" s="1572">
        <f t="shared" si="14"/>
        <v>100</v>
      </c>
      <c r="X40" s="1565"/>
      <c r="Y40" s="3530"/>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416" t="str">
        <f>A41</f>
        <v>成交单价（元/平方米）</v>
      </c>
      <c r="Q41" s="3416"/>
      <c r="R41" s="3529">
        <f>E41</f>
        <v>0</v>
      </c>
      <c r="S41" s="3529"/>
      <c r="T41" s="3529">
        <f>G41</f>
        <v>0</v>
      </c>
      <c r="U41" s="3529"/>
      <c r="V41" s="3529">
        <f>I41</f>
        <v>0</v>
      </c>
      <c r="W41" s="3529"/>
      <c r="X41" s="1557"/>
      <c r="Y41" s="1579"/>
      <c r="Z41" s="1557"/>
      <c r="AA41" s="1557"/>
      <c r="AB41" s="1557"/>
      <c r="AC41" s="1557"/>
    </row>
    <row r="42" spans="1:29" ht="15.75" thickBot="1">
      <c r="A42" s="614" t="s">
        <v>2758</v>
      </c>
      <c r="B42" s="887"/>
      <c r="C42" s="2656" t="e">
        <f>R43</f>
        <v>#DIV/0!</v>
      </c>
      <c r="D42" s="2657"/>
      <c r="E42" s="2658" t="e">
        <f>R42</f>
        <v>#DIV/0!</v>
      </c>
      <c r="F42" s="2658"/>
      <c r="G42" s="2656" t="e">
        <f>T42</f>
        <v>#DIV/0!</v>
      </c>
      <c r="H42" s="2657"/>
      <c r="I42" s="2658" t="e">
        <f>V42</f>
        <v>#DIV/0!</v>
      </c>
      <c r="J42" s="2657"/>
      <c r="K42" s="1610"/>
      <c r="L42" s="2143"/>
      <c r="M42" s="2144"/>
      <c r="N42" s="2133"/>
      <c r="O42" s="2144"/>
      <c r="P42" s="3416" t="str">
        <f>A42</f>
        <v>比较价格（元/平方米）</v>
      </c>
      <c r="Q42" s="3416"/>
      <c r="R42" s="3529" t="e">
        <f>IF(F1="售价",ROUND(PRODUCT(R41,AA7:AA40),0),ROUND(PRODUCT(R41,AA7:AA40),1))</f>
        <v>#DIV/0!</v>
      </c>
      <c r="S42" s="3529"/>
      <c r="T42" s="3529" t="e">
        <f>IF(F1="售价",ROUND(PRODUCT(T41,AB7:AB40),0),ROUND(PRODUCT(T41,AB7:AB40),1))</f>
        <v>#DIV/0!</v>
      </c>
      <c r="U42" s="3529"/>
      <c r="V42" s="3529" t="e">
        <f>IF(F1="售价",ROUND(PRODUCT(V41,AC7:AC40),0),ROUND(PRODUCT(V41,AC7:AC40),1))</f>
        <v>#DIV/0!</v>
      </c>
      <c r="W42" s="3529"/>
      <c r="X42" s="1557"/>
      <c r="Y42" s="1557"/>
      <c r="Z42" s="1557"/>
      <c r="AA42" s="1557"/>
      <c r="AB42" s="1557"/>
      <c r="AC42" s="1557"/>
    </row>
    <row r="43" spans="1:29" ht="15.75" thickBot="1">
      <c r="A43" s="620" t="s">
        <v>2932</v>
      </c>
      <c r="B43" s="621"/>
      <c r="C43" s="2659" t="e">
        <f>R43</f>
        <v>#DIV/0!</v>
      </c>
      <c r="D43" s="2659"/>
      <c r="E43" s="2659"/>
      <c r="F43" s="2659"/>
      <c r="G43" s="2659"/>
      <c r="H43" s="2659"/>
      <c r="I43" s="2659"/>
      <c r="J43" s="2659"/>
      <c r="K43" s="1611"/>
      <c r="L43" s="2143"/>
      <c r="M43" s="2144"/>
      <c r="N43" s="2144"/>
      <c r="O43" s="2144"/>
      <c r="P43" s="3413" t="str">
        <f>A43</f>
        <v>估价对象XX用房的比较价格（楼面单价，元/平方米）</v>
      </c>
      <c r="Q43" s="3414"/>
      <c r="R43" s="3528" t="e">
        <f>IF(F1="售价",ROUND(AVERAGE(R42:V42),0),ROUND(AVERAGE(R42:V42),1))</f>
        <v>#DIV/0!</v>
      </c>
      <c r="S43" s="3528"/>
      <c r="T43" s="3528"/>
      <c r="U43" s="3528"/>
      <c r="V43" s="3528"/>
      <c r="W43" s="3528"/>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2557</v>
      </c>
      <c r="C76" s="2621" t="s">
        <v>2558</v>
      </c>
      <c r="D76" s="2621" t="s">
        <v>2559</v>
      </c>
      <c r="E76" s="2621" t="s">
        <v>2560</v>
      </c>
      <c r="F76" s="2621" t="s">
        <v>2561</v>
      </c>
      <c r="G76" s="2621"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22" t="s">
        <v>797</v>
      </c>
      <c r="D4" s="3423"/>
      <c r="E4" s="3422" t="s">
        <v>798</v>
      </c>
      <c r="F4" s="3423"/>
      <c r="G4" s="3422" t="s">
        <v>799</v>
      </c>
      <c r="H4" s="3423"/>
      <c r="I4" s="3422" t="s">
        <v>800</v>
      </c>
      <c r="J4" s="3423"/>
      <c r="K4" s="513" t="s">
        <v>801</v>
      </c>
      <c r="L4" s="2132"/>
      <c r="M4" s="2133"/>
      <c r="N4" s="2133"/>
      <c r="O4" s="2133"/>
      <c r="P4" s="3424" t="s">
        <v>802</v>
      </c>
      <c r="Q4" s="3425"/>
      <c r="R4" s="3430" t="s">
        <v>798</v>
      </c>
      <c r="S4" s="3431"/>
      <c r="T4" s="3430" t="s">
        <v>799</v>
      </c>
      <c r="U4" s="3431"/>
      <c r="V4" s="3417" t="s">
        <v>800</v>
      </c>
      <c r="W4" s="3417"/>
      <c r="X4" s="1565"/>
      <c r="Y4" s="3430" t="s">
        <v>802</v>
      </c>
      <c r="Z4" s="3431"/>
      <c r="AA4" s="3419" t="s">
        <v>798</v>
      </c>
      <c r="AB4" s="3420" t="s">
        <v>799</v>
      </c>
      <c r="AC4" s="3419" t="s">
        <v>800</v>
      </c>
    </row>
    <row r="5" spans="1:29" ht="15">
      <c r="A5" s="514"/>
      <c r="B5" s="515"/>
      <c r="C5" s="3438" t="s">
        <v>2926</v>
      </c>
      <c r="D5" s="3439"/>
      <c r="E5" s="3438" t="s">
        <v>2927</v>
      </c>
      <c r="F5" s="3439"/>
      <c r="G5" s="3438" t="s">
        <v>2928</v>
      </c>
      <c r="H5" s="3439"/>
      <c r="I5" s="3438" t="s">
        <v>2929</v>
      </c>
      <c r="J5" s="3439"/>
      <c r="K5" s="513"/>
      <c r="L5" s="2132"/>
      <c r="M5" s="2133"/>
      <c r="N5" s="2133"/>
      <c r="O5" s="2133"/>
      <c r="P5" s="3426"/>
      <c r="Q5" s="3427"/>
      <c r="R5" s="3432"/>
      <c r="S5" s="3433"/>
      <c r="T5" s="3432"/>
      <c r="U5" s="3433"/>
      <c r="V5" s="3417"/>
      <c r="W5" s="3417"/>
      <c r="X5" s="1565"/>
      <c r="Y5" s="3432"/>
      <c r="Z5" s="3433"/>
      <c r="AA5" s="3420"/>
      <c r="AB5" s="3420"/>
      <c r="AC5" s="3420"/>
    </row>
    <row r="6" spans="1:29" ht="15.75" thickBot="1">
      <c r="A6" s="516"/>
      <c r="B6" s="517"/>
      <c r="C6" s="3436" t="s">
        <v>2930</v>
      </c>
      <c r="D6" s="3437"/>
      <c r="E6" s="3440" t="s">
        <v>2930</v>
      </c>
      <c r="F6" s="3441"/>
      <c r="G6" s="3436" t="s">
        <v>2930</v>
      </c>
      <c r="H6" s="3437"/>
      <c r="I6" s="3436" t="s">
        <v>2930</v>
      </c>
      <c r="J6" s="3437"/>
      <c r="K6" s="513" t="s">
        <v>528</v>
      </c>
      <c r="L6" s="2132"/>
      <c r="M6" s="2133"/>
      <c r="N6" s="2133"/>
      <c r="O6" s="2133"/>
      <c r="P6" s="3428"/>
      <c r="Q6" s="3429"/>
      <c r="R6" s="3432"/>
      <c r="S6" s="3433"/>
      <c r="T6" s="3434"/>
      <c r="U6" s="3435"/>
      <c r="V6" s="3417"/>
      <c r="W6" s="3417"/>
      <c r="X6" s="1565"/>
      <c r="Y6" s="3434"/>
      <c r="Z6" s="3435"/>
      <c r="AA6" s="3421"/>
      <c r="AB6" s="3421"/>
      <c r="AC6" s="3421"/>
    </row>
    <row r="7" spans="1:29" s="1218" customFormat="1" ht="15.75" thickBot="1">
      <c r="A7" s="2935"/>
      <c r="B7" s="2942" t="s">
        <v>529</v>
      </c>
      <c r="C7" s="518">
        <f>'数据-取费表'!B2</f>
        <v>43224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47" t="s">
        <v>530</v>
      </c>
      <c r="Q7" s="3449"/>
      <c r="R7" s="1566" t="s">
        <v>8</v>
      </c>
      <c r="S7" s="1567">
        <f t="shared" ref="S7:S14" si="0">F7</f>
        <v>0</v>
      </c>
      <c r="T7" s="1566" t="s">
        <v>8</v>
      </c>
      <c r="U7" s="1567">
        <f t="shared" ref="U7:U14" si="1">H7</f>
        <v>0</v>
      </c>
      <c r="V7" s="1566" t="s">
        <v>8</v>
      </c>
      <c r="W7" s="1567">
        <f t="shared" ref="W7:W14" si="2">J7</f>
        <v>0</v>
      </c>
      <c r="X7" s="1568"/>
      <c r="Y7" s="3447" t="s">
        <v>530</v>
      </c>
      <c r="Z7" s="3448"/>
      <c r="AA7" s="1569" t="e">
        <f>D7/F7</f>
        <v>#DIV/0!</v>
      </c>
      <c r="AB7" s="1569" t="e">
        <f>D7/H7</f>
        <v>#DIV/0!</v>
      </c>
      <c r="AC7" s="1569" t="e">
        <f>D7/J7</f>
        <v>#DIV/0!</v>
      </c>
    </row>
    <row r="8" spans="1:29" s="1218"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47" t="s">
        <v>533</v>
      </c>
      <c r="Q8" s="3448"/>
      <c r="R8" s="1566" t="s">
        <v>8</v>
      </c>
      <c r="S8" s="1567">
        <f t="shared" si="0"/>
        <v>0</v>
      </c>
      <c r="T8" s="1566" t="s">
        <v>8</v>
      </c>
      <c r="U8" s="1567">
        <f t="shared" si="1"/>
        <v>0</v>
      </c>
      <c r="V8" s="1566" t="s">
        <v>8</v>
      </c>
      <c r="W8" s="1567">
        <f t="shared" si="2"/>
        <v>0</v>
      </c>
      <c r="X8" s="1568"/>
      <c r="Y8" s="3447" t="s">
        <v>533</v>
      </c>
      <c r="Z8" s="3448"/>
      <c r="AA8" s="1569" t="e">
        <f t="shared" ref="AA8:AA36" si="3">D8/F8</f>
        <v>#DIV/0!</v>
      </c>
      <c r="AB8" s="1569" t="e">
        <f t="shared" ref="AB8:AB36" si="4">D8/H8</f>
        <v>#DIV/0!</v>
      </c>
      <c r="AC8" s="1569" t="e">
        <f t="shared" ref="AC8:AC36" si="5">D8/J8</f>
        <v>#DIV/0!</v>
      </c>
    </row>
    <row r="9" spans="1:29" s="1218" customFormat="1" ht="15">
      <c r="A9" s="2937"/>
      <c r="B9" s="2944" t="s">
        <v>2754</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16" t="s">
        <v>535</v>
      </c>
      <c r="Q9" s="1149" t="str">
        <f t="shared" ref="Q9:Q14" si="6">B9</f>
        <v>用途</v>
      </c>
      <c r="R9" s="1566" t="s">
        <v>8</v>
      </c>
      <c r="S9" s="1567">
        <f t="shared" si="0"/>
        <v>100</v>
      </c>
      <c r="T9" s="1566" t="s">
        <v>8</v>
      </c>
      <c r="U9" s="1567">
        <f t="shared" si="1"/>
        <v>100</v>
      </c>
      <c r="V9" s="1566" t="s">
        <v>8</v>
      </c>
      <c r="W9" s="1567">
        <f t="shared" si="2"/>
        <v>100</v>
      </c>
      <c r="X9" s="1568"/>
      <c r="Y9" s="3362"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85.5">
      <c r="A14" s="2933"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50" t="s">
        <v>540</v>
      </c>
      <c r="Q14" s="1570" t="str">
        <f t="shared" si="6"/>
        <v>交通便捷度</v>
      </c>
      <c r="R14" s="1571" t="s">
        <v>8</v>
      </c>
      <c r="S14" s="1572">
        <f t="shared" si="0"/>
        <v>100</v>
      </c>
      <c r="T14" s="1571" t="s">
        <v>8</v>
      </c>
      <c r="U14" s="1572">
        <f t="shared" si="1"/>
        <v>100</v>
      </c>
      <c r="V14" s="1571" t="s">
        <v>8</v>
      </c>
      <c r="W14" s="1572">
        <f t="shared" si="2"/>
        <v>100</v>
      </c>
      <c r="X14" s="1565"/>
      <c r="Y14" s="3450"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451"/>
      <c r="Q15" s="1570"/>
      <c r="R15" s="1571"/>
      <c r="S15" s="1572"/>
      <c r="T15" s="1571"/>
      <c r="U15" s="1572"/>
      <c r="V15" s="1571"/>
      <c r="W15" s="1572"/>
      <c r="X15" s="1565"/>
      <c r="Y15" s="3451"/>
      <c r="Z15" s="1573"/>
      <c r="AA15" s="1574">
        <v>1</v>
      </c>
      <c r="AB15" s="1574">
        <v>1</v>
      </c>
      <c r="AC15" s="1574">
        <v>1</v>
      </c>
    </row>
    <row r="16" spans="1:29" ht="42.75">
      <c r="A16" s="514"/>
      <c r="B16" s="262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451"/>
      <c r="Q17" s="1570"/>
      <c r="R17" s="1571"/>
      <c r="S17" s="1572"/>
      <c r="T17" s="1571"/>
      <c r="U17" s="1572"/>
      <c r="V17" s="1571"/>
      <c r="W17" s="1572"/>
      <c r="X17" s="1565"/>
      <c r="Y17" s="3451"/>
      <c r="Z17" s="1573"/>
      <c r="AA17" s="1574">
        <v>1</v>
      </c>
      <c r="AB17" s="1574">
        <v>1</v>
      </c>
      <c r="AC17" s="1574">
        <v>1</v>
      </c>
    </row>
    <row r="18" spans="1:29" ht="28.5">
      <c r="A18" s="514"/>
      <c r="B18" s="261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51"/>
      <c r="Q18" s="2602" t="str">
        <f>B18</f>
        <v>基础设施水平</v>
      </c>
      <c r="R18" s="1571" t="s">
        <v>8</v>
      </c>
      <c r="S18" s="1572">
        <f>F18</f>
        <v>100</v>
      </c>
      <c r="T18" s="1571" t="s">
        <v>8</v>
      </c>
      <c r="U18" s="1572">
        <f>H18</f>
        <v>100</v>
      </c>
      <c r="V18" s="1571" t="s">
        <v>8</v>
      </c>
      <c r="W18" s="1572">
        <f>J18</f>
        <v>100</v>
      </c>
      <c r="X18" s="2604"/>
      <c r="Y18" s="3451"/>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51"/>
      <c r="Q19" s="2602"/>
      <c r="R19" s="1571"/>
      <c r="S19" s="1572"/>
      <c r="T19" s="1571"/>
      <c r="U19" s="1572"/>
      <c r="V19" s="1571"/>
      <c r="W19" s="1572"/>
      <c r="X19" s="2604"/>
      <c r="Y19" s="3451"/>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451"/>
      <c r="Q21" s="1570"/>
      <c r="R21" s="1571"/>
      <c r="S21" s="1572"/>
      <c r="T21" s="1571"/>
      <c r="U21" s="1572"/>
      <c r="V21" s="1571"/>
      <c r="W21" s="1572"/>
      <c r="X21" s="1565"/>
      <c r="Y21" s="3451"/>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51"/>
      <c r="Q24" s="1570">
        <f t="shared" ref="Q24:Q36"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30"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52"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53" t="s">
        <v>550</v>
      </c>
      <c r="Z26" s="1573" t="str">
        <f t="shared" ref="Z26:Z36" si="15">Q26</f>
        <v>配套类型</v>
      </c>
      <c r="AA26" s="1574">
        <f t="shared" si="3"/>
        <v>1</v>
      </c>
      <c r="AB26" s="1574">
        <f t="shared" si="4"/>
        <v>1</v>
      </c>
      <c r="AC26" s="1574">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53"/>
      <c r="Q27" s="1603" t="str">
        <f t="shared" si="11"/>
        <v>项目停车位配比</v>
      </c>
      <c r="R27" s="1575" t="s">
        <v>8</v>
      </c>
      <c r="S27" s="1576">
        <f t="shared" si="12"/>
        <v>100</v>
      </c>
      <c r="T27" s="1575" t="s">
        <v>8</v>
      </c>
      <c r="U27" s="1576">
        <f t="shared" si="13"/>
        <v>100</v>
      </c>
      <c r="V27" s="1575" t="s">
        <v>8</v>
      </c>
      <c r="W27" s="1576">
        <f t="shared" si="14"/>
        <v>100</v>
      </c>
      <c r="X27" s="1577"/>
      <c r="Y27" s="3453"/>
      <c r="Z27" s="1578" t="str">
        <f t="shared" si="15"/>
        <v>项目停车位配比</v>
      </c>
      <c r="AA27" s="1574">
        <f t="shared" si="3"/>
        <v>1</v>
      </c>
      <c r="AB27" s="1574">
        <f t="shared" si="4"/>
        <v>1</v>
      </c>
      <c r="AC27" s="1574">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53"/>
      <c r="Q28" s="1570" t="str">
        <f t="shared" si="11"/>
        <v>公共部分装修</v>
      </c>
      <c r="R28" s="1571" t="s">
        <v>8</v>
      </c>
      <c r="S28" s="1572">
        <f t="shared" si="12"/>
        <v>100</v>
      </c>
      <c r="T28" s="1571" t="s">
        <v>8</v>
      </c>
      <c r="U28" s="1572">
        <f t="shared" si="13"/>
        <v>100</v>
      </c>
      <c r="V28" s="1571" t="s">
        <v>8</v>
      </c>
      <c r="W28" s="1572">
        <f t="shared" si="14"/>
        <v>100</v>
      </c>
      <c r="X28" s="1565"/>
      <c r="Y28" s="3453"/>
      <c r="Z28" s="1573" t="str">
        <f t="shared" si="15"/>
        <v>公共部分装修</v>
      </c>
      <c r="AA28" s="1574">
        <f t="shared" si="3"/>
        <v>1</v>
      </c>
      <c r="AB28" s="1574">
        <f t="shared" si="4"/>
        <v>1</v>
      </c>
      <c r="AC28" s="1574">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53"/>
      <c r="Q29" s="1570" t="str">
        <f t="shared" si="11"/>
        <v>成新率</v>
      </c>
      <c r="R29" s="1571" t="s">
        <v>8</v>
      </c>
      <c r="S29" s="1572" t="e">
        <f t="shared" si="12"/>
        <v>#N/A</v>
      </c>
      <c r="T29" s="1571" t="s">
        <v>8</v>
      </c>
      <c r="U29" s="1572" t="e">
        <f t="shared" si="13"/>
        <v>#N/A</v>
      </c>
      <c r="V29" s="1571" t="s">
        <v>8</v>
      </c>
      <c r="W29" s="1572" t="e">
        <f t="shared" si="14"/>
        <v>#N/A</v>
      </c>
      <c r="X29" s="1565"/>
      <c r="Y29" s="3453"/>
      <c r="Z29" s="1573" t="str">
        <f t="shared" si="15"/>
        <v>成新率</v>
      </c>
      <c r="AA29" s="1574" t="e">
        <f t="shared" si="3"/>
        <v>#N/A</v>
      </c>
      <c r="AB29" s="1574" t="e">
        <f t="shared" si="4"/>
        <v>#N/A</v>
      </c>
      <c r="AC29" s="1574"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53"/>
      <c r="Q30" s="1570" t="str">
        <f t="shared" si="11"/>
        <v>物业等级</v>
      </c>
      <c r="R30" s="1571" t="s">
        <v>8</v>
      </c>
      <c r="S30" s="1572">
        <f t="shared" si="12"/>
        <v>100</v>
      </c>
      <c r="T30" s="1571" t="s">
        <v>8</v>
      </c>
      <c r="U30" s="1572">
        <f t="shared" si="13"/>
        <v>100</v>
      </c>
      <c r="V30" s="1571" t="s">
        <v>8</v>
      </c>
      <c r="W30" s="1572">
        <f t="shared" si="14"/>
        <v>100</v>
      </c>
      <c r="X30" s="1565"/>
      <c r="Y30" s="3453"/>
      <c r="Z30" s="1573" t="str">
        <f t="shared" si="15"/>
        <v>物业等级</v>
      </c>
      <c r="AA30" s="1574">
        <f t="shared" si="3"/>
        <v>1</v>
      </c>
      <c r="AB30" s="1574">
        <f t="shared" si="4"/>
        <v>1</v>
      </c>
      <c r="AC30" s="1574">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53"/>
      <c r="Q31" s="1149" t="str">
        <f t="shared" si="11"/>
        <v>停车位面积</v>
      </c>
      <c r="R31" s="1566" t="s">
        <v>8</v>
      </c>
      <c r="S31" s="1567" t="e">
        <f t="shared" si="12"/>
        <v>#N/A</v>
      </c>
      <c r="T31" s="1566" t="s">
        <v>8</v>
      </c>
      <c r="U31" s="1567" t="e">
        <f t="shared" si="13"/>
        <v>#N/A</v>
      </c>
      <c r="V31" s="1566" t="s">
        <v>8</v>
      </c>
      <c r="W31" s="1567" t="e">
        <f t="shared" si="14"/>
        <v>#N/A</v>
      </c>
      <c r="X31" s="1568"/>
      <c r="Y31" s="3453"/>
      <c r="Z31" s="1148" t="str">
        <f t="shared" si="15"/>
        <v>停车位面积</v>
      </c>
      <c r="AA31" s="1569" t="e">
        <f t="shared" si="3"/>
        <v>#N/A</v>
      </c>
      <c r="AB31" s="1569" t="e">
        <f t="shared" si="4"/>
        <v>#N/A</v>
      </c>
      <c r="AC31" s="1569"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53" t="s">
        <v>550</v>
      </c>
      <c r="Q32" s="1570" t="str">
        <f t="shared" si="11"/>
        <v>车位类型</v>
      </c>
      <c r="R32" s="1571" t="s">
        <v>8</v>
      </c>
      <c r="S32" s="1572">
        <f t="shared" si="12"/>
        <v>100</v>
      </c>
      <c r="T32" s="1571" t="s">
        <v>8</v>
      </c>
      <c r="U32" s="1572">
        <f t="shared" si="13"/>
        <v>100</v>
      </c>
      <c r="V32" s="1571" t="s">
        <v>8</v>
      </c>
      <c r="W32" s="1572">
        <f t="shared" si="14"/>
        <v>100</v>
      </c>
      <c r="X32" s="1565"/>
      <c r="Y32" s="3453" t="s">
        <v>550</v>
      </c>
      <c r="Z32" s="1573" t="str">
        <f t="shared" si="15"/>
        <v>车位类型</v>
      </c>
      <c r="AA32" s="1574">
        <f t="shared" si="3"/>
        <v>1</v>
      </c>
      <c r="AB32" s="1574">
        <f t="shared" si="4"/>
        <v>1</v>
      </c>
      <c r="AC32" s="1574">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53"/>
      <c r="Q33" s="1570" t="str">
        <f t="shared" si="11"/>
        <v>是否直接入户</v>
      </c>
      <c r="R33" s="1571" t="s">
        <v>8</v>
      </c>
      <c r="S33" s="1572">
        <f t="shared" si="12"/>
        <v>100</v>
      </c>
      <c r="T33" s="1571" t="s">
        <v>8</v>
      </c>
      <c r="U33" s="1572">
        <f t="shared" si="13"/>
        <v>100</v>
      </c>
      <c r="V33" s="1571" t="s">
        <v>8</v>
      </c>
      <c r="W33" s="1572">
        <f t="shared" si="14"/>
        <v>100</v>
      </c>
      <c r="X33" s="1565"/>
      <c r="Y33" s="3453"/>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53"/>
      <c r="Q35" s="1603">
        <f t="shared" si="11"/>
        <v>111</v>
      </c>
      <c r="R35" s="1575" t="s">
        <v>8</v>
      </c>
      <c r="S35" s="1576">
        <f t="shared" si="12"/>
        <v>100</v>
      </c>
      <c r="T35" s="1575" t="s">
        <v>8</v>
      </c>
      <c r="U35" s="1576">
        <f t="shared" si="13"/>
        <v>100</v>
      </c>
      <c r="V35" s="1575" t="s">
        <v>8</v>
      </c>
      <c r="W35" s="1576">
        <f t="shared" si="14"/>
        <v>100</v>
      </c>
      <c r="X35" s="1577"/>
      <c r="Y35" s="3453"/>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53"/>
      <c r="Q36" s="1570">
        <f t="shared" si="11"/>
        <v>111</v>
      </c>
      <c r="R36" s="1571" t="s">
        <v>8</v>
      </c>
      <c r="S36" s="1572">
        <f t="shared" si="12"/>
        <v>100</v>
      </c>
      <c r="T36" s="1571" t="s">
        <v>8</v>
      </c>
      <c r="U36" s="1572">
        <f t="shared" si="13"/>
        <v>100</v>
      </c>
      <c r="V36" s="1571" t="s">
        <v>8</v>
      </c>
      <c r="W36" s="1572">
        <f t="shared" si="14"/>
        <v>100</v>
      </c>
      <c r="X36" s="1565"/>
      <c r="Y36" s="3453"/>
      <c r="Z36" s="1573">
        <f t="shared" si="15"/>
        <v>111</v>
      </c>
      <c r="AA36" s="1574">
        <f t="shared" si="3"/>
        <v>1</v>
      </c>
      <c r="AB36" s="1574">
        <f t="shared" si="4"/>
        <v>1</v>
      </c>
      <c r="AC36" s="1574">
        <f t="shared" si="5"/>
        <v>1</v>
      </c>
    </row>
    <row r="37" spans="1:29" ht="15">
      <c r="A37" s="1845" t="s">
        <v>2077</v>
      </c>
      <c r="B37" s="1846" t="s">
        <v>2078</v>
      </c>
      <c r="C37" s="2650" t="s">
        <v>1</v>
      </c>
      <c r="D37" s="2651"/>
      <c r="E37" s="2652"/>
      <c r="F37" s="2653"/>
      <c r="G37" s="2654"/>
      <c r="H37" s="2655"/>
      <c r="I37" s="2652"/>
      <c r="J37" s="2655"/>
      <c r="K37" s="1609"/>
      <c r="L37" s="2143"/>
      <c r="M37" s="2144"/>
      <c r="N37" s="2133"/>
      <c r="O37" s="2144"/>
      <c r="P37" s="3416" t="str">
        <f>A37</f>
        <v>成交单价</v>
      </c>
      <c r="Q37" s="3416"/>
      <c r="R37" s="3529">
        <f>E37</f>
        <v>0</v>
      </c>
      <c r="S37" s="3529"/>
      <c r="T37" s="3529">
        <f>G37</f>
        <v>0</v>
      </c>
      <c r="U37" s="3529"/>
      <c r="V37" s="3529">
        <f>I37</f>
        <v>0</v>
      </c>
      <c r="W37" s="3529"/>
      <c r="X37" s="1557"/>
      <c r="Y37" s="1579"/>
      <c r="Z37" s="1557"/>
      <c r="AA37" s="1557"/>
      <c r="AB37" s="1557"/>
      <c r="AC37" s="1557"/>
    </row>
    <row r="38" spans="1:29" ht="15.75" thickBot="1">
      <c r="A38" s="614" t="s">
        <v>2758</v>
      </c>
      <c r="B38" s="887"/>
      <c r="C38" s="2656" t="e">
        <f>R39</f>
        <v>#DIV/0!</v>
      </c>
      <c r="D38" s="2657"/>
      <c r="E38" s="2658" t="e">
        <f>R38</f>
        <v>#DIV/0!</v>
      </c>
      <c r="F38" s="2658"/>
      <c r="G38" s="2656" t="e">
        <f>T38</f>
        <v>#DIV/0!</v>
      </c>
      <c r="H38" s="2657"/>
      <c r="I38" s="2658" t="e">
        <f>V38</f>
        <v>#DIV/0!</v>
      </c>
      <c r="J38" s="2657"/>
      <c r="K38" s="1610"/>
      <c r="L38" s="2143"/>
      <c r="M38" s="2144"/>
      <c r="N38" s="2144"/>
      <c r="O38" s="2144"/>
      <c r="P38" s="3416" t="str">
        <f>A38</f>
        <v>比较价格（元/平方米）</v>
      </c>
      <c r="Q38" s="3416"/>
      <c r="R38" s="3529" t="e">
        <f>IF(F1="售价",ROUND(PRODUCT(R37,AA7:AA36),0),ROUND(PRODUCT(R37,AA7:AA36),1))</f>
        <v>#DIV/0!</v>
      </c>
      <c r="S38" s="3529"/>
      <c r="T38" s="3529" t="e">
        <f>IF(F1="售价",ROUND(PRODUCT(T37,AB7:AB36),0),ROUND(PRODUCT(T37,AB7:AB36),1))</f>
        <v>#DIV/0!</v>
      </c>
      <c r="U38" s="3529"/>
      <c r="V38" s="3529" t="e">
        <f>IF(F1="售价",ROUND(PRODUCT(V37,AC7:AC36),0),ROUND(PRODUCT(V37,AC7:AC36),1))</f>
        <v>#DIV/0!</v>
      </c>
      <c r="W38" s="3529"/>
      <c r="X38" s="1557"/>
      <c r="Y38" s="1557"/>
      <c r="Z38" s="1557"/>
      <c r="AA38" s="1557"/>
      <c r="AB38" s="1557"/>
      <c r="AC38" s="1557"/>
    </row>
    <row r="39" spans="1:29" ht="15.75" thickBot="1">
      <c r="A39" s="620" t="s">
        <v>2932</v>
      </c>
      <c r="B39" s="621"/>
      <c r="C39" s="2659" t="e">
        <f>R39</f>
        <v>#DIV/0!</v>
      </c>
      <c r="D39" s="2659"/>
      <c r="E39" s="2659"/>
      <c r="F39" s="2659"/>
      <c r="G39" s="2659"/>
      <c r="H39" s="2659"/>
      <c r="I39" s="2659"/>
      <c r="J39" s="2659"/>
      <c r="K39" s="1611"/>
      <c r="L39" s="2143"/>
      <c r="M39" s="2144"/>
      <c r="N39" s="2144"/>
      <c r="O39" s="2144"/>
      <c r="P39" s="3413" t="str">
        <f>A39</f>
        <v>估价对象XX用房的比较价格（楼面单价，元/平方米）</v>
      </c>
      <c r="Q39" s="3414"/>
      <c r="R39" s="3528" t="e">
        <f>IF(F1="售价",ROUND(AVERAGE(R38:V38),0),ROUND(AVERAGE(R38:V38),1))</f>
        <v>#DIV/0!</v>
      </c>
      <c r="S39" s="3528"/>
      <c r="T39" s="3528"/>
      <c r="U39" s="3528"/>
      <c r="V39" s="3528"/>
      <c r="W39" s="3528"/>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2557</v>
      </c>
      <c r="C67" s="2621" t="s">
        <v>2558</v>
      </c>
      <c r="D67" s="2621" t="s">
        <v>2559</v>
      </c>
      <c r="E67" s="2621" t="s">
        <v>2560</v>
      </c>
      <c r="F67" s="2621" t="s">
        <v>2561</v>
      </c>
      <c r="G67" s="2621" t="s">
        <v>2562</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22" t="s">
        <v>797</v>
      </c>
      <c r="D4" s="3423"/>
      <c r="E4" s="3456" t="s">
        <v>798</v>
      </c>
      <c r="F4" s="3457"/>
      <c r="G4" s="3422" t="s">
        <v>799</v>
      </c>
      <c r="H4" s="3423"/>
      <c r="I4" s="3422" t="s">
        <v>800</v>
      </c>
      <c r="J4" s="3423"/>
      <c r="K4" s="513" t="s">
        <v>801</v>
      </c>
      <c r="L4" s="2132"/>
      <c r="M4" s="2133"/>
      <c r="N4" s="2133"/>
      <c r="O4" s="2133"/>
      <c r="P4" s="3424" t="s">
        <v>802</v>
      </c>
      <c r="Q4" s="3425"/>
      <c r="R4" s="3430" t="s">
        <v>798</v>
      </c>
      <c r="S4" s="3431"/>
      <c r="T4" s="3430" t="s">
        <v>799</v>
      </c>
      <c r="U4" s="3431"/>
      <c r="V4" s="3417" t="s">
        <v>800</v>
      </c>
      <c r="W4" s="3417"/>
      <c r="X4" s="1565"/>
      <c r="Y4" s="3430" t="s">
        <v>802</v>
      </c>
      <c r="Z4" s="3431"/>
      <c r="AA4" s="3419" t="s">
        <v>798</v>
      </c>
      <c r="AB4" s="3420" t="s">
        <v>799</v>
      </c>
      <c r="AC4" s="3419" t="s">
        <v>800</v>
      </c>
    </row>
    <row r="5" spans="1:29" ht="15">
      <c r="A5" s="514"/>
      <c r="B5" s="515"/>
      <c r="C5" s="3438" t="s">
        <v>2926</v>
      </c>
      <c r="D5" s="3439"/>
      <c r="E5" s="3458" t="s">
        <v>2927</v>
      </c>
      <c r="F5" s="3459"/>
      <c r="G5" s="3438" t="s">
        <v>2928</v>
      </c>
      <c r="H5" s="3439"/>
      <c r="I5" s="3438" t="s">
        <v>2929</v>
      </c>
      <c r="J5" s="3439"/>
      <c r="K5" s="513"/>
      <c r="L5" s="2132"/>
      <c r="M5" s="2133"/>
      <c r="N5" s="2133"/>
      <c r="O5" s="2133"/>
      <c r="P5" s="3426"/>
      <c r="Q5" s="3427"/>
      <c r="R5" s="3432"/>
      <c r="S5" s="3433"/>
      <c r="T5" s="3432"/>
      <c r="U5" s="3433"/>
      <c r="V5" s="3417"/>
      <c r="W5" s="3417"/>
      <c r="X5" s="1565"/>
      <c r="Y5" s="3432"/>
      <c r="Z5" s="3433"/>
      <c r="AA5" s="3420"/>
      <c r="AB5" s="3420"/>
      <c r="AC5" s="3420"/>
    </row>
    <row r="6" spans="1:29" ht="15.75" thickBot="1">
      <c r="A6" s="516"/>
      <c r="B6" s="517"/>
      <c r="C6" s="3436" t="s">
        <v>2930</v>
      </c>
      <c r="D6" s="3437"/>
      <c r="E6" s="3454" t="s">
        <v>2930</v>
      </c>
      <c r="F6" s="3455"/>
      <c r="G6" s="3436" t="s">
        <v>2930</v>
      </c>
      <c r="H6" s="3437"/>
      <c r="I6" s="3436" t="s">
        <v>2930</v>
      </c>
      <c r="J6" s="3437"/>
      <c r="K6" s="513" t="s">
        <v>528</v>
      </c>
      <c r="L6" s="2132"/>
      <c r="M6" s="2133"/>
      <c r="N6" s="2133"/>
      <c r="O6" s="2133"/>
      <c r="P6" s="3428"/>
      <c r="Q6" s="3429"/>
      <c r="R6" s="3432"/>
      <c r="S6" s="3433"/>
      <c r="T6" s="3434"/>
      <c r="U6" s="3435"/>
      <c r="V6" s="3417"/>
      <c r="W6" s="3417"/>
      <c r="X6" s="1565"/>
      <c r="Y6" s="3434"/>
      <c r="Z6" s="3435"/>
      <c r="AA6" s="3421"/>
      <c r="AB6" s="3421"/>
      <c r="AC6" s="3421"/>
    </row>
    <row r="7" spans="1:29" s="1218" customFormat="1" ht="15.75" thickBot="1">
      <c r="A7" s="2935"/>
      <c r="B7" s="2942" t="s">
        <v>529</v>
      </c>
      <c r="C7" s="518">
        <f>'数据-取费表'!B2</f>
        <v>43224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47" t="s">
        <v>530</v>
      </c>
      <c r="Q7" s="3449"/>
      <c r="R7" s="1566" t="s">
        <v>8</v>
      </c>
      <c r="S7" s="1567">
        <f t="shared" ref="S7:S14" si="0">F7</f>
        <v>0</v>
      </c>
      <c r="T7" s="1566" t="s">
        <v>8</v>
      </c>
      <c r="U7" s="1567">
        <f t="shared" ref="U7:U14" si="1">H7</f>
        <v>0</v>
      </c>
      <c r="V7" s="1566" t="s">
        <v>8</v>
      </c>
      <c r="W7" s="1567">
        <f t="shared" ref="W7:W14" si="2">J7</f>
        <v>0</v>
      </c>
      <c r="X7" s="1568"/>
      <c r="Y7" s="3447" t="s">
        <v>530</v>
      </c>
      <c r="Z7" s="3448"/>
      <c r="AA7" s="1569" t="e">
        <f>D7/F7</f>
        <v>#DIV/0!</v>
      </c>
      <c r="AB7" s="1569" t="e">
        <f>D7/H7</f>
        <v>#DIV/0!</v>
      </c>
      <c r="AC7" s="1569" t="e">
        <f>D7/J7</f>
        <v>#DIV/0!</v>
      </c>
    </row>
    <row r="8" spans="1:29" s="1218"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47" t="s">
        <v>533</v>
      </c>
      <c r="Q8" s="3448"/>
      <c r="R8" s="1566" t="s">
        <v>8</v>
      </c>
      <c r="S8" s="1567">
        <f t="shared" si="0"/>
        <v>0</v>
      </c>
      <c r="T8" s="1566" t="s">
        <v>8</v>
      </c>
      <c r="U8" s="1567">
        <f t="shared" si="1"/>
        <v>0</v>
      </c>
      <c r="V8" s="1566" t="s">
        <v>8</v>
      </c>
      <c r="W8" s="1567">
        <f t="shared" si="2"/>
        <v>0</v>
      </c>
      <c r="X8" s="1568"/>
      <c r="Y8" s="3447" t="s">
        <v>533</v>
      </c>
      <c r="Z8" s="3448"/>
      <c r="AA8" s="1569" t="e">
        <f t="shared" ref="AA8:AA34" si="3">D8/F8</f>
        <v>#DIV/0!</v>
      </c>
      <c r="AB8" s="1569" t="e">
        <f t="shared" ref="AB8:AB34" si="4">D8/H8</f>
        <v>#DIV/0!</v>
      </c>
      <c r="AC8" s="1569" t="e">
        <f t="shared" ref="AC8:AC34" si="5">D8/J8</f>
        <v>#DIV/0!</v>
      </c>
    </row>
    <row r="9" spans="1:29" s="1218" customFormat="1" ht="15">
      <c r="A9" s="2937"/>
      <c r="B9" s="2944" t="s">
        <v>2754</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16" t="s">
        <v>535</v>
      </c>
      <c r="Q9" s="1149" t="str">
        <f t="shared" ref="Q9:Q14" si="6">B9</f>
        <v>用途</v>
      </c>
      <c r="R9" s="1566" t="s">
        <v>8</v>
      </c>
      <c r="S9" s="1567">
        <f t="shared" si="0"/>
        <v>100</v>
      </c>
      <c r="T9" s="1566" t="s">
        <v>8</v>
      </c>
      <c r="U9" s="1567">
        <f t="shared" si="1"/>
        <v>100</v>
      </c>
      <c r="V9" s="1566" t="s">
        <v>8</v>
      </c>
      <c r="W9" s="1567">
        <f t="shared" si="2"/>
        <v>100</v>
      </c>
      <c r="X9" s="1568"/>
      <c r="Y9" s="3362"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16"/>
      <c r="Q10" s="1149" t="str">
        <f t="shared" si="6"/>
        <v>土地使用年限（年）</v>
      </c>
      <c r="R10" s="1566" t="s">
        <v>8</v>
      </c>
      <c r="S10" s="1567">
        <f t="shared" si="0"/>
        <v>100</v>
      </c>
      <c r="T10" s="1566" t="s">
        <v>8</v>
      </c>
      <c r="U10" s="1567">
        <f t="shared" si="1"/>
        <v>100</v>
      </c>
      <c r="V10" s="1566" t="s">
        <v>8</v>
      </c>
      <c r="W10" s="1567">
        <f t="shared" si="2"/>
        <v>100</v>
      </c>
      <c r="X10" s="1568"/>
      <c r="Y10" s="3362"/>
      <c r="Z10" s="1148" t="str">
        <f t="shared" si="7"/>
        <v>土地使用年限（年）</v>
      </c>
      <c r="AA10" s="1569">
        <f t="shared" si="3"/>
        <v>1</v>
      </c>
      <c r="AB10" s="1569">
        <f t="shared" si="4"/>
        <v>1</v>
      </c>
      <c r="AC10" s="1569">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16"/>
      <c r="Q11" s="1149">
        <f t="shared" si="6"/>
        <v>111</v>
      </c>
      <c r="R11" s="1566" t="s">
        <v>8</v>
      </c>
      <c r="S11" s="1567">
        <f t="shared" si="0"/>
        <v>100</v>
      </c>
      <c r="T11" s="1566" t="s">
        <v>8</v>
      </c>
      <c r="U11" s="1567">
        <f t="shared" si="1"/>
        <v>100</v>
      </c>
      <c r="V11" s="1566" t="s">
        <v>8</v>
      </c>
      <c r="W11" s="1567">
        <f t="shared" si="2"/>
        <v>100</v>
      </c>
      <c r="X11" s="1568"/>
      <c r="Y11" s="3362"/>
      <c r="Z11" s="1148">
        <f t="shared" si="7"/>
        <v>111</v>
      </c>
      <c r="AA11" s="1569">
        <f t="shared" si="3"/>
        <v>1</v>
      </c>
      <c r="AB11" s="1569">
        <f t="shared" si="4"/>
        <v>1</v>
      </c>
      <c r="AC11" s="1569">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16"/>
      <c r="Q12" s="1149">
        <f t="shared" si="6"/>
        <v>111</v>
      </c>
      <c r="R12" s="1566" t="s">
        <v>8</v>
      </c>
      <c r="S12" s="1567">
        <f t="shared" si="0"/>
        <v>100</v>
      </c>
      <c r="T12" s="1566" t="s">
        <v>8</v>
      </c>
      <c r="U12" s="1567">
        <f t="shared" si="1"/>
        <v>100</v>
      </c>
      <c r="V12" s="1566" t="s">
        <v>8</v>
      </c>
      <c r="W12" s="1567">
        <f t="shared" si="2"/>
        <v>100</v>
      </c>
      <c r="X12" s="1568"/>
      <c r="Y12" s="3362"/>
      <c r="Z12" s="1148">
        <f t="shared" si="7"/>
        <v>111</v>
      </c>
      <c r="AA12" s="1569">
        <f>D12/F12</f>
        <v>1</v>
      </c>
      <c r="AB12" s="1569">
        <f>D12/H12</f>
        <v>1</v>
      </c>
      <c r="AC12" s="1569">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16"/>
      <c r="Q13" s="1149">
        <f t="shared" si="6"/>
        <v>111</v>
      </c>
      <c r="R13" s="1566" t="s">
        <v>8</v>
      </c>
      <c r="S13" s="1567">
        <f t="shared" si="0"/>
        <v>100</v>
      </c>
      <c r="T13" s="1566" t="s">
        <v>8</v>
      </c>
      <c r="U13" s="1567">
        <f t="shared" si="1"/>
        <v>100</v>
      </c>
      <c r="V13" s="1566" t="s">
        <v>8</v>
      </c>
      <c r="W13" s="1567">
        <f t="shared" si="2"/>
        <v>100</v>
      </c>
      <c r="X13" s="1568"/>
      <c r="Y13" s="3362"/>
      <c r="Z13" s="1148">
        <f t="shared" si="7"/>
        <v>111</v>
      </c>
      <c r="AA13" s="1569">
        <f t="shared" si="3"/>
        <v>1</v>
      </c>
      <c r="AB13" s="1569">
        <f t="shared" si="4"/>
        <v>1</v>
      </c>
      <c r="AC13" s="1569">
        <f t="shared" si="5"/>
        <v>1</v>
      </c>
    </row>
    <row r="14" spans="1:29" ht="85.5">
      <c r="A14" s="2933"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50" t="s">
        <v>540</v>
      </c>
      <c r="Q14" s="1570" t="str">
        <f t="shared" si="6"/>
        <v>交通便捷度</v>
      </c>
      <c r="R14" s="1571" t="s">
        <v>8</v>
      </c>
      <c r="S14" s="1572">
        <f t="shared" si="0"/>
        <v>100</v>
      </c>
      <c r="T14" s="1571" t="s">
        <v>8</v>
      </c>
      <c r="U14" s="1572">
        <f t="shared" si="1"/>
        <v>100</v>
      </c>
      <c r="V14" s="1571" t="s">
        <v>8</v>
      </c>
      <c r="W14" s="1572">
        <f t="shared" si="2"/>
        <v>100</v>
      </c>
      <c r="X14" s="1565"/>
      <c r="Y14" s="3450"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451"/>
      <c r="Q15" s="1570"/>
      <c r="R15" s="1571"/>
      <c r="S15" s="1572"/>
      <c r="T15" s="1571"/>
      <c r="U15" s="1572"/>
      <c r="V15" s="1571"/>
      <c r="W15" s="1572"/>
      <c r="X15" s="1565"/>
      <c r="Y15" s="3451"/>
      <c r="Z15" s="1573"/>
      <c r="AA15" s="1574">
        <v>1</v>
      </c>
      <c r="AB15" s="1574">
        <v>1</v>
      </c>
      <c r="AC15" s="1574">
        <v>1</v>
      </c>
    </row>
    <row r="16" spans="1:29" ht="42.75">
      <c r="A16" s="531"/>
      <c r="B16" s="262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51"/>
      <c r="Q16" s="1570" t="str">
        <f>B16</f>
        <v>公共配套设施</v>
      </c>
      <c r="R16" s="1571" t="s">
        <v>8</v>
      </c>
      <c r="S16" s="1572">
        <f>F16</f>
        <v>100</v>
      </c>
      <c r="T16" s="1571" t="s">
        <v>8</v>
      </c>
      <c r="U16" s="1572">
        <f>H16</f>
        <v>100</v>
      </c>
      <c r="V16" s="1571" t="s">
        <v>8</v>
      </c>
      <c r="W16" s="1572">
        <f>J16</f>
        <v>100</v>
      </c>
      <c r="X16" s="1565"/>
      <c r="Y16" s="345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451"/>
      <c r="Q17" s="1570"/>
      <c r="R17" s="1571"/>
      <c r="S17" s="1572"/>
      <c r="T17" s="1571"/>
      <c r="U17" s="1572"/>
      <c r="V17" s="1571"/>
      <c r="W17" s="1572"/>
      <c r="X17" s="1565"/>
      <c r="Y17" s="3451"/>
      <c r="Z17" s="1573"/>
      <c r="AA17" s="1574">
        <v>1</v>
      </c>
      <c r="AB17" s="1574">
        <v>1</v>
      </c>
      <c r="AC17" s="1574">
        <v>1</v>
      </c>
    </row>
    <row r="18" spans="1:29" ht="28.5">
      <c r="A18" s="531"/>
      <c r="B18" s="261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51"/>
      <c r="Q18" s="2602" t="str">
        <f>B18</f>
        <v>基础设施水平</v>
      </c>
      <c r="R18" s="1571" t="s">
        <v>8</v>
      </c>
      <c r="S18" s="1572">
        <f>F18</f>
        <v>100</v>
      </c>
      <c r="T18" s="1571" t="s">
        <v>8</v>
      </c>
      <c r="U18" s="1572">
        <f>H18</f>
        <v>100</v>
      </c>
      <c r="V18" s="1571" t="s">
        <v>8</v>
      </c>
      <c r="W18" s="1572">
        <f>J18</f>
        <v>100</v>
      </c>
      <c r="X18" s="2604"/>
      <c r="Y18" s="3451"/>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51"/>
      <c r="Q19" s="2602"/>
      <c r="R19" s="1571"/>
      <c r="S19" s="1572"/>
      <c r="T19" s="1571"/>
      <c r="U19" s="1572"/>
      <c r="V19" s="1571"/>
      <c r="W19" s="1572"/>
      <c r="X19" s="2604"/>
      <c r="Y19" s="3451"/>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51"/>
      <c r="Q20" s="1570" t="str">
        <f>B20</f>
        <v>自然及人文环境</v>
      </c>
      <c r="R20" s="1571" t="s">
        <v>8</v>
      </c>
      <c r="S20" s="1572">
        <f>F20</f>
        <v>100</v>
      </c>
      <c r="T20" s="1571" t="s">
        <v>8</v>
      </c>
      <c r="U20" s="1572">
        <f>H20</f>
        <v>100</v>
      </c>
      <c r="V20" s="1571" t="s">
        <v>8</v>
      </c>
      <c r="W20" s="1572">
        <f>J20</f>
        <v>100</v>
      </c>
      <c r="X20" s="1565"/>
      <c r="Y20" s="345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451"/>
      <c r="Q21" s="1570"/>
      <c r="R21" s="1571"/>
      <c r="S21" s="1572"/>
      <c r="T21" s="1571"/>
      <c r="U21" s="1572"/>
      <c r="V21" s="1571"/>
      <c r="W21" s="1572"/>
      <c r="X21" s="1565"/>
      <c r="Y21" s="3451"/>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51"/>
      <c r="Q22" s="1570" t="str">
        <f>B22</f>
        <v>楼层</v>
      </c>
      <c r="R22" s="1571" t="s">
        <v>8</v>
      </c>
      <c r="S22" s="1572">
        <f>F22</f>
        <v>100</v>
      </c>
      <c r="T22" s="1571" t="s">
        <v>8</v>
      </c>
      <c r="U22" s="1572">
        <f>H22</f>
        <v>100</v>
      </c>
      <c r="V22" s="1571" t="s">
        <v>8</v>
      </c>
      <c r="W22" s="1572">
        <f>J22</f>
        <v>100</v>
      </c>
      <c r="X22" s="1565"/>
      <c r="Y22" s="345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51"/>
      <c r="Q23" s="1570">
        <f>B23</f>
        <v>111</v>
      </c>
      <c r="R23" s="1571" t="s">
        <v>8</v>
      </c>
      <c r="S23" s="1572">
        <f>F23</f>
        <v>100</v>
      </c>
      <c r="T23" s="1571" t="s">
        <v>8</v>
      </c>
      <c r="U23" s="1572">
        <f>H23</f>
        <v>100</v>
      </c>
      <c r="V23" s="1571" t="s">
        <v>8</v>
      </c>
      <c r="W23" s="1572">
        <f>J23</f>
        <v>100</v>
      </c>
      <c r="X23" s="1565"/>
      <c r="Y23" s="345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51"/>
      <c r="Q24" s="1570">
        <f t="shared" ref="Q24:Q34" si="11">B24</f>
        <v>111</v>
      </c>
      <c r="R24" s="1571" t="s">
        <v>8</v>
      </c>
      <c r="S24" s="1572">
        <f>F24</f>
        <v>100</v>
      </c>
      <c r="T24" s="1571" t="s">
        <v>8</v>
      </c>
      <c r="U24" s="1572">
        <f>H24</f>
        <v>100</v>
      </c>
      <c r="V24" s="1571" t="s">
        <v>8</v>
      </c>
      <c r="W24" s="1572">
        <f>J24</f>
        <v>100</v>
      </c>
      <c r="X24" s="1565"/>
      <c r="Y24" s="3451"/>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51"/>
      <c r="Q25" s="1149">
        <f t="shared" si="11"/>
        <v>111</v>
      </c>
      <c r="R25" s="1566" t="s">
        <v>8</v>
      </c>
      <c r="S25" s="1567">
        <f>F25</f>
        <v>100</v>
      </c>
      <c r="T25" s="1566" t="s">
        <v>8</v>
      </c>
      <c r="U25" s="1567">
        <f>H25</f>
        <v>100</v>
      </c>
      <c r="V25" s="1566" t="s">
        <v>8</v>
      </c>
      <c r="W25" s="1567">
        <f>J25</f>
        <v>100</v>
      </c>
      <c r="X25" s="1568"/>
      <c r="Y25" s="3451"/>
      <c r="Z25" s="1148">
        <f>Q25</f>
        <v>111</v>
      </c>
      <c r="AA25" s="1574">
        <f>D25/F25</f>
        <v>1</v>
      </c>
      <c r="AB25" s="1574">
        <f>D25/H25</f>
        <v>1</v>
      </c>
      <c r="AC25" s="1574">
        <f>D25/J25</f>
        <v>1</v>
      </c>
    </row>
    <row r="26" spans="1:29" ht="15">
      <c r="A26" s="2930"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52"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53" t="s">
        <v>820</v>
      </c>
      <c r="Z26" s="1573" t="str">
        <f t="shared" ref="Z26:Z34" si="15">Q26</f>
        <v>公共部分装修</v>
      </c>
      <c r="AA26" s="1574">
        <f t="shared" si="3"/>
        <v>1</v>
      </c>
      <c r="AB26" s="1574">
        <f t="shared" si="4"/>
        <v>1</v>
      </c>
      <c r="AC26" s="1574">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53"/>
      <c r="Q27" s="1603" t="str">
        <f t="shared" si="11"/>
        <v>成新率</v>
      </c>
      <c r="R27" s="1575" t="s">
        <v>8</v>
      </c>
      <c r="S27" s="1576" t="e">
        <f t="shared" si="12"/>
        <v>#N/A</v>
      </c>
      <c r="T27" s="1575" t="s">
        <v>8</v>
      </c>
      <c r="U27" s="1576" t="e">
        <f t="shared" si="13"/>
        <v>#N/A</v>
      </c>
      <c r="V27" s="1575" t="s">
        <v>8</v>
      </c>
      <c r="W27" s="1576" t="e">
        <f t="shared" si="14"/>
        <v>#N/A</v>
      </c>
      <c r="X27" s="1577"/>
      <c r="Y27" s="3453"/>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53"/>
      <c r="Q28" s="1570" t="str">
        <f t="shared" si="11"/>
        <v>物业等级</v>
      </c>
      <c r="R28" s="1571" t="s">
        <v>8</v>
      </c>
      <c r="S28" s="1572">
        <f t="shared" si="12"/>
        <v>100</v>
      </c>
      <c r="T28" s="1571" t="s">
        <v>8</v>
      </c>
      <c r="U28" s="1572">
        <f t="shared" si="13"/>
        <v>100</v>
      </c>
      <c r="V28" s="1571" t="s">
        <v>8</v>
      </c>
      <c r="W28" s="1572">
        <f t="shared" si="14"/>
        <v>100</v>
      </c>
      <c r="X28" s="1565"/>
      <c r="Y28" s="3453"/>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53"/>
      <c r="Q29" s="1570" t="str">
        <f t="shared" si="11"/>
        <v>有无电梯</v>
      </c>
      <c r="R29" s="1571" t="s">
        <v>8</v>
      </c>
      <c r="S29" s="1572">
        <f t="shared" si="12"/>
        <v>100</v>
      </c>
      <c r="T29" s="1571" t="s">
        <v>8</v>
      </c>
      <c r="U29" s="1572">
        <f t="shared" si="13"/>
        <v>100</v>
      </c>
      <c r="V29" s="1571" t="s">
        <v>8</v>
      </c>
      <c r="W29" s="1572">
        <f t="shared" si="14"/>
        <v>100</v>
      </c>
      <c r="X29" s="1565"/>
      <c r="Y29" s="3453"/>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53"/>
      <c r="Q30" s="1570" t="str">
        <f t="shared" si="11"/>
        <v>建筑面积</v>
      </c>
      <c r="R30" s="1571" t="s">
        <v>8</v>
      </c>
      <c r="S30" s="1572" t="e">
        <f t="shared" si="12"/>
        <v>#N/A</v>
      </c>
      <c r="T30" s="1571" t="s">
        <v>8</v>
      </c>
      <c r="U30" s="1572" t="e">
        <f t="shared" si="13"/>
        <v>#N/A</v>
      </c>
      <c r="V30" s="1571" t="s">
        <v>8</v>
      </c>
      <c r="W30" s="1572" t="e">
        <f t="shared" si="14"/>
        <v>#N/A</v>
      </c>
      <c r="X30" s="1565"/>
      <c r="Y30" s="3453"/>
      <c r="Z30" s="1573" t="str">
        <f t="shared" si="15"/>
        <v>建筑面积</v>
      </c>
      <c r="AA30" s="1574" t="e">
        <f t="shared" si="3"/>
        <v>#N/A</v>
      </c>
      <c r="AB30" s="1574" t="e">
        <f t="shared" si="4"/>
        <v>#N/A</v>
      </c>
      <c r="AC30" s="1574"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53"/>
      <c r="Q31" s="1149" t="str">
        <f t="shared" si="11"/>
        <v>是否封闭</v>
      </c>
      <c r="R31" s="1566" t="s">
        <v>8</v>
      </c>
      <c r="S31" s="1567">
        <f t="shared" si="12"/>
        <v>100</v>
      </c>
      <c r="T31" s="1566" t="s">
        <v>8</v>
      </c>
      <c r="U31" s="1567">
        <f t="shared" si="13"/>
        <v>100</v>
      </c>
      <c r="V31" s="1566" t="s">
        <v>8</v>
      </c>
      <c r="W31" s="1567">
        <f t="shared" si="14"/>
        <v>100</v>
      </c>
      <c r="X31" s="1568"/>
      <c r="Y31" s="3453"/>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53" t="s">
        <v>550</v>
      </c>
      <c r="Q32" s="1570">
        <f t="shared" si="11"/>
        <v>111</v>
      </c>
      <c r="R32" s="1571" t="s">
        <v>8</v>
      </c>
      <c r="S32" s="1572">
        <f t="shared" si="12"/>
        <v>100</v>
      </c>
      <c r="T32" s="1571" t="s">
        <v>8</v>
      </c>
      <c r="U32" s="1572">
        <f t="shared" si="13"/>
        <v>100</v>
      </c>
      <c r="V32" s="1571" t="s">
        <v>8</v>
      </c>
      <c r="W32" s="1572">
        <f t="shared" si="14"/>
        <v>100</v>
      </c>
      <c r="X32" s="1565"/>
      <c r="Y32" s="3453"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53"/>
      <c r="Q33" s="1570">
        <f t="shared" si="11"/>
        <v>111</v>
      </c>
      <c r="R33" s="1571" t="s">
        <v>8</v>
      </c>
      <c r="S33" s="1572">
        <f t="shared" si="12"/>
        <v>100</v>
      </c>
      <c r="T33" s="1571" t="s">
        <v>8</v>
      </c>
      <c r="U33" s="1572">
        <f t="shared" si="13"/>
        <v>100</v>
      </c>
      <c r="V33" s="1571" t="s">
        <v>8</v>
      </c>
      <c r="W33" s="1572">
        <f t="shared" si="14"/>
        <v>100</v>
      </c>
      <c r="X33" s="1565"/>
      <c r="Y33" s="3453"/>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53"/>
      <c r="Q34" s="1570">
        <f t="shared" si="11"/>
        <v>111</v>
      </c>
      <c r="R34" s="1571" t="s">
        <v>8</v>
      </c>
      <c r="S34" s="1572">
        <f t="shared" si="12"/>
        <v>100</v>
      </c>
      <c r="T34" s="1571" t="s">
        <v>8</v>
      </c>
      <c r="U34" s="1572">
        <f t="shared" si="13"/>
        <v>100</v>
      </c>
      <c r="V34" s="1571" t="s">
        <v>8</v>
      </c>
      <c r="W34" s="1572">
        <f t="shared" si="14"/>
        <v>100</v>
      </c>
      <c r="X34" s="1565"/>
      <c r="Y34" s="3453"/>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416" t="str">
        <f>A35</f>
        <v>成交单价（元/平方米）</v>
      </c>
      <c r="Q35" s="3416"/>
      <c r="R35" s="3529">
        <f>E35</f>
        <v>0</v>
      </c>
      <c r="S35" s="3529"/>
      <c r="T35" s="3529">
        <f>G35</f>
        <v>0</v>
      </c>
      <c r="U35" s="3529"/>
      <c r="V35" s="3529">
        <f>I35</f>
        <v>0</v>
      </c>
      <c r="W35" s="3529"/>
      <c r="X35" s="1557"/>
      <c r="Y35" s="1579"/>
      <c r="Z35" s="1557"/>
      <c r="AA35" s="1557"/>
      <c r="AB35" s="1557"/>
      <c r="AC35" s="1557"/>
    </row>
    <row r="36" spans="1:29" ht="15.75" thickBot="1">
      <c r="A36" s="614" t="s">
        <v>2758</v>
      </c>
      <c r="B36" s="887"/>
      <c r="C36" s="2656" t="e">
        <f>R37</f>
        <v>#DIV/0!</v>
      </c>
      <c r="D36" s="2657"/>
      <c r="E36" s="2658" t="e">
        <f>R36</f>
        <v>#DIV/0!</v>
      </c>
      <c r="F36" s="2658"/>
      <c r="G36" s="2656" t="e">
        <f>T36</f>
        <v>#DIV/0!</v>
      </c>
      <c r="H36" s="2657"/>
      <c r="I36" s="2658" t="e">
        <f>V36</f>
        <v>#DIV/0!</v>
      </c>
      <c r="J36" s="2657"/>
      <c r="K36" s="1610"/>
      <c r="L36" s="2143"/>
      <c r="M36" s="2144"/>
      <c r="N36" s="2133"/>
      <c r="O36" s="2144"/>
      <c r="P36" s="3416" t="str">
        <f>A36</f>
        <v>比较价格（元/平方米）</v>
      </c>
      <c r="Q36" s="3416"/>
      <c r="R36" s="3529" t="e">
        <f>IF(F1="售价",ROUND(PRODUCT(R35,AA7:AA34),0),ROUND(PRODUCT(R35,AA7:AA34),1))</f>
        <v>#DIV/0!</v>
      </c>
      <c r="S36" s="3529"/>
      <c r="T36" s="3529" t="e">
        <f>IF(F1="售价",ROUND(PRODUCT(T35,AB7:AB34),0),ROUND(PRODUCT(T35,AB7:AB34),1))</f>
        <v>#DIV/0!</v>
      </c>
      <c r="U36" s="3529"/>
      <c r="V36" s="3529" t="e">
        <f>IF(F1="售价",ROUND(PRODUCT(V35,AC7:AC34),0),ROUND(PRODUCT(V35,AC7:AC34),1))</f>
        <v>#DIV/0!</v>
      </c>
      <c r="W36" s="3529"/>
      <c r="X36" s="1557"/>
      <c r="Y36" s="1557"/>
      <c r="Z36" s="1557"/>
      <c r="AA36" s="1557"/>
      <c r="AB36" s="1557"/>
      <c r="AC36" s="1557"/>
    </row>
    <row r="37" spans="1:29" ht="15.75" thickBot="1">
      <c r="A37" s="620" t="s">
        <v>2932</v>
      </c>
      <c r="B37" s="621"/>
      <c r="C37" s="2659" t="e">
        <f>R37</f>
        <v>#DIV/0!</v>
      </c>
      <c r="D37" s="2659"/>
      <c r="E37" s="2659"/>
      <c r="F37" s="2659"/>
      <c r="G37" s="2659"/>
      <c r="H37" s="2659"/>
      <c r="I37" s="2659"/>
      <c r="J37" s="2659"/>
      <c r="K37" s="1611"/>
      <c r="L37" s="2143"/>
      <c r="M37" s="2144"/>
      <c r="N37" s="2144"/>
      <c r="O37" s="2144"/>
      <c r="P37" s="3413" t="str">
        <f>A37</f>
        <v>估价对象XX用房的比较价格（楼面单价，元/平方米）</v>
      </c>
      <c r="Q37" s="3414"/>
      <c r="R37" s="3528" t="e">
        <f>IF(F1="售价",ROUND(AVERAGE(R36:V36),0),ROUND(AVERAGE(R36:V36),1))</f>
        <v>#DIV/0!</v>
      </c>
      <c r="S37" s="3528"/>
      <c r="T37" s="3528"/>
      <c r="U37" s="3528"/>
      <c r="V37" s="3528"/>
      <c r="W37" s="3528"/>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2557</v>
      </c>
      <c r="C65" s="2621" t="s">
        <v>2558</v>
      </c>
      <c r="D65" s="2621" t="s">
        <v>2559</v>
      </c>
      <c r="E65" s="2621" t="s">
        <v>2560</v>
      </c>
      <c r="F65" s="2621" t="s">
        <v>2561</v>
      </c>
      <c r="G65" s="2621" t="s">
        <v>2562</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93.75">
      <c r="A7" s="2896" t="s">
        <v>2746</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8" t="s">
        <v>2747</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48" customWidth="1"/>
    <col min="2" max="2" width="9.125" style="1216" customWidth="1"/>
    <col min="3" max="3" width="5" style="1216" customWidth="1"/>
    <col min="4" max="4" width="8.875" style="1216"/>
    <col min="5" max="5" width="5" style="1216" customWidth="1"/>
    <col min="6" max="6" width="8.875" style="1216"/>
    <col min="7" max="7" width="5" style="1216" customWidth="1"/>
    <col min="8" max="8" width="8.875" style="1216"/>
    <col min="9" max="9" width="5" style="1216" customWidth="1"/>
    <col min="10" max="10" width="8.875" style="1216"/>
    <col min="11" max="11" width="5" style="1216" customWidth="1"/>
    <col min="12" max="12" width="8.875" style="1216"/>
    <col min="13" max="13" width="5" style="1216" customWidth="1"/>
    <col min="14" max="14" width="8.875" style="1216"/>
    <col min="15" max="15" width="5" style="1216" customWidth="1"/>
    <col min="16" max="16" width="8.875" style="1216"/>
    <col min="17" max="17" width="5" style="1216" customWidth="1"/>
    <col min="18" max="18" width="8.875" style="1614"/>
    <col min="19" max="19" width="8.875" style="1248"/>
    <col min="20" max="35" width="8.875" style="256"/>
    <col min="36" max="16384" width="8.875" style="1248"/>
  </cols>
  <sheetData>
    <row r="1" spans="1:45" s="256" customFormat="1" ht="14.25" customHeight="1" thickBot="1">
      <c r="A1" s="364"/>
      <c r="B1" s="2233" t="s">
        <v>2303</v>
      </c>
      <c r="C1" s="3542" t="s">
        <v>2304</v>
      </c>
      <c r="D1" s="3543"/>
      <c r="E1" s="3543"/>
      <c r="F1" s="3543"/>
      <c r="G1" s="3543"/>
      <c r="H1" s="3543"/>
      <c r="I1" s="3543"/>
      <c r="J1" s="3543"/>
      <c r="K1" s="3543"/>
      <c r="L1" s="3543"/>
      <c r="M1" s="3543"/>
      <c r="N1" s="3543"/>
      <c r="O1" s="3543"/>
      <c r="P1" s="3543"/>
      <c r="Q1" s="3543"/>
      <c r="R1" s="3543"/>
      <c r="S1" s="3544"/>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2925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2924</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2923</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2938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2922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2921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3">
        <f>SUM(B24:B10000)</f>
        <v>0</v>
      </c>
      <c r="C22" s="3539" t="s">
        <v>20</v>
      </c>
      <c r="D22" s="3540"/>
      <c r="E22" s="3540"/>
      <c r="F22" s="3540"/>
      <c r="G22" s="3540"/>
      <c r="H22" s="3540"/>
      <c r="I22" s="3540"/>
      <c r="J22" s="3540"/>
      <c r="K22" s="3540"/>
      <c r="L22" s="3540"/>
      <c r="M22" s="3540"/>
      <c r="N22" s="3540"/>
      <c r="O22" s="3540"/>
      <c r="P22" s="3540"/>
      <c r="Q22" s="3541"/>
      <c r="R22" s="489"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4" customWidth="1"/>
    <col min="2" max="2" width="13.125" style="2970" customWidth="1"/>
    <col min="3" max="3" width="15.625" style="2970" customWidth="1"/>
    <col min="4" max="4" width="9.375" style="2970" bestFit="1" customWidth="1"/>
    <col min="5" max="5" width="13.5" style="2970" customWidth="1"/>
    <col min="6" max="6" width="8.875" style="2970"/>
    <col min="7" max="7" width="9.375" style="2970" bestFit="1" customWidth="1"/>
    <col min="8" max="9" width="8.875" style="2970"/>
    <col min="10" max="10" width="9.375" style="2970" bestFit="1" customWidth="1"/>
    <col min="11" max="11" width="4" style="2964" customWidth="1"/>
    <col min="12" max="12" width="5.125" style="2970" customWidth="1"/>
    <col min="13" max="13" width="13.625" style="2970" customWidth="1"/>
    <col min="14" max="256" width="8.875" style="2970"/>
    <col min="257" max="257" width="4.875" style="2962" customWidth="1"/>
    <col min="258" max="258" width="13.125" style="2962" customWidth="1"/>
    <col min="259" max="259" width="15.625" style="2962" customWidth="1"/>
    <col min="260" max="260" width="9.375" style="2962" bestFit="1" customWidth="1"/>
    <col min="261" max="261" width="13.5" style="2962" customWidth="1"/>
    <col min="262" max="262" width="8.875" style="2962"/>
    <col min="263" max="263" width="9.375" style="2962" bestFit="1" customWidth="1"/>
    <col min="264" max="265" width="8.875" style="2962"/>
    <col min="266" max="266" width="9.375" style="2962" bestFit="1" customWidth="1"/>
    <col min="267" max="267" width="4" style="2962" customWidth="1"/>
    <col min="268" max="268" width="5.125" style="2962" customWidth="1"/>
    <col min="269" max="269" width="13.625" style="2962" customWidth="1"/>
    <col min="270" max="512" width="8.875" style="2962"/>
    <col min="513" max="513" width="4.875" style="2962" customWidth="1"/>
    <col min="514" max="514" width="13.125" style="2962" customWidth="1"/>
    <col min="515" max="515" width="15.625" style="2962" customWidth="1"/>
    <col min="516" max="516" width="9.375" style="2962" bestFit="1" customWidth="1"/>
    <col min="517" max="517" width="13.5" style="2962" customWidth="1"/>
    <col min="518" max="518" width="8.875" style="2962"/>
    <col min="519" max="519" width="9.375" style="2962" bestFit="1" customWidth="1"/>
    <col min="520" max="521" width="8.875" style="2962"/>
    <col min="522" max="522" width="9.375" style="2962" bestFit="1" customWidth="1"/>
    <col min="523" max="523" width="4" style="2962" customWidth="1"/>
    <col min="524" max="524" width="5.125" style="2962" customWidth="1"/>
    <col min="525" max="525" width="13.625" style="2962" customWidth="1"/>
    <col min="526" max="768" width="8.875" style="2962"/>
    <col min="769" max="769" width="4.875" style="2962" customWidth="1"/>
    <col min="770" max="770" width="13.125" style="2962" customWidth="1"/>
    <col min="771" max="771" width="15.625" style="2962" customWidth="1"/>
    <col min="772" max="772" width="9.375" style="2962" bestFit="1" customWidth="1"/>
    <col min="773" max="773" width="13.5" style="2962" customWidth="1"/>
    <col min="774" max="774" width="8.875" style="2962"/>
    <col min="775" max="775" width="9.375" style="2962" bestFit="1" customWidth="1"/>
    <col min="776" max="777" width="8.875" style="2962"/>
    <col min="778" max="778" width="9.375" style="2962" bestFit="1" customWidth="1"/>
    <col min="779" max="779" width="4" style="2962" customWidth="1"/>
    <col min="780" max="780" width="5.125" style="2962" customWidth="1"/>
    <col min="781" max="781" width="13.625" style="2962" customWidth="1"/>
    <col min="782" max="1024" width="8.875" style="2962"/>
    <col min="1025" max="1025" width="4.875" style="2962" customWidth="1"/>
    <col min="1026" max="1026" width="13.125" style="2962" customWidth="1"/>
    <col min="1027" max="1027" width="15.625" style="2962" customWidth="1"/>
    <col min="1028" max="1028" width="9.375" style="2962" bestFit="1" customWidth="1"/>
    <col min="1029" max="1029" width="13.5" style="2962" customWidth="1"/>
    <col min="1030" max="1030" width="8.875" style="2962"/>
    <col min="1031" max="1031" width="9.375" style="2962" bestFit="1" customWidth="1"/>
    <col min="1032" max="1033" width="8.875" style="2962"/>
    <col min="1034" max="1034" width="9.375" style="2962" bestFit="1" customWidth="1"/>
    <col min="1035" max="1035" width="4" style="2962" customWidth="1"/>
    <col min="1036" max="1036" width="5.125" style="2962" customWidth="1"/>
    <col min="1037" max="1037" width="13.625" style="2962" customWidth="1"/>
    <col min="1038" max="1280" width="8.875" style="2962"/>
    <col min="1281" max="1281" width="4.875" style="2962" customWidth="1"/>
    <col min="1282" max="1282" width="13.125" style="2962" customWidth="1"/>
    <col min="1283" max="1283" width="15.625" style="2962" customWidth="1"/>
    <col min="1284" max="1284" width="9.375" style="2962" bestFit="1" customWidth="1"/>
    <col min="1285" max="1285" width="13.5" style="2962" customWidth="1"/>
    <col min="1286" max="1286" width="8.875" style="2962"/>
    <col min="1287" max="1287" width="9.375" style="2962" bestFit="1" customWidth="1"/>
    <col min="1288" max="1289" width="8.875" style="2962"/>
    <col min="1290" max="1290" width="9.375" style="2962" bestFit="1" customWidth="1"/>
    <col min="1291" max="1291" width="4" style="2962" customWidth="1"/>
    <col min="1292" max="1292" width="5.125" style="2962" customWidth="1"/>
    <col min="1293" max="1293" width="13.625" style="2962" customWidth="1"/>
    <col min="1294" max="1536" width="8.875" style="2962"/>
    <col min="1537" max="1537" width="4.875" style="2962" customWidth="1"/>
    <col min="1538" max="1538" width="13.125" style="2962" customWidth="1"/>
    <col min="1539" max="1539" width="15.625" style="2962" customWidth="1"/>
    <col min="1540" max="1540" width="9.375" style="2962" bestFit="1" customWidth="1"/>
    <col min="1541" max="1541" width="13.5" style="2962" customWidth="1"/>
    <col min="1542" max="1542" width="8.875" style="2962"/>
    <col min="1543" max="1543" width="9.375" style="2962" bestFit="1" customWidth="1"/>
    <col min="1544" max="1545" width="8.875" style="2962"/>
    <col min="1546" max="1546" width="9.375" style="2962" bestFit="1" customWidth="1"/>
    <col min="1547" max="1547" width="4" style="2962" customWidth="1"/>
    <col min="1548" max="1548" width="5.125" style="2962" customWidth="1"/>
    <col min="1549" max="1549" width="13.625" style="2962" customWidth="1"/>
    <col min="1550" max="1792" width="8.875" style="2962"/>
    <col min="1793" max="1793" width="4.875" style="2962" customWidth="1"/>
    <col min="1794" max="1794" width="13.125" style="2962" customWidth="1"/>
    <col min="1795" max="1795" width="15.625" style="2962" customWidth="1"/>
    <col min="1796" max="1796" width="9.375" style="2962" bestFit="1" customWidth="1"/>
    <col min="1797" max="1797" width="13.5" style="2962" customWidth="1"/>
    <col min="1798" max="1798" width="8.875" style="2962"/>
    <col min="1799" max="1799" width="9.375" style="2962" bestFit="1" customWidth="1"/>
    <col min="1800" max="1801" width="8.875" style="2962"/>
    <col min="1802" max="1802" width="9.375" style="2962" bestFit="1" customWidth="1"/>
    <col min="1803" max="1803" width="4" style="2962" customWidth="1"/>
    <col min="1804" max="1804" width="5.125" style="2962" customWidth="1"/>
    <col min="1805" max="1805" width="13.625" style="2962" customWidth="1"/>
    <col min="1806" max="2048" width="8.875" style="2962"/>
    <col min="2049" max="2049" width="4.875" style="2962" customWidth="1"/>
    <col min="2050" max="2050" width="13.125" style="2962" customWidth="1"/>
    <col min="2051" max="2051" width="15.625" style="2962" customWidth="1"/>
    <col min="2052" max="2052" width="9.375" style="2962" bestFit="1" customWidth="1"/>
    <col min="2053" max="2053" width="13.5" style="2962" customWidth="1"/>
    <col min="2054" max="2054" width="8.875" style="2962"/>
    <col min="2055" max="2055" width="9.375" style="2962" bestFit="1" customWidth="1"/>
    <col min="2056" max="2057" width="8.875" style="2962"/>
    <col min="2058" max="2058" width="9.375" style="2962" bestFit="1" customWidth="1"/>
    <col min="2059" max="2059" width="4" style="2962" customWidth="1"/>
    <col min="2060" max="2060" width="5.125" style="2962" customWidth="1"/>
    <col min="2061" max="2061" width="13.625" style="2962" customWidth="1"/>
    <col min="2062" max="2304" width="8.875" style="2962"/>
    <col min="2305" max="2305" width="4.875" style="2962" customWidth="1"/>
    <col min="2306" max="2306" width="13.125" style="2962" customWidth="1"/>
    <col min="2307" max="2307" width="15.625" style="2962" customWidth="1"/>
    <col min="2308" max="2308" width="9.375" style="2962" bestFit="1" customWidth="1"/>
    <col min="2309" max="2309" width="13.5" style="2962" customWidth="1"/>
    <col min="2310" max="2310" width="8.875" style="2962"/>
    <col min="2311" max="2311" width="9.375" style="2962" bestFit="1" customWidth="1"/>
    <col min="2312" max="2313" width="8.875" style="2962"/>
    <col min="2314" max="2314" width="9.375" style="2962" bestFit="1" customWidth="1"/>
    <col min="2315" max="2315" width="4" style="2962" customWidth="1"/>
    <col min="2316" max="2316" width="5.125" style="2962" customWidth="1"/>
    <col min="2317" max="2317" width="13.625" style="2962" customWidth="1"/>
    <col min="2318" max="2560" width="8.875" style="2962"/>
    <col min="2561" max="2561" width="4.875" style="2962" customWidth="1"/>
    <col min="2562" max="2562" width="13.125" style="2962" customWidth="1"/>
    <col min="2563" max="2563" width="15.625" style="2962" customWidth="1"/>
    <col min="2564" max="2564" width="9.375" style="2962" bestFit="1" customWidth="1"/>
    <col min="2565" max="2565" width="13.5" style="2962" customWidth="1"/>
    <col min="2566" max="2566" width="8.875" style="2962"/>
    <col min="2567" max="2567" width="9.375" style="2962" bestFit="1" customWidth="1"/>
    <col min="2568" max="2569" width="8.875" style="2962"/>
    <col min="2570" max="2570" width="9.375" style="2962" bestFit="1" customWidth="1"/>
    <col min="2571" max="2571" width="4" style="2962" customWidth="1"/>
    <col min="2572" max="2572" width="5.125" style="2962" customWidth="1"/>
    <col min="2573" max="2573" width="13.625" style="2962" customWidth="1"/>
    <col min="2574" max="2816" width="8.875" style="2962"/>
    <col min="2817" max="2817" width="4.875" style="2962" customWidth="1"/>
    <col min="2818" max="2818" width="13.125" style="2962" customWidth="1"/>
    <col min="2819" max="2819" width="15.625" style="2962" customWidth="1"/>
    <col min="2820" max="2820" width="9.375" style="2962" bestFit="1" customWidth="1"/>
    <col min="2821" max="2821" width="13.5" style="2962" customWidth="1"/>
    <col min="2822" max="2822" width="8.875" style="2962"/>
    <col min="2823" max="2823" width="9.375" style="2962" bestFit="1" customWidth="1"/>
    <col min="2824" max="2825" width="8.875" style="2962"/>
    <col min="2826" max="2826" width="9.375" style="2962" bestFit="1" customWidth="1"/>
    <col min="2827" max="2827" width="4" style="2962" customWidth="1"/>
    <col min="2828" max="2828" width="5.125" style="2962" customWidth="1"/>
    <col min="2829" max="2829" width="13.625" style="2962" customWidth="1"/>
    <col min="2830" max="3072" width="8.875" style="2962"/>
    <col min="3073" max="3073" width="4.875" style="2962" customWidth="1"/>
    <col min="3074" max="3074" width="13.125" style="2962" customWidth="1"/>
    <col min="3075" max="3075" width="15.625" style="2962" customWidth="1"/>
    <col min="3076" max="3076" width="9.375" style="2962" bestFit="1" customWidth="1"/>
    <col min="3077" max="3077" width="13.5" style="2962" customWidth="1"/>
    <col min="3078" max="3078" width="8.875" style="2962"/>
    <col min="3079" max="3079" width="9.375" style="2962" bestFit="1" customWidth="1"/>
    <col min="3080" max="3081" width="8.875" style="2962"/>
    <col min="3082" max="3082" width="9.375" style="2962" bestFit="1" customWidth="1"/>
    <col min="3083" max="3083" width="4" style="2962" customWidth="1"/>
    <col min="3084" max="3084" width="5.125" style="2962" customWidth="1"/>
    <col min="3085" max="3085" width="13.625" style="2962" customWidth="1"/>
    <col min="3086" max="3328" width="8.875" style="2962"/>
    <col min="3329" max="3329" width="4.875" style="2962" customWidth="1"/>
    <col min="3330" max="3330" width="13.125" style="2962" customWidth="1"/>
    <col min="3331" max="3331" width="15.625" style="2962" customWidth="1"/>
    <col min="3332" max="3332" width="9.375" style="2962" bestFit="1" customWidth="1"/>
    <col min="3333" max="3333" width="13.5" style="2962" customWidth="1"/>
    <col min="3334" max="3334" width="8.875" style="2962"/>
    <col min="3335" max="3335" width="9.375" style="2962" bestFit="1" customWidth="1"/>
    <col min="3336" max="3337" width="8.875" style="2962"/>
    <col min="3338" max="3338" width="9.375" style="2962" bestFit="1" customWidth="1"/>
    <col min="3339" max="3339" width="4" style="2962" customWidth="1"/>
    <col min="3340" max="3340" width="5.125" style="2962" customWidth="1"/>
    <col min="3341" max="3341" width="13.625" style="2962" customWidth="1"/>
    <col min="3342" max="3584" width="8.875" style="2962"/>
    <col min="3585" max="3585" width="4.875" style="2962" customWidth="1"/>
    <col min="3586" max="3586" width="13.125" style="2962" customWidth="1"/>
    <col min="3587" max="3587" width="15.625" style="2962" customWidth="1"/>
    <col min="3588" max="3588" width="9.375" style="2962" bestFit="1" customWidth="1"/>
    <col min="3589" max="3589" width="13.5" style="2962" customWidth="1"/>
    <col min="3590" max="3590" width="8.875" style="2962"/>
    <col min="3591" max="3591" width="9.375" style="2962" bestFit="1" customWidth="1"/>
    <col min="3592" max="3593" width="8.875" style="2962"/>
    <col min="3594" max="3594" width="9.375" style="2962" bestFit="1" customWidth="1"/>
    <col min="3595" max="3595" width="4" style="2962" customWidth="1"/>
    <col min="3596" max="3596" width="5.125" style="2962" customWidth="1"/>
    <col min="3597" max="3597" width="13.625" style="2962" customWidth="1"/>
    <col min="3598" max="3840" width="8.875" style="2962"/>
    <col min="3841" max="3841" width="4.875" style="2962" customWidth="1"/>
    <col min="3842" max="3842" width="13.125" style="2962" customWidth="1"/>
    <col min="3843" max="3843" width="15.625" style="2962" customWidth="1"/>
    <col min="3844" max="3844" width="9.375" style="2962" bestFit="1" customWidth="1"/>
    <col min="3845" max="3845" width="13.5" style="2962" customWidth="1"/>
    <col min="3846" max="3846" width="8.875" style="2962"/>
    <col min="3847" max="3847" width="9.375" style="2962" bestFit="1" customWidth="1"/>
    <col min="3848" max="3849" width="8.875" style="2962"/>
    <col min="3850" max="3850" width="9.375" style="2962" bestFit="1" customWidth="1"/>
    <col min="3851" max="3851" width="4" style="2962" customWidth="1"/>
    <col min="3852" max="3852" width="5.125" style="2962" customWidth="1"/>
    <col min="3853" max="3853" width="13.625" style="2962" customWidth="1"/>
    <col min="3854" max="4096" width="8.875" style="2962"/>
    <col min="4097" max="4097" width="4.875" style="2962" customWidth="1"/>
    <col min="4098" max="4098" width="13.125" style="2962" customWidth="1"/>
    <col min="4099" max="4099" width="15.625" style="2962" customWidth="1"/>
    <col min="4100" max="4100" width="9.375" style="2962" bestFit="1" customWidth="1"/>
    <col min="4101" max="4101" width="13.5" style="2962" customWidth="1"/>
    <col min="4102" max="4102" width="8.875" style="2962"/>
    <col min="4103" max="4103" width="9.375" style="2962" bestFit="1" customWidth="1"/>
    <col min="4104" max="4105" width="8.875" style="2962"/>
    <col min="4106" max="4106" width="9.375" style="2962" bestFit="1" customWidth="1"/>
    <col min="4107" max="4107" width="4" style="2962" customWidth="1"/>
    <col min="4108" max="4108" width="5.125" style="2962" customWidth="1"/>
    <col min="4109" max="4109" width="13.625" style="2962" customWidth="1"/>
    <col min="4110" max="4352" width="8.875" style="2962"/>
    <col min="4353" max="4353" width="4.875" style="2962" customWidth="1"/>
    <col min="4354" max="4354" width="13.125" style="2962" customWidth="1"/>
    <col min="4355" max="4355" width="15.625" style="2962" customWidth="1"/>
    <col min="4356" max="4356" width="9.375" style="2962" bestFit="1" customWidth="1"/>
    <col min="4357" max="4357" width="13.5" style="2962" customWidth="1"/>
    <col min="4358" max="4358" width="8.875" style="2962"/>
    <col min="4359" max="4359" width="9.375" style="2962" bestFit="1" customWidth="1"/>
    <col min="4360" max="4361" width="8.875" style="2962"/>
    <col min="4362" max="4362" width="9.375" style="2962" bestFit="1" customWidth="1"/>
    <col min="4363" max="4363" width="4" style="2962" customWidth="1"/>
    <col min="4364" max="4364" width="5.125" style="2962" customWidth="1"/>
    <col min="4365" max="4365" width="13.625" style="2962" customWidth="1"/>
    <col min="4366" max="4608" width="8.875" style="2962"/>
    <col min="4609" max="4609" width="4.875" style="2962" customWidth="1"/>
    <col min="4610" max="4610" width="13.125" style="2962" customWidth="1"/>
    <col min="4611" max="4611" width="15.625" style="2962" customWidth="1"/>
    <col min="4612" max="4612" width="9.375" style="2962" bestFit="1" customWidth="1"/>
    <col min="4613" max="4613" width="13.5" style="2962" customWidth="1"/>
    <col min="4614" max="4614" width="8.875" style="2962"/>
    <col min="4615" max="4615" width="9.375" style="2962" bestFit="1" customWidth="1"/>
    <col min="4616" max="4617" width="8.875" style="2962"/>
    <col min="4618" max="4618" width="9.375" style="2962" bestFit="1" customWidth="1"/>
    <col min="4619" max="4619" width="4" style="2962" customWidth="1"/>
    <col min="4620" max="4620" width="5.125" style="2962" customWidth="1"/>
    <col min="4621" max="4621" width="13.625" style="2962" customWidth="1"/>
    <col min="4622" max="4864" width="8.875" style="2962"/>
    <col min="4865" max="4865" width="4.875" style="2962" customWidth="1"/>
    <col min="4866" max="4866" width="13.125" style="2962" customWidth="1"/>
    <col min="4867" max="4867" width="15.625" style="2962" customWidth="1"/>
    <col min="4868" max="4868" width="9.375" style="2962" bestFit="1" customWidth="1"/>
    <col min="4869" max="4869" width="13.5" style="2962" customWidth="1"/>
    <col min="4870" max="4870" width="8.875" style="2962"/>
    <col min="4871" max="4871" width="9.375" style="2962" bestFit="1" customWidth="1"/>
    <col min="4872" max="4873" width="8.875" style="2962"/>
    <col min="4874" max="4874" width="9.375" style="2962" bestFit="1" customWidth="1"/>
    <col min="4875" max="4875" width="4" style="2962" customWidth="1"/>
    <col min="4876" max="4876" width="5.125" style="2962" customWidth="1"/>
    <col min="4877" max="4877" width="13.625" style="2962" customWidth="1"/>
    <col min="4878" max="5120" width="8.875" style="2962"/>
    <col min="5121" max="5121" width="4.875" style="2962" customWidth="1"/>
    <col min="5122" max="5122" width="13.125" style="2962" customWidth="1"/>
    <col min="5123" max="5123" width="15.625" style="2962" customWidth="1"/>
    <col min="5124" max="5124" width="9.375" style="2962" bestFit="1" customWidth="1"/>
    <col min="5125" max="5125" width="13.5" style="2962" customWidth="1"/>
    <col min="5126" max="5126" width="8.875" style="2962"/>
    <col min="5127" max="5127" width="9.375" style="2962" bestFit="1" customWidth="1"/>
    <col min="5128" max="5129" width="8.875" style="2962"/>
    <col min="5130" max="5130" width="9.375" style="2962" bestFit="1" customWidth="1"/>
    <col min="5131" max="5131" width="4" style="2962" customWidth="1"/>
    <col min="5132" max="5132" width="5.125" style="2962" customWidth="1"/>
    <col min="5133" max="5133" width="13.625" style="2962" customWidth="1"/>
    <col min="5134" max="5376" width="8.875" style="2962"/>
    <col min="5377" max="5377" width="4.875" style="2962" customWidth="1"/>
    <col min="5378" max="5378" width="13.125" style="2962" customWidth="1"/>
    <col min="5379" max="5379" width="15.625" style="2962" customWidth="1"/>
    <col min="5380" max="5380" width="9.375" style="2962" bestFit="1" customWidth="1"/>
    <col min="5381" max="5381" width="13.5" style="2962" customWidth="1"/>
    <col min="5382" max="5382" width="8.875" style="2962"/>
    <col min="5383" max="5383" width="9.375" style="2962" bestFit="1" customWidth="1"/>
    <col min="5384" max="5385" width="8.875" style="2962"/>
    <col min="5386" max="5386" width="9.375" style="2962" bestFit="1" customWidth="1"/>
    <col min="5387" max="5387" width="4" style="2962" customWidth="1"/>
    <col min="5388" max="5388" width="5.125" style="2962" customWidth="1"/>
    <col min="5389" max="5389" width="13.625" style="2962" customWidth="1"/>
    <col min="5390" max="5632" width="8.875" style="2962"/>
    <col min="5633" max="5633" width="4.875" style="2962" customWidth="1"/>
    <col min="5634" max="5634" width="13.125" style="2962" customWidth="1"/>
    <col min="5635" max="5635" width="15.625" style="2962" customWidth="1"/>
    <col min="5636" max="5636" width="9.375" style="2962" bestFit="1" customWidth="1"/>
    <col min="5637" max="5637" width="13.5" style="2962" customWidth="1"/>
    <col min="5638" max="5638" width="8.875" style="2962"/>
    <col min="5639" max="5639" width="9.375" style="2962" bestFit="1" customWidth="1"/>
    <col min="5640" max="5641" width="8.875" style="2962"/>
    <col min="5642" max="5642" width="9.375" style="2962" bestFit="1" customWidth="1"/>
    <col min="5643" max="5643" width="4" style="2962" customWidth="1"/>
    <col min="5644" max="5644" width="5.125" style="2962" customWidth="1"/>
    <col min="5645" max="5645" width="13.625" style="2962" customWidth="1"/>
    <col min="5646" max="5888" width="8.875" style="2962"/>
    <col min="5889" max="5889" width="4.875" style="2962" customWidth="1"/>
    <col min="5890" max="5890" width="13.125" style="2962" customWidth="1"/>
    <col min="5891" max="5891" width="15.625" style="2962" customWidth="1"/>
    <col min="5892" max="5892" width="9.375" style="2962" bestFit="1" customWidth="1"/>
    <col min="5893" max="5893" width="13.5" style="2962" customWidth="1"/>
    <col min="5894" max="5894" width="8.875" style="2962"/>
    <col min="5895" max="5895" width="9.375" style="2962" bestFit="1" customWidth="1"/>
    <col min="5896" max="5897" width="8.875" style="2962"/>
    <col min="5898" max="5898" width="9.375" style="2962" bestFit="1" customWidth="1"/>
    <col min="5899" max="5899" width="4" style="2962" customWidth="1"/>
    <col min="5900" max="5900" width="5.125" style="2962" customWidth="1"/>
    <col min="5901" max="5901" width="13.625" style="2962" customWidth="1"/>
    <col min="5902" max="6144" width="8.875" style="2962"/>
    <col min="6145" max="6145" width="4.875" style="2962" customWidth="1"/>
    <col min="6146" max="6146" width="13.125" style="2962" customWidth="1"/>
    <col min="6147" max="6147" width="15.625" style="2962" customWidth="1"/>
    <col min="6148" max="6148" width="9.375" style="2962" bestFit="1" customWidth="1"/>
    <col min="6149" max="6149" width="13.5" style="2962" customWidth="1"/>
    <col min="6150" max="6150" width="8.875" style="2962"/>
    <col min="6151" max="6151" width="9.375" style="2962" bestFit="1" customWidth="1"/>
    <col min="6152" max="6153" width="8.875" style="2962"/>
    <col min="6154" max="6154" width="9.375" style="2962" bestFit="1" customWidth="1"/>
    <col min="6155" max="6155" width="4" style="2962" customWidth="1"/>
    <col min="6156" max="6156" width="5.125" style="2962" customWidth="1"/>
    <col min="6157" max="6157" width="13.625" style="2962" customWidth="1"/>
    <col min="6158" max="6400" width="8.875" style="2962"/>
    <col min="6401" max="6401" width="4.875" style="2962" customWidth="1"/>
    <col min="6402" max="6402" width="13.125" style="2962" customWidth="1"/>
    <col min="6403" max="6403" width="15.625" style="2962" customWidth="1"/>
    <col min="6404" max="6404" width="9.375" style="2962" bestFit="1" customWidth="1"/>
    <col min="6405" max="6405" width="13.5" style="2962" customWidth="1"/>
    <col min="6406" max="6406" width="8.875" style="2962"/>
    <col min="6407" max="6407" width="9.375" style="2962" bestFit="1" customWidth="1"/>
    <col min="6408" max="6409" width="8.875" style="2962"/>
    <col min="6410" max="6410" width="9.375" style="2962" bestFit="1" customWidth="1"/>
    <col min="6411" max="6411" width="4" style="2962" customWidth="1"/>
    <col min="6412" max="6412" width="5.125" style="2962" customWidth="1"/>
    <col min="6413" max="6413" width="13.625" style="2962" customWidth="1"/>
    <col min="6414" max="6656" width="8.875" style="2962"/>
    <col min="6657" max="6657" width="4.875" style="2962" customWidth="1"/>
    <col min="6658" max="6658" width="13.125" style="2962" customWidth="1"/>
    <col min="6659" max="6659" width="15.625" style="2962" customWidth="1"/>
    <col min="6660" max="6660" width="9.375" style="2962" bestFit="1" customWidth="1"/>
    <col min="6661" max="6661" width="13.5" style="2962" customWidth="1"/>
    <col min="6662" max="6662" width="8.875" style="2962"/>
    <col min="6663" max="6663" width="9.375" style="2962" bestFit="1" customWidth="1"/>
    <col min="6664" max="6665" width="8.875" style="2962"/>
    <col min="6666" max="6666" width="9.375" style="2962" bestFit="1" customWidth="1"/>
    <col min="6667" max="6667" width="4" style="2962" customWidth="1"/>
    <col min="6668" max="6668" width="5.125" style="2962" customWidth="1"/>
    <col min="6669" max="6669" width="13.625" style="2962" customWidth="1"/>
    <col min="6670" max="6912" width="8.875" style="2962"/>
    <col min="6913" max="6913" width="4.875" style="2962" customWidth="1"/>
    <col min="6914" max="6914" width="13.125" style="2962" customWidth="1"/>
    <col min="6915" max="6915" width="15.625" style="2962" customWidth="1"/>
    <col min="6916" max="6916" width="9.375" style="2962" bestFit="1" customWidth="1"/>
    <col min="6917" max="6917" width="13.5" style="2962" customWidth="1"/>
    <col min="6918" max="6918" width="8.875" style="2962"/>
    <col min="6919" max="6919" width="9.375" style="2962" bestFit="1" customWidth="1"/>
    <col min="6920" max="6921" width="8.875" style="2962"/>
    <col min="6922" max="6922" width="9.375" style="2962" bestFit="1" customWidth="1"/>
    <col min="6923" max="6923" width="4" style="2962" customWidth="1"/>
    <col min="6924" max="6924" width="5.125" style="2962" customWidth="1"/>
    <col min="6925" max="6925" width="13.625" style="2962" customWidth="1"/>
    <col min="6926" max="7168" width="8.875" style="2962"/>
    <col min="7169" max="7169" width="4.875" style="2962" customWidth="1"/>
    <col min="7170" max="7170" width="13.125" style="2962" customWidth="1"/>
    <col min="7171" max="7171" width="15.625" style="2962" customWidth="1"/>
    <col min="7172" max="7172" width="9.375" style="2962" bestFit="1" customWidth="1"/>
    <col min="7173" max="7173" width="13.5" style="2962" customWidth="1"/>
    <col min="7174" max="7174" width="8.875" style="2962"/>
    <col min="7175" max="7175" width="9.375" style="2962" bestFit="1" customWidth="1"/>
    <col min="7176" max="7177" width="8.875" style="2962"/>
    <col min="7178" max="7178" width="9.375" style="2962" bestFit="1" customWidth="1"/>
    <col min="7179" max="7179" width="4" style="2962" customWidth="1"/>
    <col min="7180" max="7180" width="5.125" style="2962" customWidth="1"/>
    <col min="7181" max="7181" width="13.625" style="2962" customWidth="1"/>
    <col min="7182" max="7424" width="8.875" style="2962"/>
    <col min="7425" max="7425" width="4.875" style="2962" customWidth="1"/>
    <col min="7426" max="7426" width="13.125" style="2962" customWidth="1"/>
    <col min="7427" max="7427" width="15.625" style="2962" customWidth="1"/>
    <col min="7428" max="7428" width="9.375" style="2962" bestFit="1" customWidth="1"/>
    <col min="7429" max="7429" width="13.5" style="2962" customWidth="1"/>
    <col min="7430" max="7430" width="8.875" style="2962"/>
    <col min="7431" max="7431" width="9.375" style="2962" bestFit="1" customWidth="1"/>
    <col min="7432" max="7433" width="8.875" style="2962"/>
    <col min="7434" max="7434" width="9.375" style="2962" bestFit="1" customWidth="1"/>
    <col min="7435" max="7435" width="4" style="2962" customWidth="1"/>
    <col min="7436" max="7436" width="5.125" style="2962" customWidth="1"/>
    <col min="7437" max="7437" width="13.625" style="2962" customWidth="1"/>
    <col min="7438" max="7680" width="8.875" style="2962"/>
    <col min="7681" max="7681" width="4.875" style="2962" customWidth="1"/>
    <col min="7682" max="7682" width="13.125" style="2962" customWidth="1"/>
    <col min="7683" max="7683" width="15.625" style="2962" customWidth="1"/>
    <col min="7684" max="7684" width="9.375" style="2962" bestFit="1" customWidth="1"/>
    <col min="7685" max="7685" width="13.5" style="2962" customWidth="1"/>
    <col min="7686" max="7686" width="8.875" style="2962"/>
    <col min="7687" max="7687" width="9.375" style="2962" bestFit="1" customWidth="1"/>
    <col min="7688" max="7689" width="8.875" style="2962"/>
    <col min="7690" max="7690" width="9.375" style="2962" bestFit="1" customWidth="1"/>
    <col min="7691" max="7691" width="4" style="2962" customWidth="1"/>
    <col min="7692" max="7692" width="5.125" style="2962" customWidth="1"/>
    <col min="7693" max="7693" width="13.625" style="2962" customWidth="1"/>
    <col min="7694" max="7936" width="8.875" style="2962"/>
    <col min="7937" max="7937" width="4.875" style="2962" customWidth="1"/>
    <col min="7938" max="7938" width="13.125" style="2962" customWidth="1"/>
    <col min="7939" max="7939" width="15.625" style="2962" customWidth="1"/>
    <col min="7940" max="7940" width="9.375" style="2962" bestFit="1" customWidth="1"/>
    <col min="7941" max="7941" width="13.5" style="2962" customWidth="1"/>
    <col min="7942" max="7942" width="8.875" style="2962"/>
    <col min="7943" max="7943" width="9.375" style="2962" bestFit="1" customWidth="1"/>
    <col min="7944" max="7945" width="8.875" style="2962"/>
    <col min="7946" max="7946" width="9.375" style="2962" bestFit="1" customWidth="1"/>
    <col min="7947" max="7947" width="4" style="2962" customWidth="1"/>
    <col min="7948" max="7948" width="5.125" style="2962" customWidth="1"/>
    <col min="7949" max="7949" width="13.625" style="2962" customWidth="1"/>
    <col min="7950" max="8192" width="8.875" style="2962"/>
    <col min="8193" max="8193" width="4.875" style="2962" customWidth="1"/>
    <col min="8194" max="8194" width="13.125" style="2962" customWidth="1"/>
    <col min="8195" max="8195" width="15.625" style="2962" customWidth="1"/>
    <col min="8196" max="8196" width="9.375" style="2962" bestFit="1" customWidth="1"/>
    <col min="8197" max="8197" width="13.5" style="2962" customWidth="1"/>
    <col min="8198" max="8198" width="8.875" style="2962"/>
    <col min="8199" max="8199" width="9.375" style="2962" bestFit="1" customWidth="1"/>
    <col min="8200" max="8201" width="8.875" style="2962"/>
    <col min="8202" max="8202" width="9.375" style="2962" bestFit="1" customWidth="1"/>
    <col min="8203" max="8203" width="4" style="2962" customWidth="1"/>
    <col min="8204" max="8204" width="5.125" style="2962" customWidth="1"/>
    <col min="8205" max="8205" width="13.625" style="2962" customWidth="1"/>
    <col min="8206" max="8448" width="8.875" style="2962"/>
    <col min="8449" max="8449" width="4.875" style="2962" customWidth="1"/>
    <col min="8450" max="8450" width="13.125" style="2962" customWidth="1"/>
    <col min="8451" max="8451" width="15.625" style="2962" customWidth="1"/>
    <col min="8452" max="8452" width="9.375" style="2962" bestFit="1" customWidth="1"/>
    <col min="8453" max="8453" width="13.5" style="2962" customWidth="1"/>
    <col min="8454" max="8454" width="8.875" style="2962"/>
    <col min="8455" max="8455" width="9.375" style="2962" bestFit="1" customWidth="1"/>
    <col min="8456" max="8457" width="8.875" style="2962"/>
    <col min="8458" max="8458" width="9.375" style="2962" bestFit="1" customWidth="1"/>
    <col min="8459" max="8459" width="4" style="2962" customWidth="1"/>
    <col min="8460" max="8460" width="5.125" style="2962" customWidth="1"/>
    <col min="8461" max="8461" width="13.625" style="2962" customWidth="1"/>
    <col min="8462" max="8704" width="8.875" style="2962"/>
    <col min="8705" max="8705" width="4.875" style="2962" customWidth="1"/>
    <col min="8706" max="8706" width="13.125" style="2962" customWidth="1"/>
    <col min="8707" max="8707" width="15.625" style="2962" customWidth="1"/>
    <col min="8708" max="8708" width="9.375" style="2962" bestFit="1" customWidth="1"/>
    <col min="8709" max="8709" width="13.5" style="2962" customWidth="1"/>
    <col min="8710" max="8710" width="8.875" style="2962"/>
    <col min="8711" max="8711" width="9.375" style="2962" bestFit="1" customWidth="1"/>
    <col min="8712" max="8713" width="8.875" style="2962"/>
    <col min="8714" max="8714" width="9.375" style="2962" bestFit="1" customWidth="1"/>
    <col min="8715" max="8715" width="4" style="2962" customWidth="1"/>
    <col min="8716" max="8716" width="5.125" style="2962" customWidth="1"/>
    <col min="8717" max="8717" width="13.625" style="2962" customWidth="1"/>
    <col min="8718" max="8960" width="8.875" style="2962"/>
    <col min="8961" max="8961" width="4.875" style="2962" customWidth="1"/>
    <col min="8962" max="8962" width="13.125" style="2962" customWidth="1"/>
    <col min="8963" max="8963" width="15.625" style="2962" customWidth="1"/>
    <col min="8964" max="8964" width="9.375" style="2962" bestFit="1" customWidth="1"/>
    <col min="8965" max="8965" width="13.5" style="2962" customWidth="1"/>
    <col min="8966" max="8966" width="8.875" style="2962"/>
    <col min="8967" max="8967" width="9.375" style="2962" bestFit="1" customWidth="1"/>
    <col min="8968" max="8969" width="8.875" style="2962"/>
    <col min="8970" max="8970" width="9.375" style="2962" bestFit="1" customWidth="1"/>
    <col min="8971" max="8971" width="4" style="2962" customWidth="1"/>
    <col min="8972" max="8972" width="5.125" style="2962" customWidth="1"/>
    <col min="8973" max="8973" width="13.625" style="2962" customWidth="1"/>
    <col min="8974" max="9216" width="8.875" style="2962"/>
    <col min="9217" max="9217" width="4.875" style="2962" customWidth="1"/>
    <col min="9218" max="9218" width="13.125" style="2962" customWidth="1"/>
    <col min="9219" max="9219" width="15.625" style="2962" customWidth="1"/>
    <col min="9220" max="9220" width="9.375" style="2962" bestFit="1" customWidth="1"/>
    <col min="9221" max="9221" width="13.5" style="2962" customWidth="1"/>
    <col min="9222" max="9222" width="8.875" style="2962"/>
    <col min="9223" max="9223" width="9.375" style="2962" bestFit="1" customWidth="1"/>
    <col min="9224" max="9225" width="8.875" style="2962"/>
    <col min="9226" max="9226" width="9.375" style="2962" bestFit="1" customWidth="1"/>
    <col min="9227" max="9227" width="4" style="2962" customWidth="1"/>
    <col min="9228" max="9228" width="5.125" style="2962" customWidth="1"/>
    <col min="9229" max="9229" width="13.625" style="2962" customWidth="1"/>
    <col min="9230" max="9472" width="8.875" style="2962"/>
    <col min="9473" max="9473" width="4.875" style="2962" customWidth="1"/>
    <col min="9474" max="9474" width="13.125" style="2962" customWidth="1"/>
    <col min="9475" max="9475" width="15.625" style="2962" customWidth="1"/>
    <col min="9476" max="9476" width="9.375" style="2962" bestFit="1" customWidth="1"/>
    <col min="9477" max="9477" width="13.5" style="2962" customWidth="1"/>
    <col min="9478" max="9478" width="8.875" style="2962"/>
    <col min="9479" max="9479" width="9.375" style="2962" bestFit="1" customWidth="1"/>
    <col min="9480" max="9481" width="8.875" style="2962"/>
    <col min="9482" max="9482" width="9.375" style="2962" bestFit="1" customWidth="1"/>
    <col min="9483" max="9483" width="4" style="2962" customWidth="1"/>
    <col min="9484" max="9484" width="5.125" style="2962" customWidth="1"/>
    <col min="9485" max="9485" width="13.625" style="2962" customWidth="1"/>
    <col min="9486" max="9728" width="8.875" style="2962"/>
    <col min="9729" max="9729" width="4.875" style="2962" customWidth="1"/>
    <col min="9730" max="9730" width="13.125" style="2962" customWidth="1"/>
    <col min="9731" max="9731" width="15.625" style="2962" customWidth="1"/>
    <col min="9732" max="9732" width="9.375" style="2962" bestFit="1" customWidth="1"/>
    <col min="9733" max="9733" width="13.5" style="2962" customWidth="1"/>
    <col min="9734" max="9734" width="8.875" style="2962"/>
    <col min="9735" max="9735" width="9.375" style="2962" bestFit="1" customWidth="1"/>
    <col min="9736" max="9737" width="8.875" style="2962"/>
    <col min="9738" max="9738" width="9.375" style="2962" bestFit="1" customWidth="1"/>
    <col min="9739" max="9739" width="4" style="2962" customWidth="1"/>
    <col min="9740" max="9740" width="5.125" style="2962" customWidth="1"/>
    <col min="9741" max="9741" width="13.625" style="2962" customWidth="1"/>
    <col min="9742" max="9984" width="8.875" style="2962"/>
    <col min="9985" max="9985" width="4.875" style="2962" customWidth="1"/>
    <col min="9986" max="9986" width="13.125" style="2962" customWidth="1"/>
    <col min="9987" max="9987" width="15.625" style="2962" customWidth="1"/>
    <col min="9988" max="9988" width="9.375" style="2962" bestFit="1" customWidth="1"/>
    <col min="9989" max="9989" width="13.5" style="2962" customWidth="1"/>
    <col min="9990" max="9990" width="8.875" style="2962"/>
    <col min="9991" max="9991" width="9.375" style="2962" bestFit="1" customWidth="1"/>
    <col min="9992" max="9993" width="8.875" style="2962"/>
    <col min="9994" max="9994" width="9.375" style="2962" bestFit="1" customWidth="1"/>
    <col min="9995" max="9995" width="4" style="2962" customWidth="1"/>
    <col min="9996" max="9996" width="5.125" style="2962" customWidth="1"/>
    <col min="9997" max="9997" width="13.625" style="2962" customWidth="1"/>
    <col min="9998" max="10240" width="8.875" style="2962"/>
    <col min="10241" max="10241" width="4.875" style="2962" customWidth="1"/>
    <col min="10242" max="10242" width="13.125" style="2962" customWidth="1"/>
    <col min="10243" max="10243" width="15.625" style="2962" customWidth="1"/>
    <col min="10244" max="10244" width="9.375" style="2962" bestFit="1" customWidth="1"/>
    <col min="10245" max="10245" width="13.5" style="2962" customWidth="1"/>
    <col min="10246" max="10246" width="8.875" style="2962"/>
    <col min="10247" max="10247" width="9.375" style="2962" bestFit="1" customWidth="1"/>
    <col min="10248" max="10249" width="8.875" style="2962"/>
    <col min="10250" max="10250" width="9.375" style="2962" bestFit="1" customWidth="1"/>
    <col min="10251" max="10251" width="4" style="2962" customWidth="1"/>
    <col min="10252" max="10252" width="5.125" style="2962" customWidth="1"/>
    <col min="10253" max="10253" width="13.625" style="2962" customWidth="1"/>
    <col min="10254" max="10496" width="8.875" style="2962"/>
    <col min="10497" max="10497" width="4.875" style="2962" customWidth="1"/>
    <col min="10498" max="10498" width="13.125" style="2962" customWidth="1"/>
    <col min="10499" max="10499" width="15.625" style="2962" customWidth="1"/>
    <col min="10500" max="10500" width="9.375" style="2962" bestFit="1" customWidth="1"/>
    <col min="10501" max="10501" width="13.5" style="2962" customWidth="1"/>
    <col min="10502" max="10502" width="8.875" style="2962"/>
    <col min="10503" max="10503" width="9.375" style="2962" bestFit="1" customWidth="1"/>
    <col min="10504" max="10505" width="8.875" style="2962"/>
    <col min="10506" max="10506" width="9.375" style="2962" bestFit="1" customWidth="1"/>
    <col min="10507" max="10507" width="4" style="2962" customWidth="1"/>
    <col min="10508" max="10508" width="5.125" style="2962" customWidth="1"/>
    <col min="10509" max="10509" width="13.625" style="2962" customWidth="1"/>
    <col min="10510" max="10752" width="8.875" style="2962"/>
    <col min="10753" max="10753" width="4.875" style="2962" customWidth="1"/>
    <col min="10754" max="10754" width="13.125" style="2962" customWidth="1"/>
    <col min="10755" max="10755" width="15.625" style="2962" customWidth="1"/>
    <col min="10756" max="10756" width="9.375" style="2962" bestFit="1" customWidth="1"/>
    <col min="10757" max="10757" width="13.5" style="2962" customWidth="1"/>
    <col min="10758" max="10758" width="8.875" style="2962"/>
    <col min="10759" max="10759" width="9.375" style="2962" bestFit="1" customWidth="1"/>
    <col min="10760" max="10761" width="8.875" style="2962"/>
    <col min="10762" max="10762" width="9.375" style="2962" bestFit="1" customWidth="1"/>
    <col min="10763" max="10763" width="4" style="2962" customWidth="1"/>
    <col min="10764" max="10764" width="5.125" style="2962" customWidth="1"/>
    <col min="10765" max="10765" width="13.625" style="2962" customWidth="1"/>
    <col min="10766" max="11008" width="8.875" style="2962"/>
    <col min="11009" max="11009" width="4.875" style="2962" customWidth="1"/>
    <col min="11010" max="11010" width="13.125" style="2962" customWidth="1"/>
    <col min="11011" max="11011" width="15.625" style="2962" customWidth="1"/>
    <col min="11012" max="11012" width="9.375" style="2962" bestFit="1" customWidth="1"/>
    <col min="11013" max="11013" width="13.5" style="2962" customWidth="1"/>
    <col min="11014" max="11014" width="8.875" style="2962"/>
    <col min="11015" max="11015" width="9.375" style="2962" bestFit="1" customWidth="1"/>
    <col min="11016" max="11017" width="8.875" style="2962"/>
    <col min="11018" max="11018" width="9.375" style="2962" bestFit="1" customWidth="1"/>
    <col min="11019" max="11019" width="4" style="2962" customWidth="1"/>
    <col min="11020" max="11020" width="5.125" style="2962" customWidth="1"/>
    <col min="11021" max="11021" width="13.625" style="2962" customWidth="1"/>
    <col min="11022" max="11264" width="8.875" style="2962"/>
    <col min="11265" max="11265" width="4.875" style="2962" customWidth="1"/>
    <col min="11266" max="11266" width="13.125" style="2962" customWidth="1"/>
    <col min="11267" max="11267" width="15.625" style="2962" customWidth="1"/>
    <col min="11268" max="11268" width="9.375" style="2962" bestFit="1" customWidth="1"/>
    <col min="11269" max="11269" width="13.5" style="2962" customWidth="1"/>
    <col min="11270" max="11270" width="8.875" style="2962"/>
    <col min="11271" max="11271" width="9.375" style="2962" bestFit="1" customWidth="1"/>
    <col min="11272" max="11273" width="8.875" style="2962"/>
    <col min="11274" max="11274" width="9.375" style="2962" bestFit="1" customWidth="1"/>
    <col min="11275" max="11275" width="4" style="2962" customWidth="1"/>
    <col min="11276" max="11276" width="5.125" style="2962" customWidth="1"/>
    <col min="11277" max="11277" width="13.625" style="2962" customWidth="1"/>
    <col min="11278" max="11520" width="8.875" style="2962"/>
    <col min="11521" max="11521" width="4.875" style="2962" customWidth="1"/>
    <col min="11522" max="11522" width="13.125" style="2962" customWidth="1"/>
    <col min="11523" max="11523" width="15.625" style="2962" customWidth="1"/>
    <col min="11524" max="11524" width="9.375" style="2962" bestFit="1" customWidth="1"/>
    <col min="11525" max="11525" width="13.5" style="2962" customWidth="1"/>
    <col min="11526" max="11526" width="8.875" style="2962"/>
    <col min="11527" max="11527" width="9.375" style="2962" bestFit="1" customWidth="1"/>
    <col min="11528" max="11529" width="8.875" style="2962"/>
    <col min="11530" max="11530" width="9.375" style="2962" bestFit="1" customWidth="1"/>
    <col min="11531" max="11531" width="4" style="2962" customWidth="1"/>
    <col min="11532" max="11532" width="5.125" style="2962" customWidth="1"/>
    <col min="11533" max="11533" width="13.625" style="2962" customWidth="1"/>
    <col min="11534" max="11776" width="8.875" style="2962"/>
    <col min="11777" max="11777" width="4.875" style="2962" customWidth="1"/>
    <col min="11778" max="11778" width="13.125" style="2962" customWidth="1"/>
    <col min="11779" max="11779" width="15.625" style="2962" customWidth="1"/>
    <col min="11780" max="11780" width="9.375" style="2962" bestFit="1" customWidth="1"/>
    <col min="11781" max="11781" width="13.5" style="2962" customWidth="1"/>
    <col min="11782" max="11782" width="8.875" style="2962"/>
    <col min="11783" max="11783" width="9.375" style="2962" bestFit="1" customWidth="1"/>
    <col min="11784" max="11785" width="8.875" style="2962"/>
    <col min="11786" max="11786" width="9.375" style="2962" bestFit="1" customWidth="1"/>
    <col min="11787" max="11787" width="4" style="2962" customWidth="1"/>
    <col min="11788" max="11788" width="5.125" style="2962" customWidth="1"/>
    <col min="11789" max="11789" width="13.625" style="2962" customWidth="1"/>
    <col min="11790" max="12032" width="8.875" style="2962"/>
    <col min="12033" max="12033" width="4.875" style="2962" customWidth="1"/>
    <col min="12034" max="12034" width="13.125" style="2962" customWidth="1"/>
    <col min="12035" max="12035" width="15.625" style="2962" customWidth="1"/>
    <col min="12036" max="12036" width="9.375" style="2962" bestFit="1" customWidth="1"/>
    <col min="12037" max="12037" width="13.5" style="2962" customWidth="1"/>
    <col min="12038" max="12038" width="8.875" style="2962"/>
    <col min="12039" max="12039" width="9.375" style="2962" bestFit="1" customWidth="1"/>
    <col min="12040" max="12041" width="8.875" style="2962"/>
    <col min="12042" max="12042" width="9.375" style="2962" bestFit="1" customWidth="1"/>
    <col min="12043" max="12043" width="4" style="2962" customWidth="1"/>
    <col min="12044" max="12044" width="5.125" style="2962" customWidth="1"/>
    <col min="12045" max="12045" width="13.625" style="2962" customWidth="1"/>
    <col min="12046" max="12288" width="8.875" style="2962"/>
    <col min="12289" max="12289" width="4.875" style="2962" customWidth="1"/>
    <col min="12290" max="12290" width="13.125" style="2962" customWidth="1"/>
    <col min="12291" max="12291" width="15.625" style="2962" customWidth="1"/>
    <col min="12292" max="12292" width="9.375" style="2962" bestFit="1" customWidth="1"/>
    <col min="12293" max="12293" width="13.5" style="2962" customWidth="1"/>
    <col min="12294" max="12294" width="8.875" style="2962"/>
    <col min="12295" max="12295" width="9.375" style="2962" bestFit="1" customWidth="1"/>
    <col min="12296" max="12297" width="8.875" style="2962"/>
    <col min="12298" max="12298" width="9.375" style="2962" bestFit="1" customWidth="1"/>
    <col min="12299" max="12299" width="4" style="2962" customWidth="1"/>
    <col min="12300" max="12300" width="5.125" style="2962" customWidth="1"/>
    <col min="12301" max="12301" width="13.625" style="2962" customWidth="1"/>
    <col min="12302" max="12544" width="8.875" style="2962"/>
    <col min="12545" max="12545" width="4.875" style="2962" customWidth="1"/>
    <col min="12546" max="12546" width="13.125" style="2962" customWidth="1"/>
    <col min="12547" max="12547" width="15.625" style="2962" customWidth="1"/>
    <col min="12548" max="12548" width="9.375" style="2962" bestFit="1" customWidth="1"/>
    <col min="12549" max="12549" width="13.5" style="2962" customWidth="1"/>
    <col min="12550" max="12550" width="8.875" style="2962"/>
    <col min="12551" max="12551" width="9.375" style="2962" bestFit="1" customWidth="1"/>
    <col min="12552" max="12553" width="8.875" style="2962"/>
    <col min="12554" max="12554" width="9.375" style="2962" bestFit="1" customWidth="1"/>
    <col min="12555" max="12555" width="4" style="2962" customWidth="1"/>
    <col min="12556" max="12556" width="5.125" style="2962" customWidth="1"/>
    <col min="12557" max="12557" width="13.625" style="2962" customWidth="1"/>
    <col min="12558" max="12800" width="8.875" style="2962"/>
    <col min="12801" max="12801" width="4.875" style="2962" customWidth="1"/>
    <col min="12802" max="12802" width="13.125" style="2962" customWidth="1"/>
    <col min="12803" max="12803" width="15.625" style="2962" customWidth="1"/>
    <col min="12804" max="12804" width="9.375" style="2962" bestFit="1" customWidth="1"/>
    <col min="12805" max="12805" width="13.5" style="2962" customWidth="1"/>
    <col min="12806" max="12806" width="8.875" style="2962"/>
    <col min="12807" max="12807" width="9.375" style="2962" bestFit="1" customWidth="1"/>
    <col min="12808" max="12809" width="8.875" style="2962"/>
    <col min="12810" max="12810" width="9.375" style="2962" bestFit="1" customWidth="1"/>
    <col min="12811" max="12811" width="4" style="2962" customWidth="1"/>
    <col min="12812" max="12812" width="5.125" style="2962" customWidth="1"/>
    <col min="12813" max="12813" width="13.625" style="2962" customWidth="1"/>
    <col min="12814" max="13056" width="8.875" style="2962"/>
    <col min="13057" max="13057" width="4.875" style="2962" customWidth="1"/>
    <col min="13058" max="13058" width="13.125" style="2962" customWidth="1"/>
    <col min="13059" max="13059" width="15.625" style="2962" customWidth="1"/>
    <col min="13060" max="13060" width="9.375" style="2962" bestFit="1" customWidth="1"/>
    <col min="13061" max="13061" width="13.5" style="2962" customWidth="1"/>
    <col min="13062" max="13062" width="8.875" style="2962"/>
    <col min="13063" max="13063" width="9.375" style="2962" bestFit="1" customWidth="1"/>
    <col min="13064" max="13065" width="8.875" style="2962"/>
    <col min="13066" max="13066" width="9.375" style="2962" bestFit="1" customWidth="1"/>
    <col min="13067" max="13067" width="4" style="2962" customWidth="1"/>
    <col min="13068" max="13068" width="5.125" style="2962" customWidth="1"/>
    <col min="13069" max="13069" width="13.625" style="2962" customWidth="1"/>
    <col min="13070" max="13312" width="8.875" style="2962"/>
    <col min="13313" max="13313" width="4.875" style="2962" customWidth="1"/>
    <col min="13314" max="13314" width="13.125" style="2962" customWidth="1"/>
    <col min="13315" max="13315" width="15.625" style="2962" customWidth="1"/>
    <col min="13316" max="13316" width="9.375" style="2962" bestFit="1" customWidth="1"/>
    <col min="13317" max="13317" width="13.5" style="2962" customWidth="1"/>
    <col min="13318" max="13318" width="8.875" style="2962"/>
    <col min="13319" max="13319" width="9.375" style="2962" bestFit="1" customWidth="1"/>
    <col min="13320" max="13321" width="8.875" style="2962"/>
    <col min="13322" max="13322" width="9.375" style="2962" bestFit="1" customWidth="1"/>
    <col min="13323" max="13323" width="4" style="2962" customWidth="1"/>
    <col min="13324" max="13324" width="5.125" style="2962" customWidth="1"/>
    <col min="13325" max="13325" width="13.625" style="2962" customWidth="1"/>
    <col min="13326" max="13568" width="8.875" style="2962"/>
    <col min="13569" max="13569" width="4.875" style="2962" customWidth="1"/>
    <col min="13570" max="13570" width="13.125" style="2962" customWidth="1"/>
    <col min="13571" max="13571" width="15.625" style="2962" customWidth="1"/>
    <col min="13572" max="13572" width="9.375" style="2962" bestFit="1" customWidth="1"/>
    <col min="13573" max="13573" width="13.5" style="2962" customWidth="1"/>
    <col min="13574" max="13574" width="8.875" style="2962"/>
    <col min="13575" max="13575" width="9.375" style="2962" bestFit="1" customWidth="1"/>
    <col min="13576" max="13577" width="8.875" style="2962"/>
    <col min="13578" max="13578" width="9.375" style="2962" bestFit="1" customWidth="1"/>
    <col min="13579" max="13579" width="4" style="2962" customWidth="1"/>
    <col min="13580" max="13580" width="5.125" style="2962" customWidth="1"/>
    <col min="13581" max="13581" width="13.625" style="2962" customWidth="1"/>
    <col min="13582" max="13824" width="8.875" style="2962"/>
    <col min="13825" max="13825" width="4.875" style="2962" customWidth="1"/>
    <col min="13826" max="13826" width="13.125" style="2962" customWidth="1"/>
    <col min="13827" max="13827" width="15.625" style="2962" customWidth="1"/>
    <col min="13828" max="13828" width="9.375" style="2962" bestFit="1" customWidth="1"/>
    <col min="13829" max="13829" width="13.5" style="2962" customWidth="1"/>
    <col min="13830" max="13830" width="8.875" style="2962"/>
    <col min="13831" max="13831" width="9.375" style="2962" bestFit="1" customWidth="1"/>
    <col min="13832" max="13833" width="8.875" style="2962"/>
    <col min="13834" max="13834" width="9.375" style="2962" bestFit="1" customWidth="1"/>
    <col min="13835" max="13835" width="4" style="2962" customWidth="1"/>
    <col min="13836" max="13836" width="5.125" style="2962" customWidth="1"/>
    <col min="13837" max="13837" width="13.625" style="2962" customWidth="1"/>
    <col min="13838" max="14080" width="8.875" style="2962"/>
    <col min="14081" max="14081" width="4.875" style="2962" customWidth="1"/>
    <col min="14082" max="14082" width="13.125" style="2962" customWidth="1"/>
    <col min="14083" max="14083" width="15.625" style="2962" customWidth="1"/>
    <col min="14084" max="14084" width="9.375" style="2962" bestFit="1" customWidth="1"/>
    <col min="14085" max="14085" width="13.5" style="2962" customWidth="1"/>
    <col min="14086" max="14086" width="8.875" style="2962"/>
    <col min="14087" max="14087" width="9.375" style="2962" bestFit="1" customWidth="1"/>
    <col min="14088" max="14089" width="8.875" style="2962"/>
    <col min="14090" max="14090" width="9.375" style="2962" bestFit="1" customWidth="1"/>
    <col min="14091" max="14091" width="4" style="2962" customWidth="1"/>
    <col min="14092" max="14092" width="5.125" style="2962" customWidth="1"/>
    <col min="14093" max="14093" width="13.625" style="2962" customWidth="1"/>
    <col min="14094" max="14336" width="8.875" style="2962"/>
    <col min="14337" max="14337" width="4.875" style="2962" customWidth="1"/>
    <col min="14338" max="14338" width="13.125" style="2962" customWidth="1"/>
    <col min="14339" max="14339" width="15.625" style="2962" customWidth="1"/>
    <col min="14340" max="14340" width="9.375" style="2962" bestFit="1" customWidth="1"/>
    <col min="14341" max="14341" width="13.5" style="2962" customWidth="1"/>
    <col min="14342" max="14342" width="8.875" style="2962"/>
    <col min="14343" max="14343" width="9.375" style="2962" bestFit="1" customWidth="1"/>
    <col min="14344" max="14345" width="8.875" style="2962"/>
    <col min="14346" max="14346" width="9.375" style="2962" bestFit="1" customWidth="1"/>
    <col min="14347" max="14347" width="4" style="2962" customWidth="1"/>
    <col min="14348" max="14348" width="5.125" style="2962" customWidth="1"/>
    <col min="14349" max="14349" width="13.625" style="2962" customWidth="1"/>
    <col min="14350" max="14592" width="8.875" style="2962"/>
    <col min="14593" max="14593" width="4.875" style="2962" customWidth="1"/>
    <col min="14594" max="14594" width="13.125" style="2962" customWidth="1"/>
    <col min="14595" max="14595" width="15.625" style="2962" customWidth="1"/>
    <col min="14596" max="14596" width="9.375" style="2962" bestFit="1" customWidth="1"/>
    <col min="14597" max="14597" width="13.5" style="2962" customWidth="1"/>
    <col min="14598" max="14598" width="8.875" style="2962"/>
    <col min="14599" max="14599" width="9.375" style="2962" bestFit="1" customWidth="1"/>
    <col min="14600" max="14601" width="8.875" style="2962"/>
    <col min="14602" max="14602" width="9.375" style="2962" bestFit="1" customWidth="1"/>
    <col min="14603" max="14603" width="4" style="2962" customWidth="1"/>
    <col min="14604" max="14604" width="5.125" style="2962" customWidth="1"/>
    <col min="14605" max="14605" width="13.625" style="2962" customWidth="1"/>
    <col min="14606" max="14848" width="8.875" style="2962"/>
    <col min="14849" max="14849" width="4.875" style="2962" customWidth="1"/>
    <col min="14850" max="14850" width="13.125" style="2962" customWidth="1"/>
    <col min="14851" max="14851" width="15.625" style="2962" customWidth="1"/>
    <col min="14852" max="14852" width="9.375" style="2962" bestFit="1" customWidth="1"/>
    <col min="14853" max="14853" width="13.5" style="2962" customWidth="1"/>
    <col min="14854" max="14854" width="8.875" style="2962"/>
    <col min="14855" max="14855" width="9.375" style="2962" bestFit="1" customWidth="1"/>
    <col min="14856" max="14857" width="8.875" style="2962"/>
    <col min="14858" max="14858" width="9.375" style="2962" bestFit="1" customWidth="1"/>
    <col min="14859" max="14859" width="4" style="2962" customWidth="1"/>
    <col min="14860" max="14860" width="5.125" style="2962" customWidth="1"/>
    <col min="14861" max="14861" width="13.625" style="2962" customWidth="1"/>
    <col min="14862" max="15104" width="8.875" style="2962"/>
    <col min="15105" max="15105" width="4.875" style="2962" customWidth="1"/>
    <col min="15106" max="15106" width="13.125" style="2962" customWidth="1"/>
    <col min="15107" max="15107" width="15.625" style="2962" customWidth="1"/>
    <col min="15108" max="15108" width="9.375" style="2962" bestFit="1" customWidth="1"/>
    <col min="15109" max="15109" width="13.5" style="2962" customWidth="1"/>
    <col min="15110" max="15110" width="8.875" style="2962"/>
    <col min="15111" max="15111" width="9.375" style="2962" bestFit="1" customWidth="1"/>
    <col min="15112" max="15113" width="8.875" style="2962"/>
    <col min="15114" max="15114" width="9.375" style="2962" bestFit="1" customWidth="1"/>
    <col min="15115" max="15115" width="4" style="2962" customWidth="1"/>
    <col min="15116" max="15116" width="5.125" style="2962" customWidth="1"/>
    <col min="15117" max="15117" width="13.625" style="2962" customWidth="1"/>
    <col min="15118" max="15360" width="8.875" style="2962"/>
    <col min="15361" max="15361" width="4.875" style="2962" customWidth="1"/>
    <col min="15362" max="15362" width="13.125" style="2962" customWidth="1"/>
    <col min="15363" max="15363" width="15.625" style="2962" customWidth="1"/>
    <col min="15364" max="15364" width="9.375" style="2962" bestFit="1" customWidth="1"/>
    <col min="15365" max="15365" width="13.5" style="2962" customWidth="1"/>
    <col min="15366" max="15366" width="8.875" style="2962"/>
    <col min="15367" max="15367" width="9.375" style="2962" bestFit="1" customWidth="1"/>
    <col min="15368" max="15369" width="8.875" style="2962"/>
    <col min="15370" max="15370" width="9.375" style="2962" bestFit="1" customWidth="1"/>
    <col min="15371" max="15371" width="4" style="2962" customWidth="1"/>
    <col min="15372" max="15372" width="5.125" style="2962" customWidth="1"/>
    <col min="15373" max="15373" width="13.625" style="2962" customWidth="1"/>
    <col min="15374" max="15616" width="8.875" style="2962"/>
    <col min="15617" max="15617" width="4.875" style="2962" customWidth="1"/>
    <col min="15618" max="15618" width="13.125" style="2962" customWidth="1"/>
    <col min="15619" max="15619" width="15.625" style="2962" customWidth="1"/>
    <col min="15620" max="15620" width="9.375" style="2962" bestFit="1" customWidth="1"/>
    <col min="15621" max="15621" width="13.5" style="2962" customWidth="1"/>
    <col min="15622" max="15622" width="8.875" style="2962"/>
    <col min="15623" max="15623" width="9.375" style="2962" bestFit="1" customWidth="1"/>
    <col min="15624" max="15625" width="8.875" style="2962"/>
    <col min="15626" max="15626" width="9.375" style="2962" bestFit="1" customWidth="1"/>
    <col min="15627" max="15627" width="4" style="2962" customWidth="1"/>
    <col min="15628" max="15628" width="5.125" style="2962" customWidth="1"/>
    <col min="15629" max="15629" width="13.625" style="2962" customWidth="1"/>
    <col min="15630" max="15872" width="8.875" style="2962"/>
    <col min="15873" max="15873" width="4.875" style="2962" customWidth="1"/>
    <col min="15874" max="15874" width="13.125" style="2962" customWidth="1"/>
    <col min="15875" max="15875" width="15.625" style="2962" customWidth="1"/>
    <col min="15876" max="15876" width="9.375" style="2962" bestFit="1" customWidth="1"/>
    <col min="15877" max="15877" width="13.5" style="2962" customWidth="1"/>
    <col min="15878" max="15878" width="8.875" style="2962"/>
    <col min="15879" max="15879" width="9.375" style="2962" bestFit="1" customWidth="1"/>
    <col min="15880" max="15881" width="8.875" style="2962"/>
    <col min="15882" max="15882" width="9.375" style="2962" bestFit="1" customWidth="1"/>
    <col min="15883" max="15883" width="4" style="2962" customWidth="1"/>
    <col min="15884" max="15884" width="5.125" style="2962" customWidth="1"/>
    <col min="15885" max="15885" width="13.625" style="2962" customWidth="1"/>
    <col min="15886" max="16128" width="8.875" style="2962"/>
    <col min="16129" max="16129" width="4.875" style="2962" customWidth="1"/>
    <col min="16130" max="16130" width="13.125" style="2962" customWidth="1"/>
    <col min="16131" max="16131" width="15.625" style="2962" customWidth="1"/>
    <col min="16132" max="16132" width="9.375" style="2962" bestFit="1" customWidth="1"/>
    <col min="16133" max="16133" width="13.5" style="2962" customWidth="1"/>
    <col min="16134" max="16134" width="8.875" style="2962"/>
    <col min="16135" max="16135" width="9.375" style="2962" bestFit="1" customWidth="1"/>
    <col min="16136" max="16137" width="8.875" style="2962"/>
    <col min="16138" max="16138" width="9.375" style="2962" bestFit="1" customWidth="1"/>
    <col min="16139" max="16139" width="4" style="2962" customWidth="1"/>
    <col min="16140" max="16140" width="5.125" style="2962" customWidth="1"/>
    <col min="16141" max="16141" width="13.625" style="2962" customWidth="1"/>
    <col min="16142" max="16384" width="8.875" style="2962"/>
  </cols>
  <sheetData>
    <row r="1" spans="1:257" s="3022" customFormat="1" ht="14.25" thickBot="1">
      <c r="A1" s="3021"/>
      <c r="B1" s="3023" t="s">
        <v>2786</v>
      </c>
      <c r="C1" s="3027">
        <f>项目基本情况!D3</f>
        <v>43224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2817</v>
      </c>
      <c r="C2" s="3028">
        <f>'数据-取费表'!B22</f>
        <v>1.5</v>
      </c>
      <c r="D2" s="3023" t="s">
        <v>2787</v>
      </c>
      <c r="E2" s="3026">
        <f ca="1">INDIRECT("I"&amp;$I$1)/100</f>
        <v>4.7500000000000001E-2</v>
      </c>
      <c r="G2" s="2963"/>
      <c r="H2" s="2963"/>
      <c r="I2" s="2963" t="s">
        <v>2788</v>
      </c>
      <c r="K2" s="2963"/>
      <c r="L2" s="2963"/>
      <c r="M2" s="2963"/>
      <c r="N2" s="2963" t="s">
        <v>2789</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2819</v>
      </c>
      <c r="C3" s="3025">
        <f>'数据-取费表'!B19</f>
        <v>0</v>
      </c>
      <c r="D3" s="3023" t="s">
        <v>2787</v>
      </c>
      <c r="E3" s="3026">
        <f ca="1">INDIRECT("J"&amp;$J$1)/100</f>
        <v>0</v>
      </c>
      <c r="G3" s="2965" t="s">
        <v>2790</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2818</v>
      </c>
      <c r="C4" s="3026">
        <f ca="1">N4/100</f>
        <v>1.4999999999999999E-2</v>
      </c>
      <c r="G4" s="2971" t="s">
        <v>2791</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2792</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2793</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2794</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2795</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2796</v>
      </c>
      <c r="C10" s="2990"/>
      <c r="D10" s="2990"/>
      <c r="E10" s="2990"/>
      <c r="F10" s="2990"/>
      <c r="G10" s="2990"/>
      <c r="H10" s="2990"/>
      <c r="I10" s="2964"/>
      <c r="J10" s="2964"/>
      <c r="K10" s="2990"/>
      <c r="L10" s="2991" t="s">
        <v>2797</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2798</v>
      </c>
      <c r="C11" s="2995" t="s">
        <v>2799</v>
      </c>
      <c r="D11" s="2996" t="s">
        <v>2800</v>
      </c>
      <c r="E11" s="2997"/>
      <c r="F11" s="2996" t="s">
        <v>2801</v>
      </c>
      <c r="G11" s="2998"/>
      <c r="H11" s="2997"/>
      <c r="I11" s="2996" t="s">
        <v>2802</v>
      </c>
      <c r="J11" s="2997"/>
      <c r="K11" s="2993"/>
      <c r="L11" s="2994" t="s">
        <v>2798</v>
      </c>
      <c r="M11" s="2995" t="s">
        <v>2799</v>
      </c>
      <c r="N11" s="2994" t="s">
        <v>2803</v>
      </c>
      <c r="O11" s="2996" t="s">
        <v>2804</v>
      </c>
      <c r="P11" s="2998"/>
      <c r="Q11" s="2998"/>
      <c r="R11" s="2998"/>
      <c r="S11" s="2998"/>
      <c r="T11" s="2997"/>
      <c r="U11" s="2996" t="s">
        <v>2805</v>
      </c>
      <c r="V11" s="2998"/>
      <c r="W11" s="2997"/>
      <c r="X11" s="2994" t="s">
        <v>2806</v>
      </c>
      <c r="Y11" s="2994" t="s">
        <v>2807</v>
      </c>
      <c r="Z11" s="2994" t="s">
        <v>2808</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2809</v>
      </c>
      <c r="E12" s="3003" t="s">
        <v>2810</v>
      </c>
      <c r="F12" s="3003" t="s">
        <v>2811</v>
      </c>
      <c r="G12" s="3003" t="s">
        <v>2812</v>
      </c>
      <c r="H12" s="3003" t="s">
        <v>2794</v>
      </c>
      <c r="I12" s="3004" t="s">
        <v>2813</v>
      </c>
      <c r="J12" s="3004" t="s">
        <v>2813</v>
      </c>
      <c r="K12" s="3000"/>
      <c r="L12" s="3001"/>
      <c r="M12" s="3002"/>
      <c r="N12" s="3001"/>
      <c r="O12" s="3004" t="s">
        <v>2814</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2815</v>
      </c>
      <c r="C13" s="3008">
        <v>42301</v>
      </c>
      <c r="D13" s="3009">
        <v>4.3499999999999996</v>
      </c>
      <c r="E13" s="3009">
        <v>4.3499999999999996</v>
      </c>
      <c r="F13" s="3009">
        <v>4.75</v>
      </c>
      <c r="G13" s="3009">
        <v>4.75</v>
      </c>
      <c r="H13" s="3009">
        <v>4.9000000000000004</v>
      </c>
      <c r="I13" s="3009">
        <v>2.75</v>
      </c>
      <c r="J13" s="3009">
        <v>3.25</v>
      </c>
      <c r="K13" s="3006"/>
      <c r="L13" s="3007" t="s">
        <v>2815</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2816</v>
      </c>
      <c r="Y42" s="3013" t="s">
        <v>2816</v>
      </c>
      <c r="Z42" s="3013" t="s">
        <v>2816</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2816</v>
      </c>
      <c r="Y43" s="3013" t="s">
        <v>2816</v>
      </c>
      <c r="Z43" s="3013" t="s">
        <v>2816</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2816</v>
      </c>
      <c r="Y44" s="3013" t="s">
        <v>2816</v>
      </c>
      <c r="Z44" s="3013" t="s">
        <v>2816</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2816</v>
      </c>
      <c r="Y45" s="3013" t="s">
        <v>2816</v>
      </c>
      <c r="Z45" s="3013" t="s">
        <v>2816</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2816</v>
      </c>
      <c r="Y46" s="3013" t="s">
        <v>2816</v>
      </c>
      <c r="Z46" s="3013" t="s">
        <v>2816</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2816</v>
      </c>
      <c r="Y47" s="3013" t="s">
        <v>2816</v>
      </c>
      <c r="Z47" s="3013" t="s">
        <v>2816</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2816</v>
      </c>
      <c r="Y48" s="3013" t="s">
        <v>2816</v>
      </c>
      <c r="Z48" s="3013" t="s">
        <v>2816</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2816</v>
      </c>
      <c r="Y49" s="3013" t="s">
        <v>2816</v>
      </c>
      <c r="Z49" s="3013" t="s">
        <v>2816</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2816</v>
      </c>
      <c r="Y50" s="3013" t="s">
        <v>2816</v>
      </c>
      <c r="Z50" s="3013" t="s">
        <v>2816</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2816</v>
      </c>
      <c r="V51" s="3013" t="s">
        <v>2816</v>
      </c>
      <c r="W51" s="3013" t="s">
        <v>2816</v>
      </c>
      <c r="X51" s="3013" t="s">
        <v>2816</v>
      </c>
      <c r="Y51" s="3013" t="s">
        <v>2816</v>
      </c>
      <c r="Z51" s="3013" t="s">
        <v>2816</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2816</v>
      </c>
      <c r="J55" s="3013" t="s">
        <v>2816</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76126</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24649</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22" t="s">
        <v>522</v>
      </c>
      <c r="D4" s="3423"/>
      <c r="E4" s="3456" t="s">
        <v>523</v>
      </c>
      <c r="F4" s="3457"/>
      <c r="G4" s="3422" t="s">
        <v>524</v>
      </c>
      <c r="H4" s="3423"/>
      <c r="I4" s="3422" t="s">
        <v>525</v>
      </c>
      <c r="J4" s="3423"/>
      <c r="K4" s="852" t="s">
        <v>526</v>
      </c>
      <c r="L4" s="2132"/>
      <c r="M4" s="2133"/>
      <c r="N4" s="2133"/>
      <c r="O4" s="2133"/>
      <c r="P4" s="3424" t="s">
        <v>527</v>
      </c>
      <c r="Q4" s="3425"/>
      <c r="R4" s="3430" t="s">
        <v>523</v>
      </c>
      <c r="S4" s="3431"/>
      <c r="T4" s="3430" t="s">
        <v>524</v>
      </c>
      <c r="U4" s="3431"/>
      <c r="V4" s="3417" t="s">
        <v>525</v>
      </c>
      <c r="W4" s="3417"/>
      <c r="X4" s="3217"/>
      <c r="Y4" s="3430" t="s">
        <v>527</v>
      </c>
      <c r="Z4" s="3431"/>
      <c r="AA4" s="3419" t="s">
        <v>523</v>
      </c>
      <c r="AB4" s="3419" t="s">
        <v>524</v>
      </c>
      <c r="AC4" s="3419" t="s">
        <v>525</v>
      </c>
    </row>
    <row r="5" spans="1:29" ht="15">
      <c r="A5" s="514"/>
      <c r="B5" s="515"/>
      <c r="C5" s="3438" t="s">
        <v>2926</v>
      </c>
      <c r="D5" s="3439"/>
      <c r="E5" s="3534" t="s">
        <v>3136</v>
      </c>
      <c r="F5" s="3459"/>
      <c r="G5" s="3531" t="s">
        <v>3138</v>
      </c>
      <c r="H5" s="3439"/>
      <c r="I5" s="3438" t="s">
        <v>3137</v>
      </c>
      <c r="J5" s="3439"/>
      <c r="K5" s="853"/>
      <c r="L5" s="2132"/>
      <c r="M5" s="2133"/>
      <c r="N5" s="2133"/>
      <c r="O5" s="2133"/>
      <c r="P5" s="3426"/>
      <c r="Q5" s="3427"/>
      <c r="R5" s="3432"/>
      <c r="S5" s="3433"/>
      <c r="T5" s="3432"/>
      <c r="U5" s="3433"/>
      <c r="V5" s="3417"/>
      <c r="W5" s="3417"/>
      <c r="X5" s="3217"/>
      <c r="Y5" s="3432"/>
      <c r="Z5" s="3433"/>
      <c r="AA5" s="3420"/>
      <c r="AB5" s="3420"/>
      <c r="AC5" s="3420"/>
    </row>
    <row r="6" spans="1:29" ht="15.75" thickBot="1">
      <c r="A6" s="516"/>
      <c r="B6" s="517"/>
      <c r="C6" s="3436" t="s">
        <v>2930</v>
      </c>
      <c r="D6" s="3437"/>
      <c r="E6" s="3532" t="s">
        <v>3140</v>
      </c>
      <c r="F6" s="3455"/>
      <c r="G6" s="3533" t="s">
        <v>3139</v>
      </c>
      <c r="H6" s="3437"/>
      <c r="I6" s="3436" t="str">
        <f>E6</f>
        <v>神州半岛旅游度假区</v>
      </c>
      <c r="J6" s="3437"/>
      <c r="K6" s="853" t="s">
        <v>528</v>
      </c>
      <c r="L6" s="2132"/>
      <c r="M6" s="2133"/>
      <c r="N6" s="2133"/>
      <c r="O6" s="2133"/>
      <c r="P6" s="3428"/>
      <c r="Q6" s="3429"/>
      <c r="R6" s="3432"/>
      <c r="S6" s="3433"/>
      <c r="T6" s="3434"/>
      <c r="U6" s="3435"/>
      <c r="V6" s="3417"/>
      <c r="W6" s="3417"/>
      <c r="X6" s="3217"/>
      <c r="Y6" s="3434"/>
      <c r="Z6" s="3435"/>
      <c r="AA6" s="3421"/>
      <c r="AB6" s="3421"/>
      <c r="AC6" s="3421"/>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47" t="s">
        <v>530</v>
      </c>
      <c r="Q7" s="3449"/>
      <c r="R7" s="1566" t="s">
        <v>8</v>
      </c>
      <c r="S7" s="1567">
        <f t="shared" ref="S7:S15" si="0">F7</f>
        <v>100</v>
      </c>
      <c r="T7" s="1566" t="s">
        <v>8</v>
      </c>
      <c r="U7" s="1567">
        <f t="shared" ref="U7:U15" si="1">H7</f>
        <v>100</v>
      </c>
      <c r="V7" s="1566" t="s">
        <v>8</v>
      </c>
      <c r="W7" s="1567">
        <f t="shared" ref="W7:W15" si="2">J7</f>
        <v>100</v>
      </c>
      <c r="X7" s="1568"/>
      <c r="Y7" s="3447" t="s">
        <v>530</v>
      </c>
      <c r="Z7" s="3448"/>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47" t="s">
        <v>533</v>
      </c>
      <c r="Q8" s="3448"/>
      <c r="R8" s="1566" t="s">
        <v>8</v>
      </c>
      <c r="S8" s="1567">
        <f t="shared" si="0"/>
        <v>100</v>
      </c>
      <c r="T8" s="1566" t="s">
        <v>8</v>
      </c>
      <c r="U8" s="1567">
        <f t="shared" si="1"/>
        <v>100</v>
      </c>
      <c r="V8" s="1566" t="s">
        <v>8</v>
      </c>
      <c r="W8" s="1567">
        <f t="shared" si="2"/>
        <v>100</v>
      </c>
      <c r="X8" s="1568"/>
      <c r="Y8" s="3447" t="s">
        <v>533</v>
      </c>
      <c r="Z8" s="3448"/>
      <c r="AA8" s="1569">
        <f t="shared" ref="AA8:AA46" si="3">D8/F8</f>
        <v>1</v>
      </c>
      <c r="AB8" s="1569">
        <f t="shared" ref="AB8:AB46" si="4">D8/H8</f>
        <v>1</v>
      </c>
      <c r="AC8" s="1569">
        <f t="shared" ref="AC8:AC46" si="5">D8/J8</f>
        <v>1</v>
      </c>
    </row>
    <row r="9" spans="1:29" s="1218" customFormat="1" ht="15">
      <c r="A9" s="2937"/>
      <c r="B9" s="2944" t="s">
        <v>2754</v>
      </c>
      <c r="C9" s="3198" t="s">
        <v>3106</v>
      </c>
      <c r="D9" s="253">
        <v>100</v>
      </c>
      <c r="E9" s="3198" t="s">
        <v>3106</v>
      </c>
      <c r="F9" s="858">
        <f>SUMIF(63:63,E9,64:64)-SUMIF(63:63,C9,64:64)+100</f>
        <v>100</v>
      </c>
      <c r="G9" s="3198" t="s">
        <v>3106</v>
      </c>
      <c r="H9" s="253">
        <f>SUMIF(63:63,G9,64:64)-SUMIF(63:63,C9,64:64)+100</f>
        <v>100</v>
      </c>
      <c r="I9" s="3198" t="s">
        <v>3106</v>
      </c>
      <c r="J9" s="253">
        <f>SUMIF(63:63,I9,64:64)-SUMIF(63:63,C9,64:64)+100</f>
        <v>100</v>
      </c>
      <c r="K9" s="854"/>
      <c r="L9" s="2134"/>
      <c r="M9" s="2135"/>
      <c r="N9" s="2135"/>
      <c r="O9" s="2136"/>
      <c r="P9" s="3416" t="s">
        <v>535</v>
      </c>
      <c r="Q9" s="3214" t="str">
        <f t="shared" ref="Q9:Q15" si="6">B9</f>
        <v>用途</v>
      </c>
      <c r="R9" s="1566" t="s">
        <v>8</v>
      </c>
      <c r="S9" s="1567">
        <f t="shared" si="0"/>
        <v>100</v>
      </c>
      <c r="T9" s="1566" t="s">
        <v>8</v>
      </c>
      <c r="U9" s="1567">
        <f t="shared" si="1"/>
        <v>100</v>
      </c>
      <c r="V9" s="1566" t="s">
        <v>8</v>
      </c>
      <c r="W9" s="1567">
        <f t="shared" si="2"/>
        <v>100</v>
      </c>
      <c r="X9" s="1568"/>
      <c r="Y9" s="3362" t="s">
        <v>536</v>
      </c>
      <c r="Z9" s="3213" t="str">
        <f t="shared" ref="Z9:Z15" si="7">Q9</f>
        <v>用途</v>
      </c>
      <c r="AA9" s="1569">
        <f t="shared" si="3"/>
        <v>1</v>
      </c>
      <c r="AB9" s="1569">
        <f t="shared" si="4"/>
        <v>1</v>
      </c>
      <c r="AC9" s="1569">
        <f t="shared" si="5"/>
        <v>1</v>
      </c>
    </row>
    <row r="10" spans="1:29" s="1336" customFormat="1" ht="27">
      <c r="A10" s="2938"/>
      <c r="B10" s="2943" t="s">
        <v>2755</v>
      </c>
      <c r="C10" s="860" t="s">
        <v>3107</v>
      </c>
      <c r="D10" s="254">
        <v>100</v>
      </c>
      <c r="E10" s="860" t="s">
        <v>3107</v>
      </c>
      <c r="F10" s="862">
        <f>SUMIF(65:65,E10,66:66)-SUMIF(65:65,C10,66:66)+100</f>
        <v>100</v>
      </c>
      <c r="G10" s="860" t="s">
        <v>3107</v>
      </c>
      <c r="H10" s="254">
        <f>SUMIF(65:65,G10,66:66)-SUMIF(65:65,C10,66:66)+100</f>
        <v>100</v>
      </c>
      <c r="I10" s="860" t="s">
        <v>3107</v>
      </c>
      <c r="J10" s="254">
        <f>SUMIF(65:65,I10,66:66)-SUMIF(65:65,C10,66:66)+100</f>
        <v>100</v>
      </c>
      <c r="K10" s="863">
        <v>1</v>
      </c>
      <c r="L10" s="2137"/>
      <c r="M10" s="2177"/>
      <c r="N10" s="2177"/>
      <c r="O10" s="2138"/>
      <c r="P10" s="3416"/>
      <c r="Q10" s="3214" t="str">
        <f t="shared" si="6"/>
        <v>土地使用年限（年）</v>
      </c>
      <c r="R10" s="1566" t="s">
        <v>8</v>
      </c>
      <c r="S10" s="1567">
        <f t="shared" si="0"/>
        <v>100</v>
      </c>
      <c r="T10" s="1566" t="s">
        <v>8</v>
      </c>
      <c r="U10" s="1567">
        <f t="shared" si="1"/>
        <v>100</v>
      </c>
      <c r="V10" s="1566" t="s">
        <v>8</v>
      </c>
      <c r="W10" s="1567">
        <f t="shared" si="2"/>
        <v>100</v>
      </c>
      <c r="X10" s="1568"/>
      <c r="Y10" s="3362"/>
      <c r="Z10" s="3213" t="str">
        <f t="shared" si="7"/>
        <v>土地使用年限（年）</v>
      </c>
      <c r="AA10" s="1569">
        <f t="shared" si="3"/>
        <v>1</v>
      </c>
      <c r="AB10" s="1569">
        <f t="shared" si="4"/>
        <v>1</v>
      </c>
      <c r="AC10" s="1569">
        <f t="shared" si="5"/>
        <v>1</v>
      </c>
    </row>
    <row r="11" spans="1:29" ht="15.75" thickBot="1">
      <c r="A11" s="2939"/>
      <c r="B11" s="2943" t="s">
        <v>2756</v>
      </c>
      <c r="C11" s="532">
        <v>1</v>
      </c>
      <c r="D11" s="254">
        <v>100</v>
      </c>
      <c r="E11" s="533">
        <v>1.3</v>
      </c>
      <c r="F11" s="862">
        <f>LOOKUP(E11,68:68,69:69)-LOOKUP(C11,68:68,69:69)+100</f>
        <v>100</v>
      </c>
      <c r="G11" s="532">
        <v>0.8</v>
      </c>
      <c r="H11" s="254">
        <f>LOOKUP(G11,68:68,69:69)-LOOKUP(C11,68:68,69:69)+100</f>
        <v>105</v>
      </c>
      <c r="I11" s="532">
        <f>E11</f>
        <v>1.3</v>
      </c>
      <c r="J11" s="254">
        <f>LOOKUP(I11,68:68,69:69)-LOOKUP(C11,68:68,69:69)+100</f>
        <v>100</v>
      </c>
      <c r="K11" s="863">
        <v>5</v>
      </c>
      <c r="L11" s="2139"/>
      <c r="M11" s="2133"/>
      <c r="N11" s="2133"/>
      <c r="O11" s="2140"/>
      <c r="P11" s="3416"/>
      <c r="Q11" s="3214" t="str">
        <f t="shared" si="6"/>
        <v>容积率</v>
      </c>
      <c r="R11" s="1566" t="s">
        <v>8</v>
      </c>
      <c r="S11" s="1567">
        <f t="shared" si="0"/>
        <v>100</v>
      </c>
      <c r="T11" s="1566" t="s">
        <v>8</v>
      </c>
      <c r="U11" s="1567">
        <f t="shared" si="1"/>
        <v>105</v>
      </c>
      <c r="V11" s="1566" t="s">
        <v>8</v>
      </c>
      <c r="W11" s="1567">
        <f t="shared" si="2"/>
        <v>100</v>
      </c>
      <c r="X11" s="1568"/>
      <c r="Y11" s="3362"/>
      <c r="Z11" s="3213" t="str">
        <f t="shared" si="7"/>
        <v>容积率</v>
      </c>
      <c r="AA11" s="1569">
        <f t="shared" si="3"/>
        <v>1</v>
      </c>
      <c r="AB11" s="1569">
        <f t="shared" si="4"/>
        <v>0.95238095238095233</v>
      </c>
      <c r="AC11" s="1569">
        <f t="shared" si="5"/>
        <v>1</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3214">
        <f t="shared" si="6"/>
        <v>0</v>
      </c>
      <c r="R12" s="1566" t="s">
        <v>8</v>
      </c>
      <c r="S12" s="1567">
        <f t="shared" si="0"/>
        <v>100</v>
      </c>
      <c r="T12" s="1566" t="s">
        <v>8</v>
      </c>
      <c r="U12" s="1567">
        <f t="shared" si="1"/>
        <v>100</v>
      </c>
      <c r="V12" s="1566" t="s">
        <v>8</v>
      </c>
      <c r="W12" s="1567">
        <f t="shared" si="2"/>
        <v>100</v>
      </c>
      <c r="X12" s="1568"/>
      <c r="Y12" s="3362"/>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3214">
        <f t="shared" si="6"/>
        <v>0</v>
      </c>
      <c r="R13" s="1566" t="s">
        <v>8</v>
      </c>
      <c r="S13" s="1567">
        <f t="shared" si="0"/>
        <v>100</v>
      </c>
      <c r="T13" s="1566" t="s">
        <v>8</v>
      </c>
      <c r="U13" s="1567">
        <f t="shared" si="1"/>
        <v>100</v>
      </c>
      <c r="V13" s="1566" t="s">
        <v>8</v>
      </c>
      <c r="W13" s="1567">
        <f t="shared" si="2"/>
        <v>100</v>
      </c>
      <c r="X13" s="1568"/>
      <c r="Y13" s="3362"/>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3214">
        <f t="shared" si="6"/>
        <v>0</v>
      </c>
      <c r="R14" s="1566" t="s">
        <v>8</v>
      </c>
      <c r="S14" s="1567">
        <f t="shared" si="0"/>
        <v>100</v>
      </c>
      <c r="T14" s="1566" t="s">
        <v>8</v>
      </c>
      <c r="U14" s="1567">
        <f t="shared" si="1"/>
        <v>100</v>
      </c>
      <c r="V14" s="1566" t="s">
        <v>8</v>
      </c>
      <c r="W14" s="1567">
        <f t="shared" si="2"/>
        <v>100</v>
      </c>
      <c r="X14" s="1568"/>
      <c r="Y14" s="3362"/>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50" t="s">
        <v>540</v>
      </c>
      <c r="Q15" s="3215" t="str">
        <f t="shared" si="6"/>
        <v>居住社区成熟度</v>
      </c>
      <c r="R15" s="1571" t="s">
        <v>8</v>
      </c>
      <c r="S15" s="1572">
        <f t="shared" si="0"/>
        <v>100</v>
      </c>
      <c r="T15" s="1571" t="s">
        <v>8</v>
      </c>
      <c r="U15" s="1572">
        <f t="shared" si="1"/>
        <v>100</v>
      </c>
      <c r="V15" s="1571" t="s">
        <v>8</v>
      </c>
      <c r="W15" s="1572">
        <f t="shared" si="2"/>
        <v>100</v>
      </c>
      <c r="X15" s="3217"/>
      <c r="Y15" s="3450" t="s">
        <v>540</v>
      </c>
      <c r="Z15" s="3216" t="str">
        <f t="shared" si="7"/>
        <v>居住社区成熟度</v>
      </c>
      <c r="AA15" s="3218">
        <f t="shared" si="3"/>
        <v>1</v>
      </c>
      <c r="AB15" s="3218">
        <f t="shared" si="4"/>
        <v>1</v>
      </c>
      <c r="AC15" s="3218">
        <f t="shared" si="5"/>
        <v>1</v>
      </c>
    </row>
    <row r="16" spans="1:29" ht="15">
      <c r="A16" s="531"/>
      <c r="B16" s="868"/>
      <c r="C16" s="575" t="s">
        <v>3082</v>
      </c>
      <c r="D16" s="554"/>
      <c r="E16" s="575" t="s">
        <v>3082</v>
      </c>
      <c r="F16" s="556"/>
      <c r="G16" s="575" t="s">
        <v>3082</v>
      </c>
      <c r="H16" s="558"/>
      <c r="I16" s="575" t="s">
        <v>3082</v>
      </c>
      <c r="J16" s="554"/>
      <c r="K16" s="869"/>
      <c r="L16" s="2141"/>
      <c r="M16" s="2133"/>
      <c r="N16" s="2133"/>
      <c r="O16" s="2140"/>
      <c r="P16" s="3451"/>
      <c r="Q16" s="3215"/>
      <c r="R16" s="1571"/>
      <c r="S16" s="1572"/>
      <c r="T16" s="1571"/>
      <c r="U16" s="1572"/>
      <c r="V16" s="1571"/>
      <c r="W16" s="1572"/>
      <c r="X16" s="3217"/>
      <c r="Y16" s="3451"/>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3215" t="str">
        <f>B17</f>
        <v>交通便捷度</v>
      </c>
      <c r="R17" s="1571" t="s">
        <v>8</v>
      </c>
      <c r="S17" s="1572">
        <f>F17</f>
        <v>100</v>
      </c>
      <c r="T17" s="1571" t="s">
        <v>8</v>
      </c>
      <c r="U17" s="1572">
        <f>H17</f>
        <v>100</v>
      </c>
      <c r="V17" s="1571" t="s">
        <v>8</v>
      </c>
      <c r="W17" s="1572">
        <f>J17</f>
        <v>100</v>
      </c>
      <c r="X17" s="3217"/>
      <c r="Y17" s="3451"/>
      <c r="Z17" s="3216" t="str">
        <f>Q17</f>
        <v>交通便捷度</v>
      </c>
      <c r="AA17" s="3218">
        <f t="shared" si="3"/>
        <v>1</v>
      </c>
      <c r="AB17" s="3218">
        <f t="shared" si="4"/>
        <v>1</v>
      </c>
      <c r="AC17" s="3218">
        <f t="shared" si="5"/>
        <v>1</v>
      </c>
    </row>
    <row r="18" spans="1:29" ht="15">
      <c r="A18" s="531"/>
      <c r="B18" s="594"/>
      <c r="C18" s="872" t="s">
        <v>3083</v>
      </c>
      <c r="D18" s="558"/>
      <c r="E18" s="872" t="s">
        <v>3083</v>
      </c>
      <c r="F18" s="562"/>
      <c r="G18" s="872" t="s">
        <v>3083</v>
      </c>
      <c r="H18" s="554"/>
      <c r="I18" s="872" t="s">
        <v>3083</v>
      </c>
      <c r="J18" s="554"/>
      <c r="K18" s="869"/>
      <c r="L18" s="2141"/>
      <c r="M18" s="2133"/>
      <c r="N18" s="2133"/>
      <c r="O18" s="2140"/>
      <c r="P18" s="3451"/>
      <c r="Q18" s="3215"/>
      <c r="R18" s="1571"/>
      <c r="S18" s="1572"/>
      <c r="T18" s="1571"/>
      <c r="U18" s="1572"/>
      <c r="V18" s="1571"/>
      <c r="W18" s="1572"/>
      <c r="X18" s="3217"/>
      <c r="Y18" s="3451"/>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51"/>
      <c r="Q19" s="3215" t="str">
        <f>B19</f>
        <v>公共配套设施</v>
      </c>
      <c r="R19" s="1571" t="s">
        <v>8</v>
      </c>
      <c r="S19" s="1572">
        <f>F19</f>
        <v>100</v>
      </c>
      <c r="T19" s="1571" t="s">
        <v>8</v>
      </c>
      <c r="U19" s="1572">
        <f>H19</f>
        <v>100</v>
      </c>
      <c r="V19" s="1571" t="s">
        <v>8</v>
      </c>
      <c r="W19" s="1572">
        <f>J19</f>
        <v>100</v>
      </c>
      <c r="X19" s="3217"/>
      <c r="Y19" s="3451"/>
      <c r="Z19" s="3216" t="str">
        <f>Q19</f>
        <v>公共配套设施</v>
      </c>
      <c r="AA19" s="3218">
        <f t="shared" si="3"/>
        <v>1</v>
      </c>
      <c r="AB19" s="3218">
        <f t="shared" si="4"/>
        <v>1</v>
      </c>
      <c r="AC19" s="3218">
        <f t="shared" si="5"/>
        <v>1</v>
      </c>
    </row>
    <row r="20" spans="1:29" ht="15">
      <c r="A20" s="531"/>
      <c r="B20" s="594"/>
      <c r="C20" s="575" t="s">
        <v>3082</v>
      </c>
      <c r="D20" s="554"/>
      <c r="E20" s="575" t="s">
        <v>3082</v>
      </c>
      <c r="F20" s="556"/>
      <c r="G20" s="575" t="s">
        <v>3082</v>
      </c>
      <c r="H20" s="554"/>
      <c r="I20" s="575" t="s">
        <v>3082</v>
      </c>
      <c r="J20" s="554"/>
      <c r="K20" s="869"/>
      <c r="L20" s="2141"/>
      <c r="M20" s="2133"/>
      <c r="N20" s="2133"/>
      <c r="O20" s="2140"/>
      <c r="P20" s="3451"/>
      <c r="Q20" s="3215"/>
      <c r="R20" s="1571"/>
      <c r="S20" s="1572"/>
      <c r="T20" s="1571"/>
      <c r="U20" s="1572"/>
      <c r="V20" s="1571"/>
      <c r="W20" s="1572"/>
      <c r="X20" s="3217"/>
      <c r="Y20" s="3451"/>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51"/>
      <c r="Q21" s="3215" t="str">
        <f>B21</f>
        <v>基础设施水平</v>
      </c>
      <c r="R21" s="1571" t="s">
        <v>8</v>
      </c>
      <c r="S21" s="1572">
        <f>F21</f>
        <v>100</v>
      </c>
      <c r="T21" s="1571" t="s">
        <v>8</v>
      </c>
      <c r="U21" s="1572">
        <f>H21</f>
        <v>100</v>
      </c>
      <c r="V21" s="1571" t="s">
        <v>8</v>
      </c>
      <c r="W21" s="1572">
        <f>J21</f>
        <v>100</v>
      </c>
      <c r="X21" s="3217"/>
      <c r="Y21" s="3451"/>
      <c r="Z21" s="3216" t="str">
        <f>Q21</f>
        <v>基础设施水平</v>
      </c>
      <c r="AA21" s="3218">
        <f t="shared" ref="AA21" si="8">D21/F21</f>
        <v>1</v>
      </c>
      <c r="AB21" s="3218">
        <f t="shared" ref="AB21" si="9">D21/H21</f>
        <v>1</v>
      </c>
      <c r="AC21" s="3218">
        <f t="shared" ref="AC21" si="10">D21/J21</f>
        <v>1</v>
      </c>
    </row>
    <row r="22" spans="1:29" ht="15">
      <c r="A22" s="531"/>
      <c r="B22" s="921"/>
      <c r="C22" s="872" t="s">
        <v>3084</v>
      </c>
      <c r="D22" s="554"/>
      <c r="E22" s="872" t="s">
        <v>3084</v>
      </c>
      <c r="F22" s="556"/>
      <c r="G22" s="872" t="s">
        <v>3084</v>
      </c>
      <c r="H22" s="554"/>
      <c r="I22" s="872" t="s">
        <v>3084</v>
      </c>
      <c r="J22" s="554"/>
      <c r="K22" s="2622"/>
      <c r="L22" s="2141"/>
      <c r="M22" s="2133"/>
      <c r="N22" s="2133"/>
      <c r="O22" s="2140"/>
      <c r="P22" s="3451"/>
      <c r="Q22" s="3215"/>
      <c r="R22" s="1571"/>
      <c r="S22" s="1572"/>
      <c r="T22" s="1571"/>
      <c r="U22" s="1572"/>
      <c r="V22" s="1571"/>
      <c r="W22" s="1572"/>
      <c r="X22" s="3217"/>
      <c r="Y22" s="3451"/>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51"/>
      <c r="Q23" s="3215" t="str">
        <f>B23</f>
        <v>自然及人文环境</v>
      </c>
      <c r="R23" s="1571" t="s">
        <v>8</v>
      </c>
      <c r="S23" s="1572">
        <f>F23</f>
        <v>100</v>
      </c>
      <c r="T23" s="1571" t="s">
        <v>8</v>
      </c>
      <c r="U23" s="1572">
        <f>H23</f>
        <v>95</v>
      </c>
      <c r="V23" s="1571" t="s">
        <v>8</v>
      </c>
      <c r="W23" s="1572">
        <f>J23</f>
        <v>100</v>
      </c>
      <c r="X23" s="3217"/>
      <c r="Y23" s="3451"/>
      <c r="Z23" s="3216" t="str">
        <f>Q23</f>
        <v>自然及人文环境</v>
      </c>
      <c r="AA23" s="3218">
        <f t="shared" si="3"/>
        <v>1</v>
      </c>
      <c r="AB23" s="3218">
        <f t="shared" si="4"/>
        <v>1.0526315789473684</v>
      </c>
      <c r="AC23" s="3218">
        <f t="shared" si="5"/>
        <v>1</v>
      </c>
    </row>
    <row r="24" spans="1:29" ht="15">
      <c r="A24" s="531"/>
      <c r="B24" s="594"/>
      <c r="C24" s="575" t="s">
        <v>3074</v>
      </c>
      <c r="D24" s="554"/>
      <c r="E24" s="575" t="s">
        <v>3074</v>
      </c>
      <c r="F24" s="556"/>
      <c r="G24" s="557" t="s">
        <v>3083</v>
      </c>
      <c r="H24" s="554"/>
      <c r="I24" s="575" t="s">
        <v>3074</v>
      </c>
      <c r="J24" s="554"/>
      <c r="K24" s="869"/>
      <c r="L24" s="2141"/>
      <c r="M24" s="2133"/>
      <c r="N24" s="2133"/>
      <c r="O24" s="2140"/>
      <c r="P24" s="3451"/>
      <c r="Q24" s="3215"/>
      <c r="R24" s="1571"/>
      <c r="S24" s="1572"/>
      <c r="T24" s="1571"/>
      <c r="U24" s="1572"/>
      <c r="V24" s="1571"/>
      <c r="W24" s="1572"/>
      <c r="X24" s="3217"/>
      <c r="Y24" s="3451"/>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3215" t="str">
        <f t="shared" ref="Q25:Q46" si="11">B25</f>
        <v>楼层-1</v>
      </c>
      <c r="R25" s="1571" t="s">
        <v>8</v>
      </c>
      <c r="S25" s="1572">
        <f>F25</f>
        <v>100</v>
      </c>
      <c r="T25" s="1571" t="s">
        <v>8</v>
      </c>
      <c r="U25" s="1572">
        <f>H25</f>
        <v>100</v>
      </c>
      <c r="V25" s="1571" t="s">
        <v>8</v>
      </c>
      <c r="W25" s="1572">
        <f>J25</f>
        <v>100</v>
      </c>
      <c r="X25" s="3217"/>
      <c r="Y25" s="3451"/>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3215" t="str">
        <f t="shared" si="11"/>
        <v>朝向</v>
      </c>
      <c r="R26" s="1571" t="s">
        <v>8</v>
      </c>
      <c r="S26" s="1572">
        <f>F26</f>
        <v>100</v>
      </c>
      <c r="T26" s="1571" t="s">
        <v>8</v>
      </c>
      <c r="U26" s="1572">
        <f>H26</f>
        <v>100</v>
      </c>
      <c r="V26" s="1571" t="s">
        <v>8</v>
      </c>
      <c r="W26" s="1572">
        <f>J26</f>
        <v>100</v>
      </c>
      <c r="X26" s="3217"/>
      <c r="Y26" s="3451"/>
      <c r="Z26" s="3216" t="str">
        <f>Q26</f>
        <v>朝向</v>
      </c>
      <c r="AA26" s="3218">
        <f t="shared" si="3"/>
        <v>1</v>
      </c>
      <c r="AB26" s="3218">
        <f t="shared" si="4"/>
        <v>1</v>
      </c>
      <c r="AC26" s="3218">
        <f t="shared" si="5"/>
        <v>1</v>
      </c>
    </row>
    <row r="27" spans="1:29" s="1218" customFormat="1" ht="15.75" thickBot="1">
      <c r="A27" s="535"/>
      <c r="B27" s="3204" t="s">
        <v>3124</v>
      </c>
      <c r="C27" s="3205" t="s">
        <v>3125</v>
      </c>
      <c r="D27" s="874">
        <v>100</v>
      </c>
      <c r="E27" s="3206" t="s">
        <v>3097</v>
      </c>
      <c r="F27" s="875">
        <f>SUMIF(90:90,E27,91:91)-SUMIF(90:90,C27,91:91)+100</f>
        <v>105</v>
      </c>
      <c r="G27" s="3207" t="s">
        <v>3125</v>
      </c>
      <c r="H27" s="874">
        <f>SUMIF(90:90,G27,91:91)-SUMIF(90:90,C27,91:91)+100</f>
        <v>100</v>
      </c>
      <c r="I27" s="3206" t="s">
        <v>3097</v>
      </c>
      <c r="J27" s="874">
        <f>SUMIF(90:90,I27,91:91)-SUMIF(90:90,C27,91:91)+100</f>
        <v>105</v>
      </c>
      <c r="K27" s="864"/>
      <c r="L27" s="2134"/>
      <c r="M27" s="2135"/>
      <c r="N27" s="2135"/>
      <c r="O27" s="2136"/>
      <c r="P27" s="3451"/>
      <c r="Q27" s="3214" t="str">
        <f t="shared" si="11"/>
        <v>楼层</v>
      </c>
      <c r="R27" s="1566" t="s">
        <v>8</v>
      </c>
      <c r="S27" s="1567">
        <f>F27</f>
        <v>105</v>
      </c>
      <c r="T27" s="1566" t="s">
        <v>8</v>
      </c>
      <c r="U27" s="1567">
        <f>H27</f>
        <v>100</v>
      </c>
      <c r="V27" s="1566" t="s">
        <v>8</v>
      </c>
      <c r="W27" s="1567">
        <f>J27</f>
        <v>105</v>
      </c>
      <c r="X27" s="1568"/>
      <c r="Y27" s="3451"/>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3215">
        <f t="shared" si="11"/>
        <v>0</v>
      </c>
      <c r="R28" s="1571" t="s">
        <v>8</v>
      </c>
      <c r="S28" s="1572">
        <f t="shared" ref="S28:S46" si="12">F28</f>
        <v>100</v>
      </c>
      <c r="T28" s="1571" t="s">
        <v>8</v>
      </c>
      <c r="U28" s="1572">
        <f t="shared" ref="U28:U46" si="13">H28</f>
        <v>100</v>
      </c>
      <c r="V28" s="1571" t="s">
        <v>8</v>
      </c>
      <c r="W28" s="1572">
        <f t="shared" ref="W28:W46" si="14">J28</f>
        <v>100</v>
      </c>
      <c r="X28" s="3217"/>
      <c r="Y28" s="3451"/>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3215">
        <f t="shared" si="11"/>
        <v>0</v>
      </c>
      <c r="R29" s="1571" t="s">
        <v>8</v>
      </c>
      <c r="S29" s="1572">
        <f t="shared" si="12"/>
        <v>100</v>
      </c>
      <c r="T29" s="1571" t="s">
        <v>8</v>
      </c>
      <c r="U29" s="1572">
        <f t="shared" si="13"/>
        <v>100</v>
      </c>
      <c r="V29" s="1571" t="s">
        <v>8</v>
      </c>
      <c r="W29" s="1572">
        <f t="shared" si="14"/>
        <v>100</v>
      </c>
      <c r="X29" s="3217"/>
      <c r="Y29" s="3451"/>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3215">
        <f t="shared" si="11"/>
        <v>0</v>
      </c>
      <c r="R30" s="1571" t="s">
        <v>8</v>
      </c>
      <c r="S30" s="1572">
        <f t="shared" si="12"/>
        <v>100</v>
      </c>
      <c r="T30" s="1571" t="s">
        <v>8</v>
      </c>
      <c r="U30" s="1572">
        <f t="shared" si="13"/>
        <v>100</v>
      </c>
      <c r="V30" s="1571" t="s">
        <v>8</v>
      </c>
      <c r="W30" s="1572">
        <f t="shared" si="14"/>
        <v>100</v>
      </c>
      <c r="X30" s="3217"/>
      <c r="Y30" s="3451"/>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3215">
        <f t="shared" si="11"/>
        <v>0</v>
      </c>
      <c r="R31" s="1571" t="s">
        <v>8</v>
      </c>
      <c r="S31" s="1572">
        <f t="shared" si="12"/>
        <v>100</v>
      </c>
      <c r="T31" s="1571" t="s">
        <v>8</v>
      </c>
      <c r="U31" s="1572">
        <f t="shared" si="13"/>
        <v>100</v>
      </c>
      <c r="V31" s="1571" t="s">
        <v>8</v>
      </c>
      <c r="W31" s="1572">
        <f t="shared" si="14"/>
        <v>100</v>
      </c>
      <c r="X31" s="3217"/>
      <c r="Y31" s="3451"/>
      <c r="Z31" s="3216">
        <f t="shared" si="15"/>
        <v>0</v>
      </c>
      <c r="AA31" s="3218">
        <f t="shared" si="3"/>
        <v>1</v>
      </c>
      <c r="AB31" s="3218">
        <f t="shared" si="4"/>
        <v>1</v>
      </c>
      <c r="AC31" s="3218">
        <f t="shared" si="5"/>
        <v>1</v>
      </c>
    </row>
    <row r="32" spans="1:29" ht="15">
      <c r="A32" s="2930" t="s">
        <v>2753</v>
      </c>
      <c r="B32" s="172" t="s">
        <v>724</v>
      </c>
      <c r="C32" s="877" t="s">
        <v>3092</v>
      </c>
      <c r="D32" s="596">
        <v>100</v>
      </c>
      <c r="E32" s="878" t="s">
        <v>3096</v>
      </c>
      <c r="F32" s="574">
        <f>SUMIF(100:100,E32,101:101)-SUMIF(100:100,C32,101:101)+100</f>
        <v>90</v>
      </c>
      <c r="G32" s="877" t="s">
        <v>3092</v>
      </c>
      <c r="H32" s="596">
        <f>SUMIF(100:100,G32,101:101)-SUMIF(100:100,C32,101:101)+100</f>
        <v>100</v>
      </c>
      <c r="I32" s="878" t="s">
        <v>3096</v>
      </c>
      <c r="J32" s="539">
        <f>SUMIF(100:100,I32,101:101)-SUMIF(100:100,C32,101:101)+100</f>
        <v>90</v>
      </c>
      <c r="K32" s="863">
        <v>5</v>
      </c>
      <c r="L32" s="2141"/>
      <c r="M32" s="2133"/>
      <c r="N32" s="2133"/>
      <c r="O32" s="2140"/>
      <c r="P32" s="3452" t="s">
        <v>550</v>
      </c>
      <c r="Q32" s="3215" t="str">
        <f t="shared" si="11"/>
        <v>建筑类型</v>
      </c>
      <c r="R32" s="1571" t="s">
        <v>8</v>
      </c>
      <c r="S32" s="1572">
        <f t="shared" si="12"/>
        <v>90</v>
      </c>
      <c r="T32" s="1571" t="s">
        <v>8</v>
      </c>
      <c r="U32" s="1572">
        <f t="shared" si="13"/>
        <v>100</v>
      </c>
      <c r="V32" s="1571" t="s">
        <v>8</v>
      </c>
      <c r="W32" s="1572">
        <f t="shared" si="14"/>
        <v>90</v>
      </c>
      <c r="X32" s="3217"/>
      <c r="Y32" s="3453" t="s">
        <v>550</v>
      </c>
      <c r="Z32" s="3216" t="str">
        <f t="shared" si="15"/>
        <v>建筑类型</v>
      </c>
      <c r="AA32" s="3218">
        <f t="shared" si="3"/>
        <v>1.1111111111111112</v>
      </c>
      <c r="AB32" s="3218">
        <f t="shared" si="4"/>
        <v>1</v>
      </c>
      <c r="AC32" s="3218">
        <f t="shared" si="5"/>
        <v>1.1111111111111112</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8</v>
      </c>
      <c r="S33" s="1576">
        <f t="shared" si="12"/>
        <v>100</v>
      </c>
      <c r="T33" s="1575" t="s">
        <v>8</v>
      </c>
      <c r="U33" s="1576">
        <f t="shared" si="13"/>
        <v>100</v>
      </c>
      <c r="V33" s="1575" t="s">
        <v>8</v>
      </c>
      <c r="W33" s="1576">
        <f t="shared" si="14"/>
        <v>100</v>
      </c>
      <c r="X33" s="1577"/>
      <c r="Y33" s="3453"/>
      <c r="Z33" s="1578" t="str">
        <f t="shared" si="15"/>
        <v>项目建筑规模</v>
      </c>
      <c r="AA33" s="3218">
        <f t="shared" si="3"/>
        <v>1</v>
      </c>
      <c r="AB33" s="3218">
        <f t="shared" si="4"/>
        <v>1</v>
      </c>
      <c r="AC33" s="3218">
        <f t="shared" si="5"/>
        <v>1</v>
      </c>
    </row>
    <row r="34" spans="1:29" ht="15">
      <c r="A34" s="593"/>
      <c r="B34" s="526" t="s">
        <v>726</v>
      </c>
      <c r="C34" s="880" t="s">
        <v>3098</v>
      </c>
      <c r="D34" s="539">
        <v>100</v>
      </c>
      <c r="E34" s="881" t="s">
        <v>3098</v>
      </c>
      <c r="F34" s="574">
        <f>SUMIF(105:105,E34,106:106)-SUMIF(105:105,C34,106:106)+100</f>
        <v>100</v>
      </c>
      <c r="G34" s="880" t="s">
        <v>3098</v>
      </c>
      <c r="H34" s="539">
        <f>SUMIF(105:105,G34,106:106)-SUMIF(105:105,C34,106:106)+100</f>
        <v>100</v>
      </c>
      <c r="I34" s="881" t="s">
        <v>3098</v>
      </c>
      <c r="J34" s="539">
        <f>SUMIF(105:105,I34,106:106)-SUMIF(105:105,C34,106:106)+100</f>
        <v>100</v>
      </c>
      <c r="K34" s="863">
        <v>2</v>
      </c>
      <c r="L34" s="2141"/>
      <c r="M34" s="2133"/>
      <c r="N34" s="2133"/>
      <c r="O34" s="2140"/>
      <c r="P34" s="3453"/>
      <c r="Q34" s="3215" t="str">
        <f t="shared" si="11"/>
        <v>建筑结构</v>
      </c>
      <c r="R34" s="1571" t="s">
        <v>8</v>
      </c>
      <c r="S34" s="1572">
        <f t="shared" si="12"/>
        <v>100</v>
      </c>
      <c r="T34" s="1571" t="s">
        <v>8</v>
      </c>
      <c r="U34" s="1572">
        <f t="shared" si="13"/>
        <v>100</v>
      </c>
      <c r="V34" s="1571" t="s">
        <v>8</v>
      </c>
      <c r="W34" s="1572">
        <f t="shared" si="14"/>
        <v>100</v>
      </c>
      <c r="X34" s="3217"/>
      <c r="Y34" s="3453"/>
      <c r="Z34" s="3216" t="str">
        <f t="shared" si="15"/>
        <v>建筑结构</v>
      </c>
      <c r="AA34" s="3218">
        <f t="shared" si="3"/>
        <v>1</v>
      </c>
      <c r="AB34" s="3218">
        <f t="shared" si="4"/>
        <v>1</v>
      </c>
      <c r="AC34" s="3218">
        <f t="shared" si="5"/>
        <v>1</v>
      </c>
    </row>
    <row r="35" spans="1:29" ht="15">
      <c r="A35" s="593"/>
      <c r="B35" s="526" t="s">
        <v>727</v>
      </c>
      <c r="C35" s="598" t="s">
        <v>3101</v>
      </c>
      <c r="D35" s="539">
        <v>100</v>
      </c>
      <c r="E35" s="873" t="s">
        <v>3101</v>
      </c>
      <c r="F35" s="574">
        <f>SUMIF(107:107,E35,108:108)-SUMIF(107:107,C35,108:108)+100</f>
        <v>100</v>
      </c>
      <c r="G35" s="598" t="s">
        <v>3101</v>
      </c>
      <c r="H35" s="539">
        <f>SUMIF(107:107,G35,108:108)-SUMIF(107:107,C35,108:108)+100</f>
        <v>100</v>
      </c>
      <c r="I35" s="873" t="s">
        <v>3101</v>
      </c>
      <c r="J35" s="539">
        <f>SUMIF(107:107,I35,108:108)-SUMIF(107:107,C35,108:108)+100</f>
        <v>100</v>
      </c>
      <c r="K35" s="863">
        <v>2</v>
      </c>
      <c r="L35" s="2141"/>
      <c r="M35" s="2133"/>
      <c r="N35" s="2133"/>
      <c r="O35" s="2140"/>
      <c r="P35" s="3453"/>
      <c r="Q35" s="3215" t="str">
        <f t="shared" si="11"/>
        <v>建筑品质</v>
      </c>
      <c r="R35" s="1571" t="s">
        <v>8</v>
      </c>
      <c r="S35" s="1572">
        <f t="shared" si="12"/>
        <v>100</v>
      </c>
      <c r="T35" s="1571" t="s">
        <v>8</v>
      </c>
      <c r="U35" s="1572">
        <f t="shared" si="13"/>
        <v>100</v>
      </c>
      <c r="V35" s="1571" t="s">
        <v>8</v>
      </c>
      <c r="W35" s="1572">
        <f t="shared" si="14"/>
        <v>100</v>
      </c>
      <c r="X35" s="3217"/>
      <c r="Y35" s="3453"/>
      <c r="Z35" s="3216" t="str">
        <f t="shared" si="15"/>
        <v>建筑品质</v>
      </c>
      <c r="AA35" s="3218">
        <f t="shared" si="3"/>
        <v>1</v>
      </c>
      <c r="AB35" s="3218">
        <f t="shared" si="4"/>
        <v>1</v>
      </c>
      <c r="AC35" s="3218">
        <f t="shared" si="5"/>
        <v>1</v>
      </c>
    </row>
    <row r="36" spans="1:29" ht="15">
      <c r="A36" s="593"/>
      <c r="B36" s="526" t="s">
        <v>728</v>
      </c>
      <c r="C36" s="598" t="s">
        <v>3085</v>
      </c>
      <c r="D36" s="539">
        <v>100</v>
      </c>
      <c r="E36" s="873" t="s">
        <v>3085</v>
      </c>
      <c r="F36" s="574">
        <f>SUMIF(109:109,E36,110:110)-SUMIF(109:109,C36,110:110)+100</f>
        <v>100</v>
      </c>
      <c r="G36" s="598" t="s">
        <v>3085</v>
      </c>
      <c r="H36" s="539">
        <f>SUMIF(109:109,G36,110:110)-SUMIF(109:109,C36,110:110)+100</f>
        <v>100</v>
      </c>
      <c r="I36" s="873" t="s">
        <v>3085</v>
      </c>
      <c r="J36" s="539">
        <f>SUMIF(109:109,I36,110:110)-SUMIF(109:109,C36,110:110)+100</f>
        <v>100</v>
      </c>
      <c r="K36" s="863">
        <v>2</v>
      </c>
      <c r="L36" s="2141"/>
      <c r="M36" s="2133"/>
      <c r="N36" s="2133"/>
      <c r="O36" s="2140"/>
      <c r="P36" s="3453"/>
      <c r="Q36" s="3215" t="str">
        <f t="shared" si="11"/>
        <v>公共部分装修</v>
      </c>
      <c r="R36" s="1571" t="s">
        <v>8</v>
      </c>
      <c r="S36" s="1572">
        <f t="shared" si="12"/>
        <v>100</v>
      </c>
      <c r="T36" s="1571" t="s">
        <v>8</v>
      </c>
      <c r="U36" s="1572">
        <f t="shared" si="13"/>
        <v>100</v>
      </c>
      <c r="V36" s="1571" t="s">
        <v>8</v>
      </c>
      <c r="W36" s="1572">
        <f t="shared" si="14"/>
        <v>100</v>
      </c>
      <c r="X36" s="3217"/>
      <c r="Y36" s="3453"/>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3214" t="str">
        <f t="shared" si="11"/>
        <v>成新度</v>
      </c>
      <c r="R37" s="1566" t="s">
        <v>8</v>
      </c>
      <c r="S37" s="1567">
        <f t="shared" si="12"/>
        <v>100</v>
      </c>
      <c r="T37" s="1566" t="s">
        <v>8</v>
      </c>
      <c r="U37" s="1567">
        <f t="shared" si="13"/>
        <v>100</v>
      </c>
      <c r="V37" s="1566" t="s">
        <v>8</v>
      </c>
      <c r="W37" s="1567">
        <f t="shared" si="14"/>
        <v>100</v>
      </c>
      <c r="X37" s="1568"/>
      <c r="Y37" s="3453"/>
      <c r="Z37" s="3213" t="str">
        <f t="shared" si="15"/>
        <v>成新度</v>
      </c>
      <c r="AA37" s="1569">
        <f t="shared" si="3"/>
        <v>1</v>
      </c>
      <c r="AB37" s="1569">
        <f t="shared" si="4"/>
        <v>1</v>
      </c>
      <c r="AC37" s="1569">
        <f t="shared" si="5"/>
        <v>1</v>
      </c>
    </row>
    <row r="38" spans="1:29" ht="15">
      <c r="A38" s="593"/>
      <c r="B38" s="526" t="s">
        <v>730</v>
      </c>
      <c r="C38" s="598" t="s">
        <v>3103</v>
      </c>
      <c r="D38" s="539">
        <v>100</v>
      </c>
      <c r="E38" s="873" t="s">
        <v>3103</v>
      </c>
      <c r="F38" s="574">
        <f>SUMIF(114:114,E38,115:115)-SUMIF(114:114,C38,115:115)+100</f>
        <v>100</v>
      </c>
      <c r="G38" s="598" t="s">
        <v>3103</v>
      </c>
      <c r="H38" s="539">
        <f>SUMIF(114:114,G38,115:115)-SUMIF(114:114,C38,115:115)+100</f>
        <v>100</v>
      </c>
      <c r="I38" s="873" t="s">
        <v>3103</v>
      </c>
      <c r="J38" s="539">
        <f>SUMIF(114:114,I38,115:115)-SUMIF(114:114,C38,115:115)+100</f>
        <v>100</v>
      </c>
      <c r="K38" s="863">
        <v>2</v>
      </c>
      <c r="L38" s="2141"/>
      <c r="M38" s="2133"/>
      <c r="N38" s="2133"/>
      <c r="O38" s="2140"/>
      <c r="P38" s="3453" t="s">
        <v>550</v>
      </c>
      <c r="Q38" s="3215" t="str">
        <f t="shared" si="11"/>
        <v>物业管理</v>
      </c>
      <c r="R38" s="1571" t="s">
        <v>8</v>
      </c>
      <c r="S38" s="1572">
        <f t="shared" si="12"/>
        <v>100</v>
      </c>
      <c r="T38" s="1571" t="s">
        <v>8</v>
      </c>
      <c r="U38" s="1572">
        <f t="shared" si="13"/>
        <v>100</v>
      </c>
      <c r="V38" s="1571" t="s">
        <v>8</v>
      </c>
      <c r="W38" s="1572">
        <f t="shared" si="14"/>
        <v>100</v>
      </c>
      <c r="X38" s="3217"/>
      <c r="Y38" s="3453" t="s">
        <v>550</v>
      </c>
      <c r="Z38" s="3216" t="str">
        <f t="shared" si="15"/>
        <v>物业管理</v>
      </c>
      <c r="AA38" s="3218">
        <f t="shared" si="3"/>
        <v>1</v>
      </c>
      <c r="AB38" s="3218">
        <f t="shared" si="4"/>
        <v>1</v>
      </c>
      <c r="AC38" s="3218">
        <f t="shared" si="5"/>
        <v>1</v>
      </c>
    </row>
    <row r="39" spans="1:29" ht="15">
      <c r="A39" s="593"/>
      <c r="B39" s="1894" t="s">
        <v>2563</v>
      </c>
      <c r="C39" s="598" t="s">
        <v>3084</v>
      </c>
      <c r="D39" s="539">
        <v>100</v>
      </c>
      <c r="E39" s="873" t="s">
        <v>3084</v>
      </c>
      <c r="F39" s="574">
        <f>SUMIF(116:116,E39,117:117)-SUMIF(116:116,C39,117:117)+100</f>
        <v>100</v>
      </c>
      <c r="G39" s="598" t="s">
        <v>3084</v>
      </c>
      <c r="H39" s="539">
        <f>SUMIF(116:116,G39,117:117)-SUMIF(116:116,C39,117:117)+100</f>
        <v>100</v>
      </c>
      <c r="I39" s="873" t="s">
        <v>3084</v>
      </c>
      <c r="J39" s="539">
        <f>SUMIF(116:116,I39,117:117)-SUMIF(116:116,C39,117:117)+100</f>
        <v>100</v>
      </c>
      <c r="K39" s="863">
        <v>2</v>
      </c>
      <c r="L39" s="2141"/>
      <c r="M39" s="2133"/>
      <c r="N39" s="2133"/>
      <c r="O39" s="2140"/>
      <c r="P39" s="3453"/>
      <c r="Q39" s="3215" t="str">
        <f t="shared" si="11"/>
        <v>市政基础设施</v>
      </c>
      <c r="R39" s="1571" t="s">
        <v>8</v>
      </c>
      <c r="S39" s="1572">
        <f t="shared" si="12"/>
        <v>100</v>
      </c>
      <c r="T39" s="1571" t="s">
        <v>8</v>
      </c>
      <c r="U39" s="1572">
        <f t="shared" si="13"/>
        <v>100</v>
      </c>
      <c r="V39" s="1571" t="s">
        <v>8</v>
      </c>
      <c r="W39" s="1572">
        <f t="shared" si="14"/>
        <v>100</v>
      </c>
      <c r="X39" s="3217"/>
      <c r="Y39" s="3453"/>
      <c r="Z39" s="3216" t="str">
        <f t="shared" si="15"/>
        <v>市政基础设施</v>
      </c>
      <c r="AA39" s="3218">
        <f t="shared" si="3"/>
        <v>1</v>
      </c>
      <c r="AB39" s="3218">
        <f t="shared" si="4"/>
        <v>1</v>
      </c>
      <c r="AC39" s="3218">
        <f t="shared" si="5"/>
        <v>1</v>
      </c>
    </row>
    <row r="40" spans="1:29" ht="15">
      <c r="A40" s="593"/>
      <c r="B40" s="526" t="s">
        <v>731</v>
      </c>
      <c r="C40" s="598" t="s">
        <v>3090</v>
      </c>
      <c r="D40" s="539">
        <v>100</v>
      </c>
      <c r="E40" s="873" t="s">
        <v>3108</v>
      </c>
      <c r="F40" s="574">
        <f>SUMIF(118:118,E40,119:119)-SUMIF(118:118,C40,119:119)+100</f>
        <v>105</v>
      </c>
      <c r="G40" s="598" t="s">
        <v>3090</v>
      </c>
      <c r="H40" s="539">
        <f>SUMIF(118:118,G40,119:119)-SUMIF(118:118,C40,119:119)+100</f>
        <v>100</v>
      </c>
      <c r="I40" s="873" t="s">
        <v>3090</v>
      </c>
      <c r="J40" s="539">
        <f>SUMIF(118:118,I40,119:119)-SUMIF(118:118,C40,119:119)+100</f>
        <v>100</v>
      </c>
      <c r="K40" s="863">
        <v>5</v>
      </c>
      <c r="L40" s="2141"/>
      <c r="M40" s="2133"/>
      <c r="N40" s="2133"/>
      <c r="O40" s="2140"/>
      <c r="P40" s="3453"/>
      <c r="Q40" s="3215" t="str">
        <f t="shared" si="11"/>
        <v>房型</v>
      </c>
      <c r="R40" s="1571" t="s">
        <v>8</v>
      </c>
      <c r="S40" s="1572">
        <f t="shared" si="12"/>
        <v>105</v>
      </c>
      <c r="T40" s="1571" t="s">
        <v>8</v>
      </c>
      <c r="U40" s="1572">
        <f t="shared" si="13"/>
        <v>100</v>
      </c>
      <c r="V40" s="1571" t="s">
        <v>8</v>
      </c>
      <c r="W40" s="1572">
        <f t="shared" si="14"/>
        <v>100</v>
      </c>
      <c r="X40" s="3217"/>
      <c r="Y40" s="3453"/>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8</v>
      </c>
      <c r="S41" s="1576">
        <f t="shared" si="12"/>
        <v>100</v>
      </c>
      <c r="T41" s="1575" t="s">
        <v>8</v>
      </c>
      <c r="U41" s="1576">
        <f t="shared" si="13"/>
        <v>100</v>
      </c>
      <c r="V41" s="1575" t="s">
        <v>8</v>
      </c>
      <c r="W41" s="1576">
        <f t="shared" si="14"/>
        <v>100</v>
      </c>
      <c r="X41" s="1577"/>
      <c r="Y41" s="3453"/>
      <c r="Z41" s="1578" t="str">
        <f t="shared" si="15"/>
        <v>单套/主力户型建筑面积</v>
      </c>
      <c r="AA41" s="3218">
        <f t="shared" si="3"/>
        <v>1</v>
      </c>
      <c r="AB41" s="3218">
        <f t="shared" si="4"/>
        <v>1</v>
      </c>
      <c r="AC41" s="3218">
        <f t="shared" si="5"/>
        <v>1</v>
      </c>
    </row>
    <row r="42" spans="1:29" ht="15">
      <c r="A42" s="593"/>
      <c r="B42" s="526" t="s">
        <v>733</v>
      </c>
      <c r="C42" s="598" t="s">
        <v>3087</v>
      </c>
      <c r="D42" s="539">
        <v>100</v>
      </c>
      <c r="E42" s="873" t="s">
        <v>3087</v>
      </c>
      <c r="F42" s="574">
        <f>SUMIF(122:122,E42,123:123)-SUMIF(122:122,C42,123:123)+100</f>
        <v>100</v>
      </c>
      <c r="G42" s="598" t="s">
        <v>3087</v>
      </c>
      <c r="H42" s="539">
        <f>SUMIF(122:122,G42,123:123)-SUMIF(122:122,C42,123:123)+100</f>
        <v>100</v>
      </c>
      <c r="I42" s="873" t="s">
        <v>3087</v>
      </c>
      <c r="J42" s="539">
        <f>SUMIF(122:122,I42,123:123)-SUMIF(122:122,C42,123:123)+100</f>
        <v>100</v>
      </c>
      <c r="K42" s="863">
        <v>5</v>
      </c>
      <c r="L42" s="2141"/>
      <c r="M42" s="2133"/>
      <c r="N42" s="2133"/>
      <c r="O42" s="2140"/>
      <c r="P42" s="3453"/>
      <c r="Q42" s="3215" t="str">
        <f t="shared" si="11"/>
        <v>内部装修</v>
      </c>
      <c r="R42" s="1571" t="s">
        <v>8</v>
      </c>
      <c r="S42" s="1572">
        <f t="shared" si="12"/>
        <v>100</v>
      </c>
      <c r="T42" s="1571" t="s">
        <v>8</v>
      </c>
      <c r="U42" s="1572">
        <f t="shared" si="13"/>
        <v>100</v>
      </c>
      <c r="V42" s="1571" t="s">
        <v>8</v>
      </c>
      <c r="W42" s="1572">
        <f t="shared" si="14"/>
        <v>100</v>
      </c>
      <c r="X42" s="3217"/>
      <c r="Y42" s="3453"/>
      <c r="Z42" s="3216" t="str">
        <f t="shared" si="15"/>
        <v>内部装修</v>
      </c>
      <c r="AA42" s="3218">
        <f t="shared" si="3"/>
        <v>1</v>
      </c>
      <c r="AB42" s="3218">
        <f t="shared" si="4"/>
        <v>1</v>
      </c>
      <c r="AC42" s="3218">
        <f t="shared" si="5"/>
        <v>1</v>
      </c>
    </row>
    <row r="43" spans="1:29" ht="33" customHeight="1">
      <c r="A43" s="593"/>
      <c r="B43" s="526" t="s">
        <v>734</v>
      </c>
      <c r="C43" s="598" t="s">
        <v>3074</v>
      </c>
      <c r="D43" s="539">
        <v>100</v>
      </c>
      <c r="E43" s="598" t="s">
        <v>3074</v>
      </c>
      <c r="F43" s="574">
        <f>SUMIF(124:124,E43,125:125)-SUMIF(124:124,C43,125:125)+100</f>
        <v>100</v>
      </c>
      <c r="G43" s="598" t="s">
        <v>3074</v>
      </c>
      <c r="H43" s="539">
        <f>SUMIF(124:124,G43,125:125)-SUMIF(124:124,C43,125:125)+100</f>
        <v>100</v>
      </c>
      <c r="I43" s="598" t="s">
        <v>3074</v>
      </c>
      <c r="J43" s="539">
        <f>SUMIF(124:124,I43,125:125)-SUMIF(124:124,C43,125:125)+100</f>
        <v>100</v>
      </c>
      <c r="K43" s="863">
        <v>2</v>
      </c>
      <c r="L43" s="2141"/>
      <c r="M43" s="2133"/>
      <c r="N43" s="2133"/>
      <c r="O43" s="2140"/>
      <c r="P43" s="3453"/>
      <c r="Q43" s="3215" t="str">
        <f t="shared" si="11"/>
        <v>内部装修维护情况</v>
      </c>
      <c r="R43" s="1571" t="s">
        <v>8</v>
      </c>
      <c r="S43" s="1572">
        <f t="shared" si="12"/>
        <v>100</v>
      </c>
      <c r="T43" s="1571" t="s">
        <v>8</v>
      </c>
      <c r="U43" s="1572">
        <f t="shared" si="13"/>
        <v>100</v>
      </c>
      <c r="V43" s="1571" t="s">
        <v>8</v>
      </c>
      <c r="W43" s="1572">
        <f t="shared" si="14"/>
        <v>100</v>
      </c>
      <c r="X43" s="3217"/>
      <c r="Y43" s="3453"/>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3123</v>
      </c>
      <c r="F44" s="862">
        <f>SUMIF(126:126,E44,127:127)-SUMIF(126:126,C44,127:127)+100</f>
        <v>100</v>
      </c>
      <c r="G44" s="879" t="s">
        <v>3122</v>
      </c>
      <c r="H44" s="254">
        <f>SUMIF(126:126,G44,127:127)-SUMIF(126:126,C44,127:127)+100</f>
        <v>100</v>
      </c>
      <c r="I44" s="879" t="s">
        <v>3121</v>
      </c>
      <c r="J44" s="254">
        <f>SUMIF(126:126,I44,127:127)-SUMIF(126:126,C44,127:127)+100</f>
        <v>100</v>
      </c>
      <c r="K44" s="864"/>
      <c r="L44" s="2134"/>
      <c r="M44" s="2135"/>
      <c r="N44" s="2135"/>
      <c r="O44" s="2136"/>
      <c r="P44" s="3453"/>
      <c r="Q44" s="3214">
        <f t="shared" si="11"/>
        <v>0</v>
      </c>
      <c r="R44" s="1566" t="s">
        <v>8</v>
      </c>
      <c r="S44" s="1567">
        <f t="shared" si="12"/>
        <v>100</v>
      </c>
      <c r="T44" s="1566" t="s">
        <v>8</v>
      </c>
      <c r="U44" s="1567">
        <f t="shared" si="13"/>
        <v>100</v>
      </c>
      <c r="V44" s="1566" t="s">
        <v>8</v>
      </c>
      <c r="W44" s="1567">
        <f t="shared" si="14"/>
        <v>100</v>
      </c>
      <c r="X44" s="1568"/>
      <c r="Y44" s="3453"/>
      <c r="Z44" s="3213">
        <f t="shared" si="15"/>
        <v>0</v>
      </c>
      <c r="AA44" s="1569">
        <f t="shared" si="3"/>
        <v>1</v>
      </c>
      <c r="AB44" s="1569">
        <f t="shared" si="4"/>
        <v>1</v>
      </c>
      <c r="AC44" s="1569">
        <f t="shared" si="5"/>
        <v>1</v>
      </c>
    </row>
    <row r="45" spans="1:29" ht="15.75" thickBot="1">
      <c r="A45" s="593"/>
      <c r="B45" s="876"/>
      <c r="C45" s="544"/>
      <c r="D45" s="545">
        <v>100</v>
      </c>
      <c r="E45" s="538" t="s">
        <v>3118</v>
      </c>
      <c r="F45" s="574">
        <f>SUMIF(128:128,E45,129:129)-SUMIF(128:128,C45,129:129)+100</f>
        <v>100</v>
      </c>
      <c r="G45" s="544" t="s">
        <v>3119</v>
      </c>
      <c r="H45" s="545">
        <f>SUMIF(128:128,G45,129:129)-SUMIF(128:128,C45,129:129)+100</f>
        <v>100</v>
      </c>
      <c r="I45" s="538" t="s">
        <v>3118</v>
      </c>
      <c r="J45" s="539">
        <f>SUMIF(128:128,I45,129:129)-SUMIF(128:128,C45,129:129)+100</f>
        <v>100</v>
      </c>
      <c r="K45" s="864"/>
      <c r="L45" s="2141"/>
      <c r="M45" s="2133"/>
      <c r="N45" s="2133"/>
      <c r="O45" s="2140"/>
      <c r="P45" s="3453"/>
      <c r="Q45" s="3215">
        <f t="shared" si="11"/>
        <v>0</v>
      </c>
      <c r="R45" s="1571" t="s">
        <v>8</v>
      </c>
      <c r="S45" s="1572">
        <f t="shared" si="12"/>
        <v>100</v>
      </c>
      <c r="T45" s="1571" t="s">
        <v>8</v>
      </c>
      <c r="U45" s="1572">
        <f t="shared" si="13"/>
        <v>100</v>
      </c>
      <c r="V45" s="1571" t="s">
        <v>8</v>
      </c>
      <c r="W45" s="1572">
        <f t="shared" si="14"/>
        <v>100</v>
      </c>
      <c r="X45" s="3217"/>
      <c r="Y45" s="3453"/>
      <c r="Z45" s="3216">
        <f t="shared" si="15"/>
        <v>0</v>
      </c>
      <c r="AA45" s="3218">
        <f t="shared" si="3"/>
        <v>1</v>
      </c>
      <c r="AB45" s="3218">
        <f t="shared" si="4"/>
        <v>1</v>
      </c>
      <c r="AC45" s="3218">
        <f t="shared" si="5"/>
        <v>1</v>
      </c>
    </row>
    <row r="46" spans="1:29" ht="15.75" thickBot="1">
      <c r="A46" s="885"/>
      <c r="B46" s="3208" t="s">
        <v>3128</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0"/>
      <c r="Q46" s="3215" t="str">
        <f t="shared" si="11"/>
        <v>海景</v>
      </c>
      <c r="R46" s="1571" t="s">
        <v>8</v>
      </c>
      <c r="S46" s="1572">
        <f t="shared" si="12"/>
        <v>100</v>
      </c>
      <c r="T46" s="1571" t="s">
        <v>8</v>
      </c>
      <c r="U46" s="1572">
        <f t="shared" si="13"/>
        <v>100</v>
      </c>
      <c r="V46" s="1571" t="s">
        <v>8</v>
      </c>
      <c r="W46" s="1572">
        <f t="shared" si="14"/>
        <v>100</v>
      </c>
      <c r="X46" s="3217"/>
      <c r="Y46" s="3530"/>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16" t="str">
        <f>A47</f>
        <v>成交单价（元/平方米）</v>
      </c>
      <c r="Q47" s="3416"/>
      <c r="R47" s="3529">
        <f>E47</f>
        <v>24250</v>
      </c>
      <c r="S47" s="3529"/>
      <c r="T47" s="3529">
        <f>G47</f>
        <v>25220</v>
      </c>
      <c r="U47" s="3529"/>
      <c r="V47" s="3529">
        <f>I47</f>
        <v>22892</v>
      </c>
      <c r="W47" s="3529"/>
      <c r="X47" s="1557"/>
      <c r="Y47" s="1579"/>
      <c r="Z47" s="1557"/>
      <c r="AA47" s="1557"/>
      <c r="AB47" s="1557"/>
      <c r="AC47" s="1557"/>
    </row>
    <row r="48" spans="1:29" ht="15.75" thickBot="1">
      <c r="A48" s="614" t="s">
        <v>2758</v>
      </c>
      <c r="B48" s="887"/>
      <c r="C48" s="2656">
        <f>R49</f>
        <v>24649</v>
      </c>
      <c r="D48" s="2657"/>
      <c r="E48" s="2658">
        <f>R48</f>
        <v>24439</v>
      </c>
      <c r="F48" s="2658"/>
      <c r="G48" s="2656">
        <f>T48</f>
        <v>25283</v>
      </c>
      <c r="H48" s="2657"/>
      <c r="I48" s="2658">
        <f>V48</f>
        <v>24224</v>
      </c>
      <c r="J48" s="2657"/>
      <c r="K48" s="1605"/>
      <c r="L48" s="2143"/>
      <c r="M48" s="2144"/>
      <c r="N48" s="2144"/>
      <c r="O48" s="2144"/>
      <c r="P48" s="3416" t="str">
        <f>A48</f>
        <v>比较价格（元/平方米）</v>
      </c>
      <c r="Q48" s="3416"/>
      <c r="R48" s="3529">
        <f>IF(F1="售价",ROUND(PRODUCT(R47,AA7:AA46),0),ROUND(PRODUCT(R47,AA7:AA46),1))</f>
        <v>24439</v>
      </c>
      <c r="S48" s="3529"/>
      <c r="T48" s="3529">
        <f>IF(F1="售价",ROUND(PRODUCT(T47,AB7:AB46),0),ROUND(PRODUCT(T47,AB7:AB46),1))</f>
        <v>25283</v>
      </c>
      <c r="U48" s="3529"/>
      <c r="V48" s="3529">
        <f>IF(F1="售价",ROUND(PRODUCT(V47,AC7:AC46),0),ROUND(PRODUCT(V47,AC7:AC46),1))</f>
        <v>24224</v>
      </c>
      <c r="W48" s="3529"/>
      <c r="X48" s="1557"/>
      <c r="Y48" s="1557"/>
      <c r="Z48" s="1557"/>
      <c r="AA48" s="1557"/>
      <c r="AB48" s="1557"/>
      <c r="AC48" s="1557"/>
    </row>
    <row r="49" spans="1:29" ht="15.75" thickBot="1">
      <c r="A49" s="620" t="s">
        <v>2932</v>
      </c>
      <c r="B49" s="621"/>
      <c r="C49" s="2659">
        <f>R49</f>
        <v>24649</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24649</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7.7938144329896542E-3</v>
      </c>
      <c r="F52" s="626" t="str">
        <f>IF(OR(E52&gt;=0.3,E52&lt;=-0.3),"超过30%","")</f>
        <v/>
      </c>
      <c r="G52" s="625">
        <f>IF(G47&lt;G48,G48/G47-1,G47/G48-1)</f>
        <v>2.4980174464710458E-3</v>
      </c>
      <c r="H52" s="626" t="str">
        <f>IF(OR(G52&gt;=0.3,G52&lt;=-0.3),"超过30%","")</f>
        <v/>
      </c>
      <c r="I52" s="625">
        <f>IF(I47&lt;I48,I48/I47-1,I47/I48-1)</f>
        <v>5.8186265944434767E-2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3.4534964605753116E-2</v>
      </c>
      <c r="F53" s="626" t="str">
        <f>IF(OR(E53&gt;=0.2,E53&lt;=-0.2),"超过20%","")</f>
        <v/>
      </c>
      <c r="G53" s="625">
        <f>IF(G48&lt;I48,I48/G48-1,G48/I48-1)</f>
        <v>4.3716974900924743E-2</v>
      </c>
      <c r="H53" s="626" t="str">
        <f>IF(OR(G53&gt;=0.2,G53&lt;=-0.2),"超过20%","")</f>
        <v/>
      </c>
      <c r="I53" s="625">
        <f>IF(I48&lt;E48,E48/I48-1,I48/E48-1)</f>
        <v>8.87549537648602E-3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3120</v>
      </c>
      <c r="D90" s="3195" t="s">
        <v>3125</v>
      </c>
      <c r="E90" s="3195" t="s">
        <v>3097</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3120</v>
      </c>
      <c r="D100" s="3197" t="s">
        <v>3093</v>
      </c>
      <c r="E100" s="3197" t="s">
        <v>3095</v>
      </c>
      <c r="F100" s="3197" t="s">
        <v>3097</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3099</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3100</v>
      </c>
      <c r="D107" s="3194" t="s">
        <v>3102</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3086</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3109</v>
      </c>
      <c r="D118" s="3194" t="s">
        <v>3091</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3086</v>
      </c>
      <c r="D122" s="3195" t="s">
        <v>3088</v>
      </c>
      <c r="E122" s="3195" t="s">
        <v>3089</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3126</v>
      </c>
      <c r="D130" s="3195">
        <v>0</v>
      </c>
      <c r="E130" s="3195" t="s">
        <v>3129</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3081</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68865</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22298</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22" t="s">
        <v>522</v>
      </c>
      <c r="D4" s="3423"/>
      <c r="E4" s="3456" t="s">
        <v>523</v>
      </c>
      <c r="F4" s="3457"/>
      <c r="G4" s="3422" t="s">
        <v>524</v>
      </c>
      <c r="H4" s="3423"/>
      <c r="I4" s="3422" t="s">
        <v>525</v>
      </c>
      <c r="J4" s="3423"/>
      <c r="K4" s="852" t="s">
        <v>526</v>
      </c>
      <c r="L4" s="2132"/>
      <c r="M4" s="2133"/>
      <c r="N4" s="2133"/>
      <c r="O4" s="2133"/>
      <c r="P4" s="3424" t="s">
        <v>527</v>
      </c>
      <c r="Q4" s="3425"/>
      <c r="R4" s="3430" t="s">
        <v>523</v>
      </c>
      <c r="S4" s="3431"/>
      <c r="T4" s="3430" t="s">
        <v>524</v>
      </c>
      <c r="U4" s="3431"/>
      <c r="V4" s="3417" t="s">
        <v>525</v>
      </c>
      <c r="W4" s="3417"/>
      <c r="X4" s="3217"/>
      <c r="Y4" s="3430" t="s">
        <v>527</v>
      </c>
      <c r="Z4" s="3431"/>
      <c r="AA4" s="3419" t="s">
        <v>523</v>
      </c>
      <c r="AB4" s="3419" t="s">
        <v>524</v>
      </c>
      <c r="AC4" s="3419" t="s">
        <v>525</v>
      </c>
    </row>
    <row r="5" spans="1:29" ht="15">
      <c r="A5" s="514"/>
      <c r="B5" s="515"/>
      <c r="C5" s="3438" t="s">
        <v>2926</v>
      </c>
      <c r="D5" s="3439"/>
      <c r="E5" s="3534" t="s">
        <v>3136</v>
      </c>
      <c r="F5" s="3459"/>
      <c r="G5" s="3531" t="s">
        <v>3138</v>
      </c>
      <c r="H5" s="3439"/>
      <c r="I5" s="3438" t="s">
        <v>3137</v>
      </c>
      <c r="J5" s="3439"/>
      <c r="K5" s="853"/>
      <c r="L5" s="2132"/>
      <c r="M5" s="2133"/>
      <c r="N5" s="2133"/>
      <c r="O5" s="2133"/>
      <c r="P5" s="3426"/>
      <c r="Q5" s="3427"/>
      <c r="R5" s="3432"/>
      <c r="S5" s="3433"/>
      <c r="T5" s="3432"/>
      <c r="U5" s="3433"/>
      <c r="V5" s="3417"/>
      <c r="W5" s="3417"/>
      <c r="X5" s="3217"/>
      <c r="Y5" s="3432"/>
      <c r="Z5" s="3433"/>
      <c r="AA5" s="3420"/>
      <c r="AB5" s="3420"/>
      <c r="AC5" s="3420"/>
    </row>
    <row r="6" spans="1:29" ht="15.75" thickBot="1">
      <c r="A6" s="516"/>
      <c r="B6" s="517"/>
      <c r="C6" s="3436" t="s">
        <v>2930</v>
      </c>
      <c r="D6" s="3437"/>
      <c r="E6" s="3532" t="s">
        <v>3140</v>
      </c>
      <c r="F6" s="3455"/>
      <c r="G6" s="3533" t="s">
        <v>3139</v>
      </c>
      <c r="H6" s="3437"/>
      <c r="I6" s="3436" t="str">
        <f>E6</f>
        <v>神州半岛旅游度假区</v>
      </c>
      <c r="J6" s="3437"/>
      <c r="K6" s="853" t="s">
        <v>528</v>
      </c>
      <c r="L6" s="2132"/>
      <c r="M6" s="2133"/>
      <c r="N6" s="2133"/>
      <c r="O6" s="2133"/>
      <c r="P6" s="3428"/>
      <c r="Q6" s="3429"/>
      <c r="R6" s="3432"/>
      <c r="S6" s="3433"/>
      <c r="T6" s="3434"/>
      <c r="U6" s="3435"/>
      <c r="V6" s="3417"/>
      <c r="W6" s="3417"/>
      <c r="X6" s="3217"/>
      <c r="Y6" s="3434"/>
      <c r="Z6" s="3435"/>
      <c r="AA6" s="3421"/>
      <c r="AB6" s="3421"/>
      <c r="AC6" s="3421"/>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47" t="s">
        <v>530</v>
      </c>
      <c r="Q7" s="3449"/>
      <c r="R7" s="1566" t="s">
        <v>8</v>
      </c>
      <c r="S7" s="1567">
        <f t="shared" ref="S7:S15" si="0">F7</f>
        <v>100</v>
      </c>
      <c r="T7" s="1566" t="s">
        <v>8</v>
      </c>
      <c r="U7" s="1567">
        <f t="shared" ref="U7:U15" si="1">H7</f>
        <v>100</v>
      </c>
      <c r="V7" s="1566" t="s">
        <v>8</v>
      </c>
      <c r="W7" s="1567">
        <f t="shared" ref="W7:W15" si="2">J7</f>
        <v>100</v>
      </c>
      <c r="X7" s="1568"/>
      <c r="Y7" s="3447" t="s">
        <v>530</v>
      </c>
      <c r="Z7" s="3448"/>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47" t="s">
        <v>533</v>
      </c>
      <c r="Q8" s="3448"/>
      <c r="R8" s="1566" t="s">
        <v>8</v>
      </c>
      <c r="S8" s="1567">
        <f t="shared" si="0"/>
        <v>100</v>
      </c>
      <c r="T8" s="1566" t="s">
        <v>8</v>
      </c>
      <c r="U8" s="1567">
        <f t="shared" si="1"/>
        <v>100</v>
      </c>
      <c r="V8" s="1566" t="s">
        <v>8</v>
      </c>
      <c r="W8" s="1567">
        <f t="shared" si="2"/>
        <v>100</v>
      </c>
      <c r="X8" s="1568"/>
      <c r="Y8" s="3447" t="s">
        <v>533</v>
      </c>
      <c r="Z8" s="3448"/>
      <c r="AA8" s="1569">
        <f t="shared" ref="AA8:AA46" si="3">D8/F8</f>
        <v>1</v>
      </c>
      <c r="AB8" s="1569">
        <f t="shared" ref="AB8:AB46" si="4">D8/H8</f>
        <v>1</v>
      </c>
      <c r="AC8" s="1569">
        <f t="shared" ref="AC8:AC46" si="5">D8/J8</f>
        <v>1</v>
      </c>
    </row>
    <row r="9" spans="1:29" s="1218" customFormat="1" ht="15">
      <c r="A9" s="2937"/>
      <c r="B9" s="2944" t="s">
        <v>2754</v>
      </c>
      <c r="C9" s="3198" t="s">
        <v>3106</v>
      </c>
      <c r="D9" s="253">
        <v>100</v>
      </c>
      <c r="E9" s="3198" t="s">
        <v>3106</v>
      </c>
      <c r="F9" s="858">
        <f>SUMIF(63:63,E9,64:64)-SUMIF(63:63,C9,64:64)+100</f>
        <v>100</v>
      </c>
      <c r="G9" s="3198" t="s">
        <v>3106</v>
      </c>
      <c r="H9" s="253">
        <f>SUMIF(63:63,G9,64:64)-SUMIF(63:63,C9,64:64)+100</f>
        <v>100</v>
      </c>
      <c r="I9" s="3198" t="s">
        <v>3106</v>
      </c>
      <c r="J9" s="253">
        <f>SUMIF(63:63,I9,64:64)-SUMIF(63:63,C9,64:64)+100</f>
        <v>100</v>
      </c>
      <c r="K9" s="854"/>
      <c r="L9" s="2134"/>
      <c r="M9" s="2135"/>
      <c r="N9" s="2135"/>
      <c r="O9" s="2136"/>
      <c r="P9" s="3416" t="s">
        <v>535</v>
      </c>
      <c r="Q9" s="3214" t="str">
        <f t="shared" ref="Q9:Q15" si="6">B9</f>
        <v>用途</v>
      </c>
      <c r="R9" s="1566" t="s">
        <v>8</v>
      </c>
      <c r="S9" s="1567">
        <f t="shared" si="0"/>
        <v>100</v>
      </c>
      <c r="T9" s="1566" t="s">
        <v>8</v>
      </c>
      <c r="U9" s="1567">
        <f t="shared" si="1"/>
        <v>100</v>
      </c>
      <c r="V9" s="1566" t="s">
        <v>8</v>
      </c>
      <c r="W9" s="1567">
        <f t="shared" si="2"/>
        <v>100</v>
      </c>
      <c r="X9" s="1568"/>
      <c r="Y9" s="3362" t="s">
        <v>536</v>
      </c>
      <c r="Z9" s="3213" t="str">
        <f t="shared" ref="Z9:Z15" si="7">Q9</f>
        <v>用途</v>
      </c>
      <c r="AA9" s="1569">
        <f t="shared" si="3"/>
        <v>1</v>
      </c>
      <c r="AB9" s="1569">
        <f t="shared" si="4"/>
        <v>1</v>
      </c>
      <c r="AC9" s="1569">
        <f t="shared" si="5"/>
        <v>1</v>
      </c>
    </row>
    <row r="10" spans="1:29" s="1336" customFormat="1" ht="27">
      <c r="A10" s="2938"/>
      <c r="B10" s="2943" t="s">
        <v>2755</v>
      </c>
      <c r="C10" s="860" t="s">
        <v>3107</v>
      </c>
      <c r="D10" s="254">
        <v>100</v>
      </c>
      <c r="E10" s="860" t="s">
        <v>3107</v>
      </c>
      <c r="F10" s="862">
        <f>SUMIF(65:65,E10,66:66)-SUMIF(65:65,C10,66:66)+100</f>
        <v>100</v>
      </c>
      <c r="G10" s="860" t="s">
        <v>3107</v>
      </c>
      <c r="H10" s="254">
        <f>SUMIF(65:65,G10,66:66)-SUMIF(65:65,C10,66:66)+100</f>
        <v>100</v>
      </c>
      <c r="I10" s="860" t="s">
        <v>3107</v>
      </c>
      <c r="J10" s="254">
        <f>SUMIF(65:65,I10,66:66)-SUMIF(65:65,C10,66:66)+100</f>
        <v>100</v>
      </c>
      <c r="K10" s="863">
        <v>1</v>
      </c>
      <c r="L10" s="2137"/>
      <c r="M10" s="2177"/>
      <c r="N10" s="2177"/>
      <c r="O10" s="2138"/>
      <c r="P10" s="3416"/>
      <c r="Q10" s="3214" t="str">
        <f t="shared" si="6"/>
        <v>土地使用年限（年）</v>
      </c>
      <c r="R10" s="1566" t="s">
        <v>8</v>
      </c>
      <c r="S10" s="1567">
        <f t="shared" si="0"/>
        <v>100</v>
      </c>
      <c r="T10" s="1566" t="s">
        <v>8</v>
      </c>
      <c r="U10" s="1567">
        <f t="shared" si="1"/>
        <v>100</v>
      </c>
      <c r="V10" s="1566" t="s">
        <v>8</v>
      </c>
      <c r="W10" s="1567">
        <f t="shared" si="2"/>
        <v>100</v>
      </c>
      <c r="X10" s="1568"/>
      <c r="Y10" s="3362"/>
      <c r="Z10" s="3213" t="str">
        <f t="shared" si="7"/>
        <v>土地使用年限（年）</v>
      </c>
      <c r="AA10" s="1569">
        <f t="shared" si="3"/>
        <v>1</v>
      </c>
      <c r="AB10" s="1569">
        <f t="shared" si="4"/>
        <v>1</v>
      </c>
      <c r="AC10" s="1569">
        <f t="shared" si="5"/>
        <v>1</v>
      </c>
    </row>
    <row r="11" spans="1:29" ht="15.75" thickBot="1">
      <c r="A11" s="2939"/>
      <c r="B11" s="2943" t="s">
        <v>2756</v>
      </c>
      <c r="C11" s="532">
        <v>1.7</v>
      </c>
      <c r="D11" s="254">
        <v>100</v>
      </c>
      <c r="E11" s="533">
        <v>1.3</v>
      </c>
      <c r="F11" s="862">
        <f>LOOKUP(E11,68:68,69:69)-LOOKUP(C11,68:68,69:69)+100</f>
        <v>105</v>
      </c>
      <c r="G11" s="532">
        <v>0.8</v>
      </c>
      <c r="H11" s="254">
        <f>LOOKUP(G11,68:68,69:69)-LOOKUP(C11,68:68,69:69)+100</f>
        <v>110</v>
      </c>
      <c r="I11" s="532">
        <f>E11</f>
        <v>1.3</v>
      </c>
      <c r="J11" s="254">
        <f>LOOKUP(I11,68:68,69:69)-LOOKUP(C11,68:68,69:69)+100</f>
        <v>105</v>
      </c>
      <c r="K11" s="863">
        <v>5</v>
      </c>
      <c r="L11" s="2139"/>
      <c r="M11" s="2133"/>
      <c r="N11" s="2133"/>
      <c r="O11" s="2140"/>
      <c r="P11" s="3416"/>
      <c r="Q11" s="3214" t="str">
        <f t="shared" si="6"/>
        <v>容积率</v>
      </c>
      <c r="R11" s="1566" t="s">
        <v>8</v>
      </c>
      <c r="S11" s="1567">
        <f t="shared" si="0"/>
        <v>105</v>
      </c>
      <c r="T11" s="1566" t="s">
        <v>8</v>
      </c>
      <c r="U11" s="1567">
        <f t="shared" si="1"/>
        <v>110</v>
      </c>
      <c r="V11" s="1566" t="s">
        <v>8</v>
      </c>
      <c r="W11" s="1567">
        <f t="shared" si="2"/>
        <v>105</v>
      </c>
      <c r="X11" s="1568"/>
      <c r="Y11" s="3362"/>
      <c r="Z11" s="3213" t="str">
        <f t="shared" si="7"/>
        <v>容积率</v>
      </c>
      <c r="AA11" s="1569">
        <f t="shared" si="3"/>
        <v>0.95238095238095233</v>
      </c>
      <c r="AB11" s="1569">
        <f t="shared" si="4"/>
        <v>0.90909090909090906</v>
      </c>
      <c r="AC11" s="1569">
        <f t="shared" si="5"/>
        <v>0.95238095238095233</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16"/>
      <c r="Q12" s="3214">
        <f t="shared" si="6"/>
        <v>0</v>
      </c>
      <c r="R12" s="1566" t="s">
        <v>8</v>
      </c>
      <c r="S12" s="1567">
        <f t="shared" si="0"/>
        <v>100</v>
      </c>
      <c r="T12" s="1566" t="s">
        <v>8</v>
      </c>
      <c r="U12" s="1567">
        <f t="shared" si="1"/>
        <v>100</v>
      </c>
      <c r="V12" s="1566" t="s">
        <v>8</v>
      </c>
      <c r="W12" s="1567">
        <f t="shared" si="2"/>
        <v>100</v>
      </c>
      <c r="X12" s="1568"/>
      <c r="Y12" s="3362"/>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16"/>
      <c r="Q13" s="3214">
        <f t="shared" si="6"/>
        <v>0</v>
      </c>
      <c r="R13" s="1566" t="s">
        <v>8</v>
      </c>
      <c r="S13" s="1567">
        <f t="shared" si="0"/>
        <v>100</v>
      </c>
      <c r="T13" s="1566" t="s">
        <v>8</v>
      </c>
      <c r="U13" s="1567">
        <f t="shared" si="1"/>
        <v>100</v>
      </c>
      <c r="V13" s="1566" t="s">
        <v>8</v>
      </c>
      <c r="W13" s="1567">
        <f t="shared" si="2"/>
        <v>100</v>
      </c>
      <c r="X13" s="1568"/>
      <c r="Y13" s="3362"/>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16"/>
      <c r="Q14" s="3214">
        <f t="shared" si="6"/>
        <v>0</v>
      </c>
      <c r="R14" s="1566" t="s">
        <v>8</v>
      </c>
      <c r="S14" s="1567">
        <f t="shared" si="0"/>
        <v>100</v>
      </c>
      <c r="T14" s="1566" t="s">
        <v>8</v>
      </c>
      <c r="U14" s="1567">
        <f t="shared" si="1"/>
        <v>100</v>
      </c>
      <c r="V14" s="1566" t="s">
        <v>8</v>
      </c>
      <c r="W14" s="1567">
        <f t="shared" si="2"/>
        <v>100</v>
      </c>
      <c r="X14" s="1568"/>
      <c r="Y14" s="3362"/>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50" t="s">
        <v>540</v>
      </c>
      <c r="Q15" s="3215" t="str">
        <f t="shared" si="6"/>
        <v>居住社区成熟度</v>
      </c>
      <c r="R15" s="1571" t="s">
        <v>8</v>
      </c>
      <c r="S15" s="1572">
        <f t="shared" si="0"/>
        <v>100</v>
      </c>
      <c r="T15" s="1571" t="s">
        <v>8</v>
      </c>
      <c r="U15" s="1572">
        <f t="shared" si="1"/>
        <v>100</v>
      </c>
      <c r="V15" s="1571" t="s">
        <v>8</v>
      </c>
      <c r="W15" s="1572">
        <f t="shared" si="2"/>
        <v>100</v>
      </c>
      <c r="X15" s="3217"/>
      <c r="Y15" s="3450" t="s">
        <v>540</v>
      </c>
      <c r="Z15" s="3216" t="str">
        <f t="shared" si="7"/>
        <v>居住社区成熟度</v>
      </c>
      <c r="AA15" s="3218">
        <f t="shared" si="3"/>
        <v>1</v>
      </c>
      <c r="AB15" s="3218">
        <f t="shared" si="4"/>
        <v>1</v>
      </c>
      <c r="AC15" s="3218">
        <f t="shared" si="5"/>
        <v>1</v>
      </c>
    </row>
    <row r="16" spans="1:29" ht="15">
      <c r="A16" s="531"/>
      <c r="B16" s="868"/>
      <c r="C16" s="575" t="s">
        <v>3082</v>
      </c>
      <c r="D16" s="554"/>
      <c r="E16" s="575" t="s">
        <v>3082</v>
      </c>
      <c r="F16" s="556"/>
      <c r="G16" s="575" t="s">
        <v>3082</v>
      </c>
      <c r="H16" s="558"/>
      <c r="I16" s="575" t="s">
        <v>3082</v>
      </c>
      <c r="J16" s="554"/>
      <c r="K16" s="869"/>
      <c r="L16" s="2141"/>
      <c r="M16" s="2133"/>
      <c r="N16" s="2133"/>
      <c r="O16" s="2140"/>
      <c r="P16" s="3451"/>
      <c r="Q16" s="3215"/>
      <c r="R16" s="1571"/>
      <c r="S16" s="1572"/>
      <c r="T16" s="1571"/>
      <c r="U16" s="1572"/>
      <c r="V16" s="1571"/>
      <c r="W16" s="1572"/>
      <c r="X16" s="3217"/>
      <c r="Y16" s="3451"/>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51"/>
      <c r="Q17" s="3215" t="str">
        <f>B17</f>
        <v>交通便捷度</v>
      </c>
      <c r="R17" s="1571" t="s">
        <v>8</v>
      </c>
      <c r="S17" s="1572">
        <f>F17</f>
        <v>100</v>
      </c>
      <c r="T17" s="1571" t="s">
        <v>8</v>
      </c>
      <c r="U17" s="1572">
        <f>H17</f>
        <v>100</v>
      </c>
      <c r="V17" s="1571" t="s">
        <v>8</v>
      </c>
      <c r="W17" s="1572">
        <f>J17</f>
        <v>100</v>
      </c>
      <c r="X17" s="3217"/>
      <c r="Y17" s="3451"/>
      <c r="Z17" s="3216" t="str">
        <f>Q17</f>
        <v>交通便捷度</v>
      </c>
      <c r="AA17" s="3218">
        <f t="shared" si="3"/>
        <v>1</v>
      </c>
      <c r="AB17" s="3218">
        <f t="shared" si="4"/>
        <v>1</v>
      </c>
      <c r="AC17" s="3218">
        <f t="shared" si="5"/>
        <v>1</v>
      </c>
    </row>
    <row r="18" spans="1:29" ht="15">
      <c r="A18" s="531"/>
      <c r="B18" s="594"/>
      <c r="C18" s="872" t="s">
        <v>3083</v>
      </c>
      <c r="D18" s="558"/>
      <c r="E18" s="872" t="s">
        <v>3083</v>
      </c>
      <c r="F18" s="562"/>
      <c r="G18" s="872" t="s">
        <v>3083</v>
      </c>
      <c r="H18" s="554"/>
      <c r="I18" s="872" t="s">
        <v>3083</v>
      </c>
      <c r="J18" s="554"/>
      <c r="K18" s="869"/>
      <c r="L18" s="2141"/>
      <c r="M18" s="2133"/>
      <c r="N18" s="2133"/>
      <c r="O18" s="2140"/>
      <c r="P18" s="3451"/>
      <c r="Q18" s="3215"/>
      <c r="R18" s="1571"/>
      <c r="S18" s="1572"/>
      <c r="T18" s="1571"/>
      <c r="U18" s="1572"/>
      <c r="V18" s="1571"/>
      <c r="W18" s="1572"/>
      <c r="X18" s="3217"/>
      <c r="Y18" s="3451"/>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51"/>
      <c r="Q19" s="3215" t="str">
        <f>B19</f>
        <v>公共配套设施</v>
      </c>
      <c r="R19" s="1571" t="s">
        <v>8</v>
      </c>
      <c r="S19" s="1572">
        <f>F19</f>
        <v>100</v>
      </c>
      <c r="T19" s="1571" t="s">
        <v>8</v>
      </c>
      <c r="U19" s="1572">
        <f>H19</f>
        <v>100</v>
      </c>
      <c r="V19" s="1571" t="s">
        <v>8</v>
      </c>
      <c r="W19" s="1572">
        <f>J19</f>
        <v>100</v>
      </c>
      <c r="X19" s="3217"/>
      <c r="Y19" s="3451"/>
      <c r="Z19" s="3216" t="str">
        <f>Q19</f>
        <v>公共配套设施</v>
      </c>
      <c r="AA19" s="3218">
        <f t="shared" si="3"/>
        <v>1</v>
      </c>
      <c r="AB19" s="3218">
        <f t="shared" si="4"/>
        <v>1</v>
      </c>
      <c r="AC19" s="3218">
        <f t="shared" si="5"/>
        <v>1</v>
      </c>
    </row>
    <row r="20" spans="1:29" ht="15">
      <c r="A20" s="531"/>
      <c r="B20" s="594"/>
      <c r="C20" s="575" t="s">
        <v>3082</v>
      </c>
      <c r="D20" s="554"/>
      <c r="E20" s="575" t="s">
        <v>3082</v>
      </c>
      <c r="F20" s="556"/>
      <c r="G20" s="575" t="s">
        <v>3082</v>
      </c>
      <c r="H20" s="554"/>
      <c r="I20" s="575" t="s">
        <v>3082</v>
      </c>
      <c r="J20" s="554"/>
      <c r="K20" s="869"/>
      <c r="L20" s="2141"/>
      <c r="M20" s="2133"/>
      <c r="N20" s="2133"/>
      <c r="O20" s="2140"/>
      <c r="P20" s="3451"/>
      <c r="Q20" s="3215"/>
      <c r="R20" s="1571"/>
      <c r="S20" s="1572"/>
      <c r="T20" s="1571"/>
      <c r="U20" s="1572"/>
      <c r="V20" s="1571"/>
      <c r="W20" s="1572"/>
      <c r="X20" s="3217"/>
      <c r="Y20" s="3451"/>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51"/>
      <c r="Q21" s="3215" t="str">
        <f>B21</f>
        <v>基础设施水平</v>
      </c>
      <c r="R21" s="1571" t="s">
        <v>8</v>
      </c>
      <c r="S21" s="1572">
        <f>F21</f>
        <v>100</v>
      </c>
      <c r="T21" s="1571" t="s">
        <v>8</v>
      </c>
      <c r="U21" s="1572">
        <f>H21</f>
        <v>100</v>
      </c>
      <c r="V21" s="1571" t="s">
        <v>8</v>
      </c>
      <c r="W21" s="1572">
        <f>J21</f>
        <v>100</v>
      </c>
      <c r="X21" s="3217"/>
      <c r="Y21" s="3451"/>
      <c r="Z21" s="3216" t="str">
        <f>Q21</f>
        <v>基础设施水平</v>
      </c>
      <c r="AA21" s="3218">
        <f t="shared" ref="AA21" si="8">D21/F21</f>
        <v>1</v>
      </c>
      <c r="AB21" s="3218">
        <f t="shared" ref="AB21" si="9">D21/H21</f>
        <v>1</v>
      </c>
      <c r="AC21" s="3218">
        <f t="shared" ref="AC21" si="10">D21/J21</f>
        <v>1</v>
      </c>
    </row>
    <row r="22" spans="1:29" ht="15">
      <c r="A22" s="531"/>
      <c r="B22" s="921"/>
      <c r="C22" s="872" t="s">
        <v>3084</v>
      </c>
      <c r="D22" s="554"/>
      <c r="E22" s="872" t="s">
        <v>3084</v>
      </c>
      <c r="F22" s="556"/>
      <c r="G22" s="872" t="s">
        <v>3084</v>
      </c>
      <c r="H22" s="554"/>
      <c r="I22" s="872" t="s">
        <v>3084</v>
      </c>
      <c r="J22" s="554"/>
      <c r="K22" s="2622"/>
      <c r="L22" s="2141"/>
      <c r="M22" s="2133"/>
      <c r="N22" s="2133"/>
      <c r="O22" s="2140"/>
      <c r="P22" s="3451"/>
      <c r="Q22" s="3215"/>
      <c r="R22" s="1571"/>
      <c r="S22" s="1572"/>
      <c r="T22" s="1571"/>
      <c r="U22" s="1572"/>
      <c r="V22" s="1571"/>
      <c r="W22" s="1572"/>
      <c r="X22" s="3217"/>
      <c r="Y22" s="3451"/>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51"/>
      <c r="Q23" s="3215" t="str">
        <f>B23</f>
        <v>自然及人文环境</v>
      </c>
      <c r="R23" s="1571" t="s">
        <v>8</v>
      </c>
      <c r="S23" s="1572">
        <f>F23</f>
        <v>100</v>
      </c>
      <c r="T23" s="1571" t="s">
        <v>8</v>
      </c>
      <c r="U23" s="1572">
        <f>H23</f>
        <v>95</v>
      </c>
      <c r="V23" s="1571" t="s">
        <v>8</v>
      </c>
      <c r="W23" s="1572">
        <f>J23</f>
        <v>100</v>
      </c>
      <c r="X23" s="3217"/>
      <c r="Y23" s="3451"/>
      <c r="Z23" s="3216" t="str">
        <f>Q23</f>
        <v>自然及人文环境</v>
      </c>
      <c r="AA23" s="3218">
        <f t="shared" si="3"/>
        <v>1</v>
      </c>
      <c r="AB23" s="3218">
        <f t="shared" si="4"/>
        <v>1.0526315789473684</v>
      </c>
      <c r="AC23" s="3218">
        <f t="shared" si="5"/>
        <v>1</v>
      </c>
    </row>
    <row r="24" spans="1:29" ht="15">
      <c r="A24" s="531"/>
      <c r="B24" s="594"/>
      <c r="C24" s="575" t="s">
        <v>3074</v>
      </c>
      <c r="D24" s="554"/>
      <c r="E24" s="575" t="s">
        <v>3074</v>
      </c>
      <c r="F24" s="556"/>
      <c r="G24" s="557" t="s">
        <v>3083</v>
      </c>
      <c r="H24" s="554"/>
      <c r="I24" s="575" t="s">
        <v>3074</v>
      </c>
      <c r="J24" s="554"/>
      <c r="K24" s="869"/>
      <c r="L24" s="2141"/>
      <c r="M24" s="2133"/>
      <c r="N24" s="2133"/>
      <c r="O24" s="2140"/>
      <c r="P24" s="3451"/>
      <c r="Q24" s="3215"/>
      <c r="R24" s="1571"/>
      <c r="S24" s="1572"/>
      <c r="T24" s="1571"/>
      <c r="U24" s="1572"/>
      <c r="V24" s="1571"/>
      <c r="W24" s="1572"/>
      <c r="X24" s="3217"/>
      <c r="Y24" s="3451"/>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51"/>
      <c r="Q25" s="3215" t="str">
        <f t="shared" ref="Q25:Q46" si="11">B25</f>
        <v>楼层-1</v>
      </c>
      <c r="R25" s="1571" t="s">
        <v>8</v>
      </c>
      <c r="S25" s="1572">
        <f>F25</f>
        <v>100</v>
      </c>
      <c r="T25" s="1571" t="s">
        <v>8</v>
      </c>
      <c r="U25" s="1572">
        <f>H25</f>
        <v>100</v>
      </c>
      <c r="V25" s="1571" t="s">
        <v>8</v>
      </c>
      <c r="W25" s="1572">
        <f>J25</f>
        <v>100</v>
      </c>
      <c r="X25" s="3217"/>
      <c r="Y25" s="3451"/>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51"/>
      <c r="Q26" s="3215" t="str">
        <f t="shared" si="11"/>
        <v>朝向</v>
      </c>
      <c r="R26" s="1571" t="s">
        <v>8</v>
      </c>
      <c r="S26" s="1572">
        <f>F26</f>
        <v>100</v>
      </c>
      <c r="T26" s="1571" t="s">
        <v>8</v>
      </c>
      <c r="U26" s="1572">
        <f>H26</f>
        <v>100</v>
      </c>
      <c r="V26" s="1571" t="s">
        <v>8</v>
      </c>
      <c r="W26" s="1572">
        <f>J26</f>
        <v>100</v>
      </c>
      <c r="X26" s="3217"/>
      <c r="Y26" s="3451"/>
      <c r="Z26" s="3216" t="str">
        <f>Q26</f>
        <v>朝向</v>
      </c>
      <c r="AA26" s="3218">
        <f t="shared" si="3"/>
        <v>1</v>
      </c>
      <c r="AB26" s="3218">
        <f t="shared" si="4"/>
        <v>1</v>
      </c>
      <c r="AC26" s="3218">
        <f t="shared" si="5"/>
        <v>1</v>
      </c>
    </row>
    <row r="27" spans="1:29" s="1218" customFormat="1" ht="15.75" thickBot="1">
      <c r="A27" s="535"/>
      <c r="B27" s="3204" t="s">
        <v>3124</v>
      </c>
      <c r="C27" s="3205" t="s">
        <v>3125</v>
      </c>
      <c r="D27" s="874">
        <v>100</v>
      </c>
      <c r="E27" s="3206" t="s">
        <v>3097</v>
      </c>
      <c r="F27" s="875">
        <f>SUMIF(90:90,E27,91:91)-SUMIF(90:90,C27,91:91)+100</f>
        <v>105</v>
      </c>
      <c r="G27" s="3207" t="s">
        <v>3125</v>
      </c>
      <c r="H27" s="874">
        <f>SUMIF(90:90,G27,91:91)-SUMIF(90:90,C27,91:91)+100</f>
        <v>100</v>
      </c>
      <c r="I27" s="3206" t="s">
        <v>3097</v>
      </c>
      <c r="J27" s="874">
        <f>SUMIF(90:90,I27,91:91)-SUMIF(90:90,C27,91:91)+100</f>
        <v>105</v>
      </c>
      <c r="K27" s="864"/>
      <c r="L27" s="2134"/>
      <c r="M27" s="2135"/>
      <c r="N27" s="2135"/>
      <c r="O27" s="2136"/>
      <c r="P27" s="3451"/>
      <c r="Q27" s="3214" t="str">
        <f t="shared" si="11"/>
        <v>楼层</v>
      </c>
      <c r="R27" s="1566" t="s">
        <v>8</v>
      </c>
      <c r="S27" s="1567">
        <f>F27</f>
        <v>105</v>
      </c>
      <c r="T27" s="1566" t="s">
        <v>8</v>
      </c>
      <c r="U27" s="1567">
        <f>H27</f>
        <v>100</v>
      </c>
      <c r="V27" s="1566" t="s">
        <v>8</v>
      </c>
      <c r="W27" s="1567">
        <f>J27</f>
        <v>105</v>
      </c>
      <c r="X27" s="1568"/>
      <c r="Y27" s="3451"/>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51"/>
      <c r="Q28" s="3215">
        <f t="shared" si="11"/>
        <v>0</v>
      </c>
      <c r="R28" s="1571" t="s">
        <v>8</v>
      </c>
      <c r="S28" s="1572">
        <f t="shared" ref="S28:S46" si="12">F28</f>
        <v>100</v>
      </c>
      <c r="T28" s="1571" t="s">
        <v>8</v>
      </c>
      <c r="U28" s="1572">
        <f t="shared" ref="U28:U46" si="13">H28</f>
        <v>100</v>
      </c>
      <c r="V28" s="1571" t="s">
        <v>8</v>
      </c>
      <c r="W28" s="1572">
        <f t="shared" ref="W28:W46" si="14">J28</f>
        <v>100</v>
      </c>
      <c r="X28" s="3217"/>
      <c r="Y28" s="3451"/>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51"/>
      <c r="Q29" s="3215">
        <f t="shared" si="11"/>
        <v>0</v>
      </c>
      <c r="R29" s="1571" t="s">
        <v>8</v>
      </c>
      <c r="S29" s="1572">
        <f t="shared" si="12"/>
        <v>100</v>
      </c>
      <c r="T29" s="1571" t="s">
        <v>8</v>
      </c>
      <c r="U29" s="1572">
        <f t="shared" si="13"/>
        <v>100</v>
      </c>
      <c r="V29" s="1571" t="s">
        <v>8</v>
      </c>
      <c r="W29" s="1572">
        <f t="shared" si="14"/>
        <v>100</v>
      </c>
      <c r="X29" s="3217"/>
      <c r="Y29" s="3451"/>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51"/>
      <c r="Q30" s="3215">
        <f t="shared" si="11"/>
        <v>0</v>
      </c>
      <c r="R30" s="1571" t="s">
        <v>8</v>
      </c>
      <c r="S30" s="1572">
        <f t="shared" si="12"/>
        <v>100</v>
      </c>
      <c r="T30" s="1571" t="s">
        <v>8</v>
      </c>
      <c r="U30" s="1572">
        <f t="shared" si="13"/>
        <v>100</v>
      </c>
      <c r="V30" s="1571" t="s">
        <v>8</v>
      </c>
      <c r="W30" s="1572">
        <f t="shared" si="14"/>
        <v>100</v>
      </c>
      <c r="X30" s="3217"/>
      <c r="Y30" s="3451"/>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51"/>
      <c r="Q31" s="3215">
        <f t="shared" si="11"/>
        <v>0</v>
      </c>
      <c r="R31" s="1571" t="s">
        <v>8</v>
      </c>
      <c r="S31" s="1572">
        <f t="shared" si="12"/>
        <v>100</v>
      </c>
      <c r="T31" s="1571" t="s">
        <v>8</v>
      </c>
      <c r="U31" s="1572">
        <f t="shared" si="13"/>
        <v>100</v>
      </c>
      <c r="V31" s="1571" t="s">
        <v>8</v>
      </c>
      <c r="W31" s="1572">
        <f t="shared" si="14"/>
        <v>100</v>
      </c>
      <c r="X31" s="3217"/>
      <c r="Y31" s="3451"/>
      <c r="Z31" s="3216">
        <f t="shared" si="15"/>
        <v>0</v>
      </c>
      <c r="AA31" s="3218">
        <f t="shared" si="3"/>
        <v>1</v>
      </c>
      <c r="AB31" s="3218">
        <f t="shared" si="4"/>
        <v>1</v>
      </c>
      <c r="AC31" s="3218">
        <f t="shared" si="5"/>
        <v>1</v>
      </c>
    </row>
    <row r="32" spans="1:29" ht="15">
      <c r="A32" s="2930" t="s">
        <v>2753</v>
      </c>
      <c r="B32" s="172" t="s">
        <v>724</v>
      </c>
      <c r="C32" s="877" t="s">
        <v>3094</v>
      </c>
      <c r="D32" s="596">
        <v>100</v>
      </c>
      <c r="E32" s="878" t="s">
        <v>3096</v>
      </c>
      <c r="F32" s="574">
        <f>SUMIF(100:100,E32,101:101)-SUMIF(100:100,C32,101:101)+100</f>
        <v>95</v>
      </c>
      <c r="G32" s="877" t="s">
        <v>3092</v>
      </c>
      <c r="H32" s="596">
        <f>SUMIF(100:100,G32,101:101)-SUMIF(100:100,C32,101:101)+100</f>
        <v>105</v>
      </c>
      <c r="I32" s="878" t="s">
        <v>3096</v>
      </c>
      <c r="J32" s="539">
        <f>SUMIF(100:100,I32,101:101)-SUMIF(100:100,C32,101:101)+100</f>
        <v>95</v>
      </c>
      <c r="K32" s="863">
        <v>5</v>
      </c>
      <c r="L32" s="2141"/>
      <c r="M32" s="2133"/>
      <c r="N32" s="2133"/>
      <c r="O32" s="2140"/>
      <c r="P32" s="3452" t="s">
        <v>550</v>
      </c>
      <c r="Q32" s="3215" t="str">
        <f t="shared" si="11"/>
        <v>建筑类型</v>
      </c>
      <c r="R32" s="1571" t="s">
        <v>8</v>
      </c>
      <c r="S32" s="1572">
        <f t="shared" si="12"/>
        <v>95</v>
      </c>
      <c r="T32" s="1571" t="s">
        <v>8</v>
      </c>
      <c r="U32" s="1572">
        <f t="shared" si="13"/>
        <v>105</v>
      </c>
      <c r="V32" s="1571" t="s">
        <v>8</v>
      </c>
      <c r="W32" s="1572">
        <f t="shared" si="14"/>
        <v>95</v>
      </c>
      <c r="X32" s="3217"/>
      <c r="Y32" s="3453" t="s">
        <v>550</v>
      </c>
      <c r="Z32" s="3216" t="str">
        <f t="shared" si="15"/>
        <v>建筑类型</v>
      </c>
      <c r="AA32" s="3218">
        <f t="shared" si="3"/>
        <v>1.0526315789473684</v>
      </c>
      <c r="AB32" s="3218">
        <f t="shared" si="4"/>
        <v>0.95238095238095233</v>
      </c>
      <c r="AC32" s="3218">
        <f t="shared" si="5"/>
        <v>1.0526315789473684</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53"/>
      <c r="Q33" s="1603" t="str">
        <f t="shared" si="11"/>
        <v>项目建筑规模</v>
      </c>
      <c r="R33" s="1575" t="s">
        <v>8</v>
      </c>
      <c r="S33" s="1576">
        <f t="shared" si="12"/>
        <v>100</v>
      </c>
      <c r="T33" s="1575" t="s">
        <v>8</v>
      </c>
      <c r="U33" s="1576">
        <f t="shared" si="13"/>
        <v>100</v>
      </c>
      <c r="V33" s="1575" t="s">
        <v>8</v>
      </c>
      <c r="W33" s="1576">
        <f t="shared" si="14"/>
        <v>100</v>
      </c>
      <c r="X33" s="1577"/>
      <c r="Y33" s="3453"/>
      <c r="Z33" s="1578" t="str">
        <f t="shared" si="15"/>
        <v>项目建筑规模</v>
      </c>
      <c r="AA33" s="3218">
        <f t="shared" si="3"/>
        <v>1</v>
      </c>
      <c r="AB33" s="3218">
        <f t="shared" si="4"/>
        <v>1</v>
      </c>
      <c r="AC33" s="3218">
        <f t="shared" si="5"/>
        <v>1</v>
      </c>
    </row>
    <row r="34" spans="1:29" ht="15">
      <c r="A34" s="593"/>
      <c r="B34" s="526" t="s">
        <v>726</v>
      </c>
      <c r="C34" s="880" t="s">
        <v>3098</v>
      </c>
      <c r="D34" s="539">
        <v>100</v>
      </c>
      <c r="E34" s="881" t="s">
        <v>3098</v>
      </c>
      <c r="F34" s="574">
        <f>SUMIF(105:105,E34,106:106)-SUMIF(105:105,C34,106:106)+100</f>
        <v>100</v>
      </c>
      <c r="G34" s="880" t="s">
        <v>3098</v>
      </c>
      <c r="H34" s="539">
        <f>SUMIF(105:105,G34,106:106)-SUMIF(105:105,C34,106:106)+100</f>
        <v>100</v>
      </c>
      <c r="I34" s="881" t="s">
        <v>3098</v>
      </c>
      <c r="J34" s="539">
        <f>SUMIF(105:105,I34,106:106)-SUMIF(105:105,C34,106:106)+100</f>
        <v>100</v>
      </c>
      <c r="K34" s="863">
        <v>2</v>
      </c>
      <c r="L34" s="2141"/>
      <c r="M34" s="2133"/>
      <c r="N34" s="2133"/>
      <c r="O34" s="2140"/>
      <c r="P34" s="3453"/>
      <c r="Q34" s="3215" t="str">
        <f t="shared" si="11"/>
        <v>建筑结构</v>
      </c>
      <c r="R34" s="1571" t="s">
        <v>8</v>
      </c>
      <c r="S34" s="1572">
        <f t="shared" si="12"/>
        <v>100</v>
      </c>
      <c r="T34" s="1571" t="s">
        <v>8</v>
      </c>
      <c r="U34" s="1572">
        <f t="shared" si="13"/>
        <v>100</v>
      </c>
      <c r="V34" s="1571" t="s">
        <v>8</v>
      </c>
      <c r="W34" s="1572">
        <f t="shared" si="14"/>
        <v>100</v>
      </c>
      <c r="X34" s="3217"/>
      <c r="Y34" s="3453"/>
      <c r="Z34" s="3216" t="str">
        <f t="shared" si="15"/>
        <v>建筑结构</v>
      </c>
      <c r="AA34" s="3218">
        <f t="shared" si="3"/>
        <v>1</v>
      </c>
      <c r="AB34" s="3218">
        <f t="shared" si="4"/>
        <v>1</v>
      </c>
      <c r="AC34" s="3218">
        <f t="shared" si="5"/>
        <v>1</v>
      </c>
    </row>
    <row r="35" spans="1:29" ht="15">
      <c r="A35" s="593"/>
      <c r="B35" s="526" t="s">
        <v>727</v>
      </c>
      <c r="C35" s="598" t="s">
        <v>3101</v>
      </c>
      <c r="D35" s="539">
        <v>100</v>
      </c>
      <c r="E35" s="873" t="s">
        <v>3101</v>
      </c>
      <c r="F35" s="574">
        <f>SUMIF(107:107,E35,108:108)-SUMIF(107:107,C35,108:108)+100</f>
        <v>100</v>
      </c>
      <c r="G35" s="598" t="s">
        <v>3101</v>
      </c>
      <c r="H35" s="539">
        <f>SUMIF(107:107,G35,108:108)-SUMIF(107:107,C35,108:108)+100</f>
        <v>100</v>
      </c>
      <c r="I35" s="873" t="s">
        <v>3101</v>
      </c>
      <c r="J35" s="539">
        <f>SUMIF(107:107,I35,108:108)-SUMIF(107:107,C35,108:108)+100</f>
        <v>100</v>
      </c>
      <c r="K35" s="863">
        <v>2</v>
      </c>
      <c r="L35" s="2141"/>
      <c r="M35" s="2133"/>
      <c r="N35" s="2133"/>
      <c r="O35" s="2140"/>
      <c r="P35" s="3453"/>
      <c r="Q35" s="3215" t="str">
        <f t="shared" si="11"/>
        <v>建筑品质</v>
      </c>
      <c r="R35" s="1571" t="s">
        <v>8</v>
      </c>
      <c r="S35" s="1572">
        <f t="shared" si="12"/>
        <v>100</v>
      </c>
      <c r="T35" s="1571" t="s">
        <v>8</v>
      </c>
      <c r="U35" s="1572">
        <f t="shared" si="13"/>
        <v>100</v>
      </c>
      <c r="V35" s="1571" t="s">
        <v>8</v>
      </c>
      <c r="W35" s="1572">
        <f t="shared" si="14"/>
        <v>100</v>
      </c>
      <c r="X35" s="3217"/>
      <c r="Y35" s="3453"/>
      <c r="Z35" s="3216" t="str">
        <f t="shared" si="15"/>
        <v>建筑品质</v>
      </c>
      <c r="AA35" s="3218">
        <f t="shared" si="3"/>
        <v>1</v>
      </c>
      <c r="AB35" s="3218">
        <f t="shared" si="4"/>
        <v>1</v>
      </c>
      <c r="AC35" s="3218">
        <f t="shared" si="5"/>
        <v>1</v>
      </c>
    </row>
    <row r="36" spans="1:29" ht="15">
      <c r="A36" s="593"/>
      <c r="B36" s="526" t="s">
        <v>728</v>
      </c>
      <c r="C36" s="598" t="s">
        <v>3085</v>
      </c>
      <c r="D36" s="539">
        <v>100</v>
      </c>
      <c r="E36" s="873" t="s">
        <v>3085</v>
      </c>
      <c r="F36" s="574">
        <f>SUMIF(109:109,E36,110:110)-SUMIF(109:109,C36,110:110)+100</f>
        <v>100</v>
      </c>
      <c r="G36" s="598" t="s">
        <v>3085</v>
      </c>
      <c r="H36" s="539">
        <f>SUMIF(109:109,G36,110:110)-SUMIF(109:109,C36,110:110)+100</f>
        <v>100</v>
      </c>
      <c r="I36" s="873" t="s">
        <v>3085</v>
      </c>
      <c r="J36" s="539">
        <f>SUMIF(109:109,I36,110:110)-SUMIF(109:109,C36,110:110)+100</f>
        <v>100</v>
      </c>
      <c r="K36" s="863">
        <v>2</v>
      </c>
      <c r="L36" s="2141"/>
      <c r="M36" s="2133"/>
      <c r="N36" s="2133"/>
      <c r="O36" s="2140"/>
      <c r="P36" s="3453"/>
      <c r="Q36" s="3215" t="str">
        <f t="shared" si="11"/>
        <v>公共部分装修</v>
      </c>
      <c r="R36" s="1571" t="s">
        <v>8</v>
      </c>
      <c r="S36" s="1572">
        <f t="shared" si="12"/>
        <v>100</v>
      </c>
      <c r="T36" s="1571" t="s">
        <v>8</v>
      </c>
      <c r="U36" s="1572">
        <f t="shared" si="13"/>
        <v>100</v>
      </c>
      <c r="V36" s="1571" t="s">
        <v>8</v>
      </c>
      <c r="W36" s="1572">
        <f t="shared" si="14"/>
        <v>100</v>
      </c>
      <c r="X36" s="3217"/>
      <c r="Y36" s="3453"/>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53"/>
      <c r="Q37" s="3214" t="str">
        <f t="shared" si="11"/>
        <v>成新度</v>
      </c>
      <c r="R37" s="1566" t="s">
        <v>8</v>
      </c>
      <c r="S37" s="1567">
        <f t="shared" si="12"/>
        <v>100</v>
      </c>
      <c r="T37" s="1566" t="s">
        <v>8</v>
      </c>
      <c r="U37" s="1567">
        <f t="shared" si="13"/>
        <v>100</v>
      </c>
      <c r="V37" s="1566" t="s">
        <v>8</v>
      </c>
      <c r="W37" s="1567">
        <f t="shared" si="14"/>
        <v>100</v>
      </c>
      <c r="X37" s="1568"/>
      <c r="Y37" s="3453"/>
      <c r="Z37" s="3213" t="str">
        <f t="shared" si="15"/>
        <v>成新度</v>
      </c>
      <c r="AA37" s="1569">
        <f t="shared" si="3"/>
        <v>1</v>
      </c>
      <c r="AB37" s="1569">
        <f t="shared" si="4"/>
        <v>1</v>
      </c>
      <c r="AC37" s="1569">
        <f t="shared" si="5"/>
        <v>1</v>
      </c>
    </row>
    <row r="38" spans="1:29" ht="15">
      <c r="A38" s="593"/>
      <c r="B38" s="526" t="s">
        <v>730</v>
      </c>
      <c r="C38" s="598" t="s">
        <v>3103</v>
      </c>
      <c r="D38" s="539">
        <v>100</v>
      </c>
      <c r="E38" s="873" t="s">
        <v>3103</v>
      </c>
      <c r="F38" s="574">
        <f>SUMIF(114:114,E38,115:115)-SUMIF(114:114,C38,115:115)+100</f>
        <v>100</v>
      </c>
      <c r="G38" s="598" t="s">
        <v>3103</v>
      </c>
      <c r="H38" s="539">
        <f>SUMIF(114:114,G38,115:115)-SUMIF(114:114,C38,115:115)+100</f>
        <v>100</v>
      </c>
      <c r="I38" s="873" t="s">
        <v>3103</v>
      </c>
      <c r="J38" s="539">
        <f>SUMIF(114:114,I38,115:115)-SUMIF(114:114,C38,115:115)+100</f>
        <v>100</v>
      </c>
      <c r="K38" s="863">
        <v>2</v>
      </c>
      <c r="L38" s="2141"/>
      <c r="M38" s="2133"/>
      <c r="N38" s="2133"/>
      <c r="O38" s="2140"/>
      <c r="P38" s="3453" t="s">
        <v>550</v>
      </c>
      <c r="Q38" s="3215" t="str">
        <f t="shared" si="11"/>
        <v>物业管理</v>
      </c>
      <c r="R38" s="1571" t="s">
        <v>8</v>
      </c>
      <c r="S38" s="1572">
        <f t="shared" si="12"/>
        <v>100</v>
      </c>
      <c r="T38" s="1571" t="s">
        <v>8</v>
      </c>
      <c r="U38" s="1572">
        <f t="shared" si="13"/>
        <v>100</v>
      </c>
      <c r="V38" s="1571" t="s">
        <v>8</v>
      </c>
      <c r="W38" s="1572">
        <f t="shared" si="14"/>
        <v>100</v>
      </c>
      <c r="X38" s="3217"/>
      <c r="Y38" s="3453" t="s">
        <v>550</v>
      </c>
      <c r="Z38" s="3216" t="str">
        <f t="shared" si="15"/>
        <v>物业管理</v>
      </c>
      <c r="AA38" s="3218">
        <f t="shared" si="3"/>
        <v>1</v>
      </c>
      <c r="AB38" s="3218">
        <f t="shared" si="4"/>
        <v>1</v>
      </c>
      <c r="AC38" s="3218">
        <f t="shared" si="5"/>
        <v>1</v>
      </c>
    </row>
    <row r="39" spans="1:29" ht="15">
      <c r="A39" s="593"/>
      <c r="B39" s="1894" t="s">
        <v>2563</v>
      </c>
      <c r="C39" s="598" t="s">
        <v>3084</v>
      </c>
      <c r="D39" s="539">
        <v>100</v>
      </c>
      <c r="E39" s="873" t="s">
        <v>3084</v>
      </c>
      <c r="F39" s="574">
        <f>SUMIF(116:116,E39,117:117)-SUMIF(116:116,C39,117:117)+100</f>
        <v>100</v>
      </c>
      <c r="G39" s="598" t="s">
        <v>3084</v>
      </c>
      <c r="H39" s="539">
        <f>SUMIF(116:116,G39,117:117)-SUMIF(116:116,C39,117:117)+100</f>
        <v>100</v>
      </c>
      <c r="I39" s="873" t="s">
        <v>3084</v>
      </c>
      <c r="J39" s="539">
        <f>SUMIF(116:116,I39,117:117)-SUMIF(116:116,C39,117:117)+100</f>
        <v>100</v>
      </c>
      <c r="K39" s="863">
        <v>2</v>
      </c>
      <c r="L39" s="2141"/>
      <c r="M39" s="2133"/>
      <c r="N39" s="2133"/>
      <c r="O39" s="2140"/>
      <c r="P39" s="3453"/>
      <c r="Q39" s="3215" t="str">
        <f t="shared" si="11"/>
        <v>市政基础设施</v>
      </c>
      <c r="R39" s="1571" t="s">
        <v>8</v>
      </c>
      <c r="S39" s="1572">
        <f t="shared" si="12"/>
        <v>100</v>
      </c>
      <c r="T39" s="1571" t="s">
        <v>8</v>
      </c>
      <c r="U39" s="1572">
        <f t="shared" si="13"/>
        <v>100</v>
      </c>
      <c r="V39" s="1571" t="s">
        <v>8</v>
      </c>
      <c r="W39" s="1572">
        <f t="shared" si="14"/>
        <v>100</v>
      </c>
      <c r="X39" s="3217"/>
      <c r="Y39" s="3453"/>
      <c r="Z39" s="3216" t="str">
        <f t="shared" si="15"/>
        <v>市政基础设施</v>
      </c>
      <c r="AA39" s="3218">
        <f t="shared" si="3"/>
        <v>1</v>
      </c>
      <c r="AB39" s="3218">
        <f t="shared" si="4"/>
        <v>1</v>
      </c>
      <c r="AC39" s="3218">
        <f t="shared" si="5"/>
        <v>1</v>
      </c>
    </row>
    <row r="40" spans="1:29" ht="15">
      <c r="A40" s="593"/>
      <c r="B40" s="526" t="s">
        <v>731</v>
      </c>
      <c r="C40" s="598" t="s">
        <v>3090</v>
      </c>
      <c r="D40" s="539">
        <v>100</v>
      </c>
      <c r="E40" s="873" t="s">
        <v>3108</v>
      </c>
      <c r="F40" s="574">
        <f>SUMIF(118:118,E40,119:119)-SUMIF(118:118,C40,119:119)+100</f>
        <v>105</v>
      </c>
      <c r="G40" s="598" t="s">
        <v>3090</v>
      </c>
      <c r="H40" s="539">
        <f>SUMIF(118:118,G40,119:119)-SUMIF(118:118,C40,119:119)+100</f>
        <v>100</v>
      </c>
      <c r="I40" s="873" t="s">
        <v>3090</v>
      </c>
      <c r="J40" s="539">
        <f>SUMIF(118:118,I40,119:119)-SUMIF(118:118,C40,119:119)+100</f>
        <v>100</v>
      </c>
      <c r="K40" s="863">
        <v>5</v>
      </c>
      <c r="L40" s="2141"/>
      <c r="M40" s="2133"/>
      <c r="N40" s="2133"/>
      <c r="O40" s="2140"/>
      <c r="P40" s="3453"/>
      <c r="Q40" s="3215" t="str">
        <f t="shared" si="11"/>
        <v>房型</v>
      </c>
      <c r="R40" s="1571" t="s">
        <v>8</v>
      </c>
      <c r="S40" s="1572">
        <f t="shared" si="12"/>
        <v>105</v>
      </c>
      <c r="T40" s="1571" t="s">
        <v>8</v>
      </c>
      <c r="U40" s="1572">
        <f t="shared" si="13"/>
        <v>100</v>
      </c>
      <c r="V40" s="1571" t="s">
        <v>8</v>
      </c>
      <c r="W40" s="1572">
        <f t="shared" si="14"/>
        <v>100</v>
      </c>
      <c r="X40" s="3217"/>
      <c r="Y40" s="3453"/>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53"/>
      <c r="Q41" s="1603" t="str">
        <f t="shared" si="11"/>
        <v>单套/主力户型建筑面积</v>
      </c>
      <c r="R41" s="1575" t="s">
        <v>8</v>
      </c>
      <c r="S41" s="1576">
        <f t="shared" si="12"/>
        <v>100</v>
      </c>
      <c r="T41" s="1575" t="s">
        <v>8</v>
      </c>
      <c r="U41" s="1576">
        <f t="shared" si="13"/>
        <v>100</v>
      </c>
      <c r="V41" s="1575" t="s">
        <v>8</v>
      </c>
      <c r="W41" s="1576">
        <f t="shared" si="14"/>
        <v>100</v>
      </c>
      <c r="X41" s="1577"/>
      <c r="Y41" s="3453"/>
      <c r="Z41" s="1578" t="str">
        <f t="shared" si="15"/>
        <v>单套/主力户型建筑面积</v>
      </c>
      <c r="AA41" s="3218">
        <f t="shared" si="3"/>
        <v>1</v>
      </c>
      <c r="AB41" s="3218">
        <f t="shared" si="4"/>
        <v>1</v>
      </c>
      <c r="AC41" s="3218">
        <f t="shared" si="5"/>
        <v>1</v>
      </c>
    </row>
    <row r="42" spans="1:29" ht="15">
      <c r="A42" s="593"/>
      <c r="B42" s="526" t="s">
        <v>733</v>
      </c>
      <c r="C42" s="598" t="s">
        <v>3087</v>
      </c>
      <c r="D42" s="539">
        <v>100</v>
      </c>
      <c r="E42" s="873" t="s">
        <v>3087</v>
      </c>
      <c r="F42" s="574">
        <f>SUMIF(122:122,E42,123:123)-SUMIF(122:122,C42,123:123)+100</f>
        <v>100</v>
      </c>
      <c r="G42" s="598" t="s">
        <v>3087</v>
      </c>
      <c r="H42" s="539">
        <f>SUMIF(122:122,G42,123:123)-SUMIF(122:122,C42,123:123)+100</f>
        <v>100</v>
      </c>
      <c r="I42" s="873" t="s">
        <v>3087</v>
      </c>
      <c r="J42" s="539">
        <f>SUMIF(122:122,I42,123:123)-SUMIF(122:122,C42,123:123)+100</f>
        <v>100</v>
      </c>
      <c r="K42" s="863">
        <v>5</v>
      </c>
      <c r="L42" s="2141"/>
      <c r="M42" s="2133"/>
      <c r="N42" s="2133"/>
      <c r="O42" s="2140"/>
      <c r="P42" s="3453"/>
      <c r="Q42" s="3215" t="str">
        <f t="shared" si="11"/>
        <v>内部装修</v>
      </c>
      <c r="R42" s="1571" t="s">
        <v>8</v>
      </c>
      <c r="S42" s="1572">
        <f t="shared" si="12"/>
        <v>100</v>
      </c>
      <c r="T42" s="1571" t="s">
        <v>8</v>
      </c>
      <c r="U42" s="1572">
        <f t="shared" si="13"/>
        <v>100</v>
      </c>
      <c r="V42" s="1571" t="s">
        <v>8</v>
      </c>
      <c r="W42" s="1572">
        <f t="shared" si="14"/>
        <v>100</v>
      </c>
      <c r="X42" s="3217"/>
      <c r="Y42" s="3453"/>
      <c r="Z42" s="3216" t="str">
        <f t="shared" si="15"/>
        <v>内部装修</v>
      </c>
      <c r="AA42" s="3218">
        <f t="shared" si="3"/>
        <v>1</v>
      </c>
      <c r="AB42" s="3218">
        <f t="shared" si="4"/>
        <v>1</v>
      </c>
      <c r="AC42" s="3218">
        <f t="shared" si="5"/>
        <v>1</v>
      </c>
    </row>
    <row r="43" spans="1:29" ht="33" customHeight="1">
      <c r="A43" s="593"/>
      <c r="B43" s="526" t="s">
        <v>734</v>
      </c>
      <c r="C43" s="598" t="s">
        <v>3074</v>
      </c>
      <c r="D43" s="539">
        <v>100</v>
      </c>
      <c r="E43" s="598" t="s">
        <v>3074</v>
      </c>
      <c r="F43" s="574">
        <f>SUMIF(124:124,E43,125:125)-SUMIF(124:124,C43,125:125)+100</f>
        <v>100</v>
      </c>
      <c r="G43" s="598" t="s">
        <v>3074</v>
      </c>
      <c r="H43" s="539">
        <f>SUMIF(124:124,G43,125:125)-SUMIF(124:124,C43,125:125)+100</f>
        <v>100</v>
      </c>
      <c r="I43" s="598" t="s">
        <v>3074</v>
      </c>
      <c r="J43" s="539">
        <f>SUMIF(124:124,I43,125:125)-SUMIF(124:124,C43,125:125)+100</f>
        <v>100</v>
      </c>
      <c r="K43" s="863">
        <v>2</v>
      </c>
      <c r="L43" s="2141"/>
      <c r="M43" s="2133"/>
      <c r="N43" s="2133"/>
      <c r="O43" s="2140"/>
      <c r="P43" s="3453"/>
      <c r="Q43" s="3215" t="str">
        <f t="shared" si="11"/>
        <v>内部装修维护情况</v>
      </c>
      <c r="R43" s="1571" t="s">
        <v>8</v>
      </c>
      <c r="S43" s="1572">
        <f t="shared" si="12"/>
        <v>100</v>
      </c>
      <c r="T43" s="1571" t="s">
        <v>8</v>
      </c>
      <c r="U43" s="1572">
        <f t="shared" si="13"/>
        <v>100</v>
      </c>
      <c r="V43" s="1571" t="s">
        <v>8</v>
      </c>
      <c r="W43" s="1572">
        <f t="shared" si="14"/>
        <v>100</v>
      </c>
      <c r="X43" s="3217"/>
      <c r="Y43" s="3453"/>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3123</v>
      </c>
      <c r="F44" s="862">
        <f>SUMIF(126:126,E44,127:127)-SUMIF(126:126,C44,127:127)+100</f>
        <v>100</v>
      </c>
      <c r="G44" s="879" t="s">
        <v>3122</v>
      </c>
      <c r="H44" s="254">
        <f>SUMIF(126:126,G44,127:127)-SUMIF(126:126,C44,127:127)+100</f>
        <v>100</v>
      </c>
      <c r="I44" s="879" t="s">
        <v>3121</v>
      </c>
      <c r="J44" s="254">
        <f>SUMIF(126:126,I44,127:127)-SUMIF(126:126,C44,127:127)+100</f>
        <v>100</v>
      </c>
      <c r="K44" s="864"/>
      <c r="L44" s="2134"/>
      <c r="M44" s="2135"/>
      <c r="N44" s="2135"/>
      <c r="O44" s="2136"/>
      <c r="P44" s="3453"/>
      <c r="Q44" s="3214">
        <f t="shared" si="11"/>
        <v>0</v>
      </c>
      <c r="R44" s="1566" t="s">
        <v>8</v>
      </c>
      <c r="S44" s="1567">
        <f t="shared" si="12"/>
        <v>100</v>
      </c>
      <c r="T44" s="1566" t="s">
        <v>8</v>
      </c>
      <c r="U44" s="1567">
        <f t="shared" si="13"/>
        <v>100</v>
      </c>
      <c r="V44" s="1566" t="s">
        <v>8</v>
      </c>
      <c r="W44" s="1567">
        <f t="shared" si="14"/>
        <v>100</v>
      </c>
      <c r="X44" s="1568"/>
      <c r="Y44" s="3453"/>
      <c r="Z44" s="3213">
        <f t="shared" si="15"/>
        <v>0</v>
      </c>
      <c r="AA44" s="1569">
        <f t="shared" si="3"/>
        <v>1</v>
      </c>
      <c r="AB44" s="1569">
        <f t="shared" si="4"/>
        <v>1</v>
      </c>
      <c r="AC44" s="1569">
        <f t="shared" si="5"/>
        <v>1</v>
      </c>
    </row>
    <row r="45" spans="1:29" ht="15.75" thickBot="1">
      <c r="A45" s="593"/>
      <c r="B45" s="876"/>
      <c r="C45" s="544"/>
      <c r="D45" s="545">
        <v>100</v>
      </c>
      <c r="E45" s="538" t="s">
        <v>3118</v>
      </c>
      <c r="F45" s="574">
        <f>SUMIF(128:128,E45,129:129)-SUMIF(128:128,C45,129:129)+100</f>
        <v>100</v>
      </c>
      <c r="G45" s="544" t="s">
        <v>3119</v>
      </c>
      <c r="H45" s="545">
        <f>SUMIF(128:128,G45,129:129)-SUMIF(128:128,C45,129:129)+100</f>
        <v>100</v>
      </c>
      <c r="I45" s="538" t="s">
        <v>3118</v>
      </c>
      <c r="J45" s="539">
        <f>SUMIF(128:128,I45,129:129)-SUMIF(128:128,C45,129:129)+100</f>
        <v>100</v>
      </c>
      <c r="K45" s="864"/>
      <c r="L45" s="2141"/>
      <c r="M45" s="2133"/>
      <c r="N45" s="2133"/>
      <c r="O45" s="2140"/>
      <c r="P45" s="3453"/>
      <c r="Q45" s="3215">
        <f t="shared" si="11"/>
        <v>0</v>
      </c>
      <c r="R45" s="1571" t="s">
        <v>8</v>
      </c>
      <c r="S45" s="1572">
        <f t="shared" si="12"/>
        <v>100</v>
      </c>
      <c r="T45" s="1571" t="s">
        <v>8</v>
      </c>
      <c r="U45" s="1572">
        <f t="shared" si="13"/>
        <v>100</v>
      </c>
      <c r="V45" s="1571" t="s">
        <v>8</v>
      </c>
      <c r="W45" s="1572">
        <f t="shared" si="14"/>
        <v>100</v>
      </c>
      <c r="X45" s="3217"/>
      <c r="Y45" s="3453"/>
      <c r="Z45" s="3216">
        <f t="shared" si="15"/>
        <v>0</v>
      </c>
      <c r="AA45" s="3218">
        <f t="shared" si="3"/>
        <v>1</v>
      </c>
      <c r="AB45" s="3218">
        <f t="shared" si="4"/>
        <v>1</v>
      </c>
      <c r="AC45" s="3218">
        <f t="shared" si="5"/>
        <v>1</v>
      </c>
    </row>
    <row r="46" spans="1:29" ht="15.75" thickBot="1">
      <c r="A46" s="885"/>
      <c r="B46" s="3208" t="s">
        <v>3128</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0"/>
      <c r="Q46" s="3215" t="str">
        <f t="shared" si="11"/>
        <v>海景</v>
      </c>
      <c r="R46" s="1571" t="s">
        <v>8</v>
      </c>
      <c r="S46" s="1572">
        <f t="shared" si="12"/>
        <v>100</v>
      </c>
      <c r="T46" s="1571" t="s">
        <v>8</v>
      </c>
      <c r="U46" s="1572">
        <f t="shared" si="13"/>
        <v>100</v>
      </c>
      <c r="V46" s="1571" t="s">
        <v>8</v>
      </c>
      <c r="W46" s="1572">
        <f t="shared" si="14"/>
        <v>100</v>
      </c>
      <c r="X46" s="3217"/>
      <c r="Y46" s="3530"/>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16" t="str">
        <f>A47</f>
        <v>成交单价（元/平方米）</v>
      </c>
      <c r="Q47" s="3416"/>
      <c r="R47" s="3529">
        <f>E47</f>
        <v>24250</v>
      </c>
      <c r="S47" s="3529"/>
      <c r="T47" s="3529">
        <f>G47</f>
        <v>25220</v>
      </c>
      <c r="U47" s="3529"/>
      <c r="V47" s="3529">
        <f>I47</f>
        <v>22892</v>
      </c>
      <c r="W47" s="3529"/>
      <c r="X47" s="1557"/>
      <c r="Y47" s="1579"/>
      <c r="Z47" s="1557"/>
      <c r="AA47" s="1557"/>
      <c r="AB47" s="1557"/>
      <c r="AC47" s="1557"/>
    </row>
    <row r="48" spans="1:29" ht="15.75" thickBot="1">
      <c r="A48" s="614" t="s">
        <v>2758</v>
      </c>
      <c r="B48" s="887"/>
      <c r="C48" s="2656">
        <f>R49</f>
        <v>22298</v>
      </c>
      <c r="D48" s="2657"/>
      <c r="E48" s="2658">
        <f>R48</f>
        <v>22051</v>
      </c>
      <c r="F48" s="2658"/>
      <c r="G48" s="2656">
        <f>T48</f>
        <v>22985</v>
      </c>
      <c r="H48" s="2657"/>
      <c r="I48" s="2658">
        <f>V48</f>
        <v>21857</v>
      </c>
      <c r="J48" s="2657"/>
      <c r="K48" s="1605"/>
      <c r="L48" s="2143"/>
      <c r="M48" s="2144"/>
      <c r="N48" s="2144"/>
      <c r="O48" s="2144"/>
      <c r="P48" s="3416" t="str">
        <f>A48</f>
        <v>比较价格（元/平方米）</v>
      </c>
      <c r="Q48" s="3416"/>
      <c r="R48" s="3529">
        <f>IF(F1="售价",ROUND(PRODUCT(R47,AA7:AA46),0),ROUND(PRODUCT(R47,AA7:AA46),1))</f>
        <v>22051</v>
      </c>
      <c r="S48" s="3529"/>
      <c r="T48" s="3529">
        <f>IF(F1="售价",ROUND(PRODUCT(T47,AB7:AB46),0),ROUND(PRODUCT(T47,AB7:AB46),1))</f>
        <v>22985</v>
      </c>
      <c r="U48" s="3529"/>
      <c r="V48" s="3529">
        <f>IF(F1="售价",ROUND(PRODUCT(V47,AC7:AC46),0),ROUND(PRODUCT(V47,AC7:AC46),1))</f>
        <v>21857</v>
      </c>
      <c r="W48" s="3529"/>
      <c r="X48" s="1557"/>
      <c r="Y48" s="1557"/>
      <c r="Z48" s="1557"/>
      <c r="AA48" s="1557"/>
      <c r="AB48" s="1557"/>
      <c r="AC48" s="1557"/>
    </row>
    <row r="49" spans="1:29" ht="15.75" thickBot="1">
      <c r="A49" s="620" t="s">
        <v>2932</v>
      </c>
      <c r="B49" s="621"/>
      <c r="C49" s="2659">
        <f>R49</f>
        <v>22298</v>
      </c>
      <c r="D49" s="2659"/>
      <c r="E49" s="2659"/>
      <c r="F49" s="2659"/>
      <c r="G49" s="2659"/>
      <c r="H49" s="2659"/>
      <c r="I49" s="2659"/>
      <c r="J49" s="2659"/>
      <c r="K49" s="1606"/>
      <c r="L49" s="2143"/>
      <c r="M49" s="2144"/>
      <c r="N49" s="2144"/>
      <c r="O49" s="2144"/>
      <c r="P49" s="3413" t="str">
        <f>A49</f>
        <v>估价对象XX用房的比较价格（楼面单价，元/平方米）</v>
      </c>
      <c r="Q49" s="3414"/>
      <c r="R49" s="3528">
        <f>IF(F1="售价",ROUND(AVERAGE(R48:V48),0),ROUND(AVERAGE(R48:V48),1))</f>
        <v>22298</v>
      </c>
      <c r="S49" s="3528"/>
      <c r="T49" s="3528"/>
      <c r="U49" s="3528"/>
      <c r="V49" s="3528"/>
      <c r="W49" s="3528"/>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9.9723368554714087E-2</v>
      </c>
      <c r="F52" s="626" t="str">
        <f>IF(OR(E52&gt;=0.3,E52&lt;=-0.3),"超过30%","")</f>
        <v/>
      </c>
      <c r="G52" s="625">
        <f>IF(G47&lt;G48,G48/G47-1,G47/G48-1)</f>
        <v>9.723732869262558E-2</v>
      </c>
      <c r="H52" s="626" t="str">
        <f>IF(OR(G52&gt;=0.3,G52&lt;=-0.3),"超过30%","")</f>
        <v/>
      </c>
      <c r="I52" s="625">
        <f>IF(I47&lt;I48,I48/I47-1,I47/I48-1)</f>
        <v>4.7353250674841085E-2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4.2356355720829075E-2</v>
      </c>
      <c r="F53" s="626" t="str">
        <f>IF(OR(E53&gt;=0.2,E53&lt;=-0.2),"超过20%","")</f>
        <v/>
      </c>
      <c r="G53" s="625">
        <f>IF(G48&lt;I48,I48/G48-1,G48/I48-1)</f>
        <v>5.1608180445623875E-2</v>
      </c>
      <c r="H53" s="626" t="str">
        <f>IF(OR(G53&gt;=0.2,G53&lt;=-0.2),"超过20%","")</f>
        <v/>
      </c>
      <c r="I53" s="625">
        <f>IF(I48&lt;E48,E48/I48-1,I48/E48-1)</f>
        <v>8.8758750057189584E-3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3120</v>
      </c>
      <c r="D90" s="3195" t="s">
        <v>3125</v>
      </c>
      <c r="E90" s="3195" t="s">
        <v>3097</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3120</v>
      </c>
      <c r="D100" s="3197" t="s">
        <v>3093</v>
      </c>
      <c r="E100" s="3197" t="s">
        <v>3095</v>
      </c>
      <c r="F100" s="3197" t="s">
        <v>3097</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3099</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3100</v>
      </c>
      <c r="D107" s="3194" t="s">
        <v>3102</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3086</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3104</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3109</v>
      </c>
      <c r="D118" s="3194" t="s">
        <v>3091</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3086</v>
      </c>
      <c r="D122" s="3195" t="s">
        <v>3088</v>
      </c>
      <c r="E122" s="3195" t="s">
        <v>3089</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3126</v>
      </c>
      <c r="D130" s="3195">
        <v>0</v>
      </c>
      <c r="E130" s="3195" t="s">
        <v>3129</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F43"/>
  <sheetViews>
    <sheetView topLeftCell="A22" workbookViewId="0">
      <selection activeCell="G43" sqref="G43"/>
    </sheetView>
  </sheetViews>
  <sheetFormatPr defaultColWidth="8.875" defaultRowHeight="13.5"/>
  <cols>
    <col min="5" max="6" width="13.125" customWidth="1"/>
  </cols>
  <sheetData>
    <row r="41" spans="1:6" ht="24">
      <c r="A41" s="3199" t="s">
        <v>3110</v>
      </c>
      <c r="B41" s="3545" t="s">
        <v>3111</v>
      </c>
      <c r="C41" s="3545"/>
      <c r="D41" s="3545"/>
      <c r="E41" s="3546" t="s">
        <v>3112</v>
      </c>
      <c r="F41" s="3546"/>
    </row>
    <row r="42" spans="1:6">
      <c r="A42" s="3200"/>
      <c r="B42" s="3201" t="s">
        <v>3092</v>
      </c>
      <c r="C42" s="3201" t="s">
        <v>3094</v>
      </c>
      <c r="D42" s="3201" t="s">
        <v>3096</v>
      </c>
      <c r="E42" s="3547"/>
      <c r="F42" s="3547"/>
    </row>
    <row r="43" spans="1:6" ht="70.5" customHeight="1">
      <c r="A43" s="3202" t="s">
        <v>3113</v>
      </c>
      <c r="B43" s="3202" t="s">
        <v>3114</v>
      </c>
      <c r="C43" s="3202" t="s">
        <v>3115</v>
      </c>
      <c r="D43" s="3202" t="s">
        <v>3116</v>
      </c>
      <c r="E43" s="3548" t="s">
        <v>3117</v>
      </c>
      <c r="F43" s="3548"/>
    </row>
  </sheetData>
  <mergeCells count="4">
    <mergeCell ref="B41:D41"/>
    <mergeCell ref="E41:F41"/>
    <mergeCell ref="E42:F42"/>
    <mergeCell ref="E43:F43"/>
  </mergeCells>
  <phoneticPr fontId="233" type="noConversion"/>
  <hyperlinks>
    <hyperlink ref="A43" r:id="rId1" display="javascript:top.main.DataEdit('46',20);"/>
    <hyperlink ref="E43:F43" r:id="rId2" display="javascript:top.main.DataEdit('46',20);"/>
  </hyperlinks>
  <pageMargins left="0.7" right="0.7" top="0.75" bottom="0.75" header="0.3" footer="0.3"/>
  <pageSetup paperSize="9" orientation="portrait" r:id="rId3"/>
  <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52" t="s">
        <v>2038</v>
      </c>
      <c r="B1" s="3252"/>
      <c r="C1" s="3252"/>
      <c r="D1" s="3252"/>
      <c r="E1" s="3252"/>
      <c r="F1" s="3252"/>
      <c r="G1" s="3252"/>
      <c r="H1" s="3252"/>
      <c r="I1" s="3252"/>
      <c r="J1" s="3252"/>
      <c r="K1" s="3252"/>
      <c r="L1" s="3252"/>
      <c r="M1" s="3252"/>
      <c r="N1" s="3252"/>
      <c r="O1" s="3252"/>
      <c r="P1" s="3252"/>
      <c r="Q1" s="3252"/>
      <c r="R1" s="3252"/>
    </row>
    <row r="2" spans="1:18">
      <c r="A2" s="1806" t="s">
        <v>2040</v>
      </c>
      <c r="B2" s="1806"/>
      <c r="C2" s="1806"/>
      <c r="D2" s="1806"/>
      <c r="E2" s="1806"/>
      <c r="F2" s="1806"/>
      <c r="G2" s="1806"/>
      <c r="H2" s="1806"/>
      <c r="I2" s="1807"/>
      <c r="J2" s="1807"/>
      <c r="K2" s="1808" t="str">
        <f>"估价期日："&amp;TEXT(项目基本情况!D3,"yyyy年m月d日;;")</f>
        <v>估价期日：2018年5月4日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3" t="s">
        <v>2029</v>
      </c>
      <c r="B3" s="3253" t="s">
        <v>2729</v>
      </c>
      <c r="C3" s="3254" t="s">
        <v>2030</v>
      </c>
      <c r="D3" s="3253" t="s">
        <v>2733</v>
      </c>
      <c r="E3" s="3256" t="s">
        <v>2031</v>
      </c>
      <c r="F3" s="3256"/>
      <c r="G3" s="3256"/>
      <c r="H3" s="3256" t="s">
        <v>2032</v>
      </c>
      <c r="I3" s="3256"/>
      <c r="J3" s="3256"/>
      <c r="K3" s="3254" t="s">
        <v>2033</v>
      </c>
      <c r="L3" s="3254" t="s">
        <v>2034</v>
      </c>
      <c r="M3" s="3253" t="s">
        <v>2730</v>
      </c>
      <c r="N3" s="3255" t="str">
        <f>"（分摊）"&amp;项目基本情况!B16&amp;"国有建设用地使用权面积/㎡"</f>
        <v>（分摊）出让国有建设用地使用权面积/㎡</v>
      </c>
      <c r="O3" s="3253" t="s">
        <v>2063</v>
      </c>
      <c r="P3" s="3254" t="s">
        <v>2043</v>
      </c>
      <c r="Q3" s="3254" t="s">
        <v>2064</v>
      </c>
      <c r="R3" s="3254" t="s">
        <v>2035</v>
      </c>
    </row>
    <row r="4" spans="1:18" ht="36.75" customHeight="1">
      <c r="A4" s="3253"/>
      <c r="B4" s="3253"/>
      <c r="C4" s="3254"/>
      <c r="D4" s="3253"/>
      <c r="E4" s="2672" t="s">
        <v>2042</v>
      </c>
      <c r="F4" s="2672" t="s">
        <v>2742</v>
      </c>
      <c r="G4" s="2672" t="s">
        <v>2036</v>
      </c>
      <c r="H4" s="2672" t="s">
        <v>2037</v>
      </c>
      <c r="I4" s="2672" t="s">
        <v>2743</v>
      </c>
      <c r="J4" s="2672" t="s">
        <v>2036</v>
      </c>
      <c r="K4" s="3254"/>
      <c r="L4" s="3254"/>
      <c r="M4" s="3253"/>
      <c r="N4" s="3255"/>
      <c r="O4" s="3253"/>
      <c r="P4" s="3254"/>
      <c r="Q4" s="3254"/>
      <c r="R4" s="3254"/>
    </row>
    <row r="5" spans="1:18" ht="135" customHeight="1">
      <c r="A5" s="1942" t="s">
        <v>2653</v>
      </c>
      <c r="B5" s="2890" t="s">
        <v>2651</v>
      </c>
      <c r="C5" s="2671">
        <v>22</v>
      </c>
      <c r="D5" s="2670" t="s">
        <v>2652</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t="str">
        <f>IF(项目基本情况!B16="出让",项目基本情况!D20,"——")</f>
        <v>住宅61.7年</v>
      </c>
      <c r="N5" s="1809">
        <f>项目基本情况!C22</f>
        <v>51474</v>
      </c>
      <c r="O5" s="1809">
        <f>项目基本情况!C21</f>
        <v>30884</v>
      </c>
      <c r="P5" s="1809">
        <f ca="1">结果表!E42</f>
        <v>3873</v>
      </c>
      <c r="Q5" s="1809">
        <f ca="1">结果表!D42</f>
        <v>6455</v>
      </c>
      <c r="R5" s="1810">
        <f ca="1">结果表!C42</f>
        <v>19935</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11">
        <f ca="1">结果表!O39</f>
        <v>19935</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1" t="str">
        <f>结果表!O40</f>
        <v>——</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8.875" defaultRowHeight="14.25"/>
  <cols>
    <col min="1" max="1" width="15.625" style="1801" customWidth="1"/>
    <col min="2" max="3" width="21.375" style="1801" customWidth="1"/>
    <col min="4" max="4" width="19.875" style="1801" customWidth="1"/>
    <col min="5" max="16384" width="8.875" style="1801"/>
  </cols>
  <sheetData>
    <row r="1" spans="1:4">
      <c r="A1" s="3258" t="s">
        <v>2065</v>
      </c>
      <c r="B1" s="3258"/>
      <c r="C1" s="3258"/>
      <c r="D1" s="3258"/>
    </row>
    <row r="2" spans="1:4" ht="47.25" customHeight="1">
      <c r="A2" s="3259" t="str">
        <f>"1.权利限制："&amp;项目基本情况!L24&amp;"未设定租赁等其他他项权利。"</f>
        <v>1.权利限制：根据估价对象、《国有土地使用权》复印件，截至估价期日，估价对象抵押权未见登记。未设定租赁等其他他项权利。</v>
      </c>
      <c r="B2" s="3259"/>
      <c r="C2" s="3259"/>
      <c r="D2" s="3259"/>
    </row>
    <row r="3" spans="1:4" ht="48" customHeight="1">
      <c r="A3" s="325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8"/>
      <c r="C3" s="3258"/>
      <c r="D3" s="3258"/>
    </row>
    <row r="4" spans="1:4" ht="36.75" customHeight="1">
      <c r="A4" s="3258" t="str">
        <f>"3.估价规划限制条件：详见"&amp;项目基本情况!E21&amp;"。"</f>
        <v>3.估价规划限制条件：详见《国有建设用地使用权出让合同》[电子监管号：4690062009B00477]及附件。</v>
      </c>
      <c r="B4" s="3258"/>
      <c r="C4" s="3258"/>
      <c r="D4" s="3258"/>
    </row>
    <row r="5" spans="1:4">
      <c r="A5" s="3257" t="s">
        <v>2066</v>
      </c>
      <c r="B5" s="3257"/>
      <c r="C5" s="3257"/>
      <c r="D5" s="3257"/>
    </row>
    <row r="6" spans="1:4">
      <c r="A6" s="3258" t="s">
        <v>2044</v>
      </c>
      <c r="B6" s="3258"/>
      <c r="C6" s="3258"/>
      <c r="D6" s="3258"/>
    </row>
    <row r="7" spans="1:4" ht="33" customHeight="1">
      <c r="A7" s="3258" t="s">
        <v>2574</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（1）根据估价对象、《国有土地使用权》复印件，截至估价期日，估价对象抵押权未见登记。</v>
      </c>
      <c r="B11" s="3260"/>
      <c r="C11" s="3260"/>
      <c r="D11" s="3260"/>
    </row>
    <row r="12" spans="1:4" ht="168" customHeight="1">
      <c r="A12" s="3257" t="s">
        <v>2068</v>
      </c>
      <c r="B12" s="3257"/>
      <c r="C12" s="3257"/>
      <c r="D12" s="3257"/>
    </row>
    <row r="13" spans="1:4">
      <c r="A13" s="3261" t="s">
        <v>2744</v>
      </c>
      <c r="B13" s="3261"/>
      <c r="C13" s="3261"/>
      <c r="D13" s="3261"/>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2700</v>
      </c>
      <c r="B17" s="3258"/>
      <c r="C17" s="3258"/>
      <c r="D17" s="3258"/>
    </row>
    <row r="18" spans="1:4">
      <c r="A18" s="3258" t="s">
        <v>2692</v>
      </c>
      <c r="B18" s="3258"/>
      <c r="C18" s="3258"/>
      <c r="D18" s="3258"/>
    </row>
    <row r="19" spans="1:4">
      <c r="A19" s="2891" t="s">
        <v>2693</v>
      </c>
      <c r="B19" s="2891" t="s">
        <v>2694</v>
      </c>
      <c r="C19" s="2891" t="s">
        <v>2695</v>
      </c>
      <c r="D19" s="2891" t="s">
        <v>2696</v>
      </c>
    </row>
    <row r="20" spans="1:4">
      <c r="A20" s="2891" t="str">
        <f>项目基本情况!B4</f>
        <v>土地估价师</v>
      </c>
      <c r="B20" s="2891">
        <f>项目基本情况!C4</f>
        <v>0</v>
      </c>
      <c r="C20" s="2893"/>
      <c r="D20" s="1799" t="s">
        <v>2701</v>
      </c>
    </row>
    <row r="21" spans="1:4">
      <c r="A21" s="2891" t="str">
        <f>项目基本情况!D4</f>
        <v>土地估价师</v>
      </c>
      <c r="B21" s="2891">
        <f>项目基本情况!E4</f>
        <v>0</v>
      </c>
      <c r="C21" s="2893"/>
      <c r="D21" s="1799" t="s">
        <v>2702</v>
      </c>
    </row>
    <row r="23" spans="1:4">
      <c r="A23" s="3258" t="s">
        <v>2697</v>
      </c>
      <c r="B23" s="3258"/>
      <c r="C23" s="3258"/>
      <c r="D23" s="3258"/>
    </row>
    <row r="24" spans="1:4">
      <c r="A24" s="2891" t="s">
        <v>2693</v>
      </c>
      <c r="B24" s="2891" t="s">
        <v>2698</v>
      </c>
      <c r="C24" s="2891" t="s">
        <v>2695</v>
      </c>
      <c r="D24" s="2891" t="s">
        <v>2696</v>
      </c>
    </row>
    <row r="25" spans="1:4">
      <c r="A25" s="2894" t="s">
        <v>2699</v>
      </c>
      <c r="B25" s="2891" t="s">
        <v>951</v>
      </c>
      <c r="C25" s="2893"/>
      <c r="D25" s="1799" t="s">
        <v>2702</v>
      </c>
    </row>
    <row r="29" spans="1:4">
      <c r="D29" s="2892" t="s">
        <v>2039</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9" t="s">
        <v>53</v>
      </c>
      <c r="B15" s="3270" t="s">
        <v>845</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836</v>
      </c>
    </row>
    <row r="25" spans="1:3" ht="14.25">
      <c r="A25" s="3268"/>
      <c r="B25" s="3272"/>
      <c r="C25" s="1174" t="s">
        <v>837</v>
      </c>
    </row>
    <row r="26" spans="1:3" ht="14.25">
      <c r="A26" s="3268"/>
      <c r="B26" s="3272"/>
      <c r="C26" s="1174" t="s">
        <v>838</v>
      </c>
    </row>
    <row r="27" spans="1:3" ht="14.25">
      <c r="A27" s="3268"/>
      <c r="B27" s="3272"/>
      <c r="C27" s="1174" t="s">
        <v>839</v>
      </c>
    </row>
    <row r="28" spans="1:3" ht="14.25">
      <c r="A28" s="3268"/>
      <c r="B28" s="3272"/>
      <c r="C28" s="1174" t="s">
        <v>840</v>
      </c>
    </row>
    <row r="29" spans="1:3" ht="14.25">
      <c r="A29" s="3268"/>
      <c r="B29" s="3272"/>
      <c r="C29" s="1174" t="s">
        <v>841</v>
      </c>
    </row>
    <row r="30" spans="1:3" ht="14.25">
      <c r="A30" s="3268"/>
      <c r="B30" s="3272"/>
      <c r="C30" s="1174" t="s">
        <v>842</v>
      </c>
    </row>
    <row r="31" spans="1:3" ht="14.25">
      <c r="A31" s="3268"/>
      <c r="B31" s="3272"/>
      <c r="C31" s="1174" t="s">
        <v>843</v>
      </c>
    </row>
    <row r="32" spans="1:3" ht="14.25">
      <c r="A32" s="3268"/>
      <c r="B32" s="3272"/>
      <c r="C32" s="1174" t="s">
        <v>1646</v>
      </c>
    </row>
    <row r="33" spans="1:3" ht="14.25">
      <c r="A33" s="3268"/>
      <c r="B33" s="3262" t="s">
        <v>1652</v>
      </c>
      <c r="C33" s="1174" t="s">
        <v>1647</v>
      </c>
    </row>
    <row r="34" spans="1:3" ht="14.25">
      <c r="A34" s="3268"/>
      <c r="B34" s="3263"/>
      <c r="C34" s="1179" t="s">
        <v>1648</v>
      </c>
    </row>
    <row r="35" spans="1:3" ht="14.25">
      <c r="A35" s="3268"/>
      <c r="B35" s="3263"/>
      <c r="C35" s="1180" t="s">
        <v>1649</v>
      </c>
    </row>
    <row r="36" spans="1:3" ht="14.25">
      <c r="A36" s="3268"/>
      <c r="B36" s="3263"/>
      <c r="C36" s="1180" t="s">
        <v>1650</v>
      </c>
    </row>
    <row r="37" spans="1:3" ht="14.25">
      <c r="A37" s="3268"/>
      <c r="B37" s="326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625" style="2340" customWidth="1"/>
    <col min="2" max="5" width="22.625" style="2340"/>
    <col min="6" max="6" width="25.625" style="2340" customWidth="1"/>
    <col min="7" max="16384" width="22.625" style="2340"/>
  </cols>
  <sheetData>
    <row r="2" spans="1:6" ht="20.25" customHeight="1">
      <c r="A2" s="2337" t="s">
        <v>1907</v>
      </c>
      <c r="B2" s="1655">
        <f ca="1">TODAY()</f>
        <v>43230</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29">
        <v>43849</v>
      </c>
      <c r="D4" s="2342" t="s">
        <v>1914</v>
      </c>
      <c r="E4" s="2342">
        <f ca="1">IF(F4&lt;B2,"已过期",96010014)</f>
        <v>96010014</v>
      </c>
      <c r="F4" s="3030">
        <v>47118</v>
      </c>
    </row>
    <row r="5" spans="1:6" ht="20.25" customHeight="1">
      <c r="A5" s="2342" t="s">
        <v>1915</v>
      </c>
      <c r="B5" s="2342">
        <f ca="1">IF(C5&lt;B2,"已过期",1119970074)</f>
        <v>1119970074</v>
      </c>
      <c r="C5" s="3029">
        <v>43849</v>
      </c>
      <c r="D5" s="2342" t="s">
        <v>1915</v>
      </c>
      <c r="E5" s="2342">
        <f ca="1">IF(F5&lt;B2,"已过期",2002110027)</f>
        <v>2002110027</v>
      </c>
      <c r="F5" s="3030">
        <v>46752</v>
      </c>
    </row>
    <row r="6" spans="1:6" ht="20.25" customHeight="1">
      <c r="A6" s="2342" t="s">
        <v>1916</v>
      </c>
      <c r="B6" s="2342">
        <f ca="1">IF(C6&lt;B2,"已过期",1119970111)</f>
        <v>1119970111</v>
      </c>
      <c r="C6" s="3029">
        <v>43849</v>
      </c>
      <c r="D6" s="2342" t="s">
        <v>1916</v>
      </c>
      <c r="E6" s="2342">
        <f ca="1">IF(F6&lt;B2,"已过期",94010078)</f>
        <v>94010078</v>
      </c>
      <c r="F6" s="3030">
        <v>46387</v>
      </c>
    </row>
    <row r="7" spans="1:6" ht="20.25" customHeight="1">
      <c r="A7" s="2342" t="s">
        <v>1917</v>
      </c>
      <c r="B7" s="2342">
        <f ca="1">IF(C7&lt;B2,"已过期",1120050019)</f>
        <v>1120050019</v>
      </c>
      <c r="C7" s="3029">
        <v>43359</v>
      </c>
      <c r="D7" s="2342" t="s">
        <v>1917</v>
      </c>
      <c r="E7" s="2342">
        <f ca="1">IF(F7&lt;B2,"已过期",2002110030)</f>
        <v>2002110030</v>
      </c>
      <c r="F7" s="3030">
        <v>46387</v>
      </c>
    </row>
    <row r="8" spans="1:6" ht="20.25" customHeight="1">
      <c r="A8" s="2342" t="s">
        <v>1918</v>
      </c>
      <c r="B8" s="2342">
        <f ca="1">IF(C8&lt;B2,"已过期",1120000080)</f>
        <v>1120000080</v>
      </c>
      <c r="C8" s="3029">
        <v>43849</v>
      </c>
      <c r="D8" s="2342" t="s">
        <v>1918</v>
      </c>
      <c r="E8" s="2342">
        <f ca="1">IF(F8&lt;B2,"已过期",2000110082)</f>
        <v>2000110082</v>
      </c>
      <c r="F8" s="3030">
        <v>46387</v>
      </c>
    </row>
    <row r="9" spans="1:6" ht="20.25" customHeight="1">
      <c r="A9" s="2342" t="s">
        <v>1919</v>
      </c>
      <c r="B9" s="2342">
        <f ca="1">IF(C9&lt;B2,"已过期",1419970001)</f>
        <v>1419970001</v>
      </c>
      <c r="C9" s="3029">
        <v>43867</v>
      </c>
      <c r="D9" s="2342" t="s">
        <v>1919</v>
      </c>
      <c r="E9" s="2342">
        <f ca="1">IF(F9&lt;B2,"已过期",2002110125)</f>
        <v>2002110125</v>
      </c>
      <c r="F9" s="3030">
        <v>47118</v>
      </c>
    </row>
    <row r="10" spans="1:6" ht="20.25" customHeight="1">
      <c r="A10" s="2342" t="s">
        <v>1920</v>
      </c>
      <c r="B10" s="2342">
        <f ca="1">IF(C10&lt;B2,"已过期",1120060040)</f>
        <v>1120060040</v>
      </c>
      <c r="C10" s="3029">
        <v>43483</v>
      </c>
      <c r="D10" s="2342" t="s">
        <v>1920</v>
      </c>
      <c r="E10" s="2342">
        <f ca="1">IF(F10&lt;B2,"已过期",2004110096)</f>
        <v>2004110096</v>
      </c>
      <c r="F10" s="3030">
        <v>47118</v>
      </c>
    </row>
    <row r="11" spans="1:6" ht="20.25" customHeight="1">
      <c r="A11" s="2342" t="s">
        <v>1921</v>
      </c>
      <c r="B11" s="2342">
        <f ca="1">IF(C11&lt;B2,"已过期",1120100036)</f>
        <v>1120100036</v>
      </c>
      <c r="C11" s="3029">
        <v>43622</v>
      </c>
      <c r="D11" s="2342" t="s">
        <v>1921</v>
      </c>
      <c r="E11" s="2342">
        <f ca="1">IF(F11&lt;B2,"已过期",2010110070)</f>
        <v>2010110070</v>
      </c>
      <c r="F11" s="3030">
        <v>47907</v>
      </c>
    </row>
    <row r="12" spans="1:6" ht="20.25" customHeight="1">
      <c r="A12" s="2342"/>
      <c r="B12" s="2342"/>
      <c r="C12" s="3029"/>
      <c r="D12" s="2342"/>
      <c r="E12" s="2342"/>
      <c r="F12" s="2342"/>
    </row>
    <row r="13" spans="1:6" ht="20.25" customHeight="1">
      <c r="A13" s="2342" t="s">
        <v>1922</v>
      </c>
      <c r="B13" s="2342">
        <f ca="1">IF(C13&lt;B2,"已过期",1120070131)</f>
        <v>1120070131</v>
      </c>
      <c r="C13" s="3029">
        <v>43814</v>
      </c>
      <c r="D13" s="2342" t="s">
        <v>1922</v>
      </c>
      <c r="E13" s="2342">
        <v>2014110011</v>
      </c>
      <c r="F13" s="3030">
        <v>49302</v>
      </c>
    </row>
    <row r="14" spans="1:6" ht="20.25" customHeight="1">
      <c r="A14" s="2342" t="s">
        <v>1923</v>
      </c>
      <c r="B14" s="2342">
        <f ca="1">IF(C14&lt;B2,"已过期",1120130020)</f>
        <v>1120130020</v>
      </c>
      <c r="C14" s="3029">
        <v>43622</v>
      </c>
      <c r="D14" s="2342"/>
      <c r="E14" s="2342"/>
      <c r="F14" s="2342"/>
    </row>
    <row r="15" spans="1:6" ht="20.25" customHeight="1">
      <c r="A15" s="2342" t="s">
        <v>2573</v>
      </c>
      <c r="B15" s="2342">
        <v>1120070085</v>
      </c>
      <c r="C15" s="3029">
        <v>43814</v>
      </c>
      <c r="D15" s="2342" t="s">
        <v>2573</v>
      </c>
      <c r="E15" s="2342">
        <v>2004110128</v>
      </c>
      <c r="F15" s="3030">
        <v>47118</v>
      </c>
    </row>
    <row r="16" spans="1:6" ht="20.25" customHeight="1">
      <c r="A16" s="2342" t="s">
        <v>1924</v>
      </c>
      <c r="B16" s="2342">
        <f ca="1">IF(C16&lt;B2,"已过期",1120140022)</f>
        <v>1120140022</v>
      </c>
      <c r="C16" s="3029">
        <v>44029</v>
      </c>
      <c r="D16" s="2342" t="s">
        <v>1924</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1925</v>
      </c>
      <c r="E21" s="2342">
        <f ca="1">IF(F21&lt;B2,"已过期",2011110090)</f>
        <v>2011110090</v>
      </c>
      <c r="F21" s="3030">
        <v>48302</v>
      </c>
    </row>
    <row r="22" spans="1:7" ht="20.25" customHeight="1">
      <c r="A22" s="2342" t="s">
        <v>1926</v>
      </c>
      <c r="B22" s="2342">
        <f ca="1">IF(C22&lt;B2,"已过期",1120020033)</f>
        <v>1120020033</v>
      </c>
      <c r="C22" s="3029">
        <v>43304</v>
      </c>
      <c r="D22" s="2342" t="s">
        <v>1926</v>
      </c>
      <c r="E22" s="2342">
        <f ca="1">IF(F22&lt;B2,"已过期",2000110137)</f>
        <v>2000110137</v>
      </c>
      <c r="F22" s="3030">
        <v>46387</v>
      </c>
    </row>
    <row r="23" spans="1:7" ht="20.25" customHeight="1">
      <c r="A23" s="2342" t="s">
        <v>1927</v>
      </c>
      <c r="B23" s="2342">
        <f ca="1">IF(C23&lt;B2,"已过期",1120130048)</f>
        <v>1120130048</v>
      </c>
      <c r="C23" s="3029">
        <v>43686</v>
      </c>
      <c r="D23" s="2342"/>
      <c r="E23" s="2342"/>
      <c r="F23" s="2342"/>
    </row>
    <row r="24" spans="1:7" s="2346" customFormat="1" ht="20.25" customHeight="1">
      <c r="A24" s="2344" t="s">
        <v>2053</v>
      </c>
      <c r="B24" s="2344" t="s">
        <v>2053</v>
      </c>
      <c r="C24" s="3029"/>
      <c r="D24" s="3031" t="s">
        <v>2053</v>
      </c>
      <c r="E24" s="2344" t="s">
        <v>2053</v>
      </c>
      <c r="F24" s="2345"/>
    </row>
    <row r="25" spans="1:7" ht="20.25" customHeight="1">
      <c r="A25" s="3273" t="s">
        <v>1928</v>
      </c>
      <c r="B25" s="3273"/>
      <c r="C25" s="3273"/>
      <c r="D25" s="3273"/>
      <c r="E25" s="3273"/>
      <c r="F25" s="3273"/>
      <c r="G25" s="3273"/>
    </row>
    <row r="26" spans="1:7" ht="20.25" customHeight="1">
      <c r="A26" s="3274" t="s">
        <v>1929</v>
      </c>
      <c r="B26" s="3274"/>
      <c r="C26" s="3274"/>
      <c r="D26" s="3274" t="s">
        <v>1930</v>
      </c>
      <c r="E26" s="3274"/>
      <c r="F26" s="3274"/>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2942</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39" sqref="B39"/>
    </sheetView>
  </sheetViews>
  <sheetFormatPr defaultColWidth="8.875"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125" style="1161" customWidth="1"/>
    <col min="26" max="16384" width="8.875" style="1161"/>
  </cols>
  <sheetData>
    <row r="1" spans="1:23" s="1182" customFormat="1" ht="27">
      <c r="A1" s="966"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2544</v>
      </c>
      <c r="R1" s="2605" t="s">
        <v>2538</v>
      </c>
      <c r="S1" s="6" t="s">
        <v>146</v>
      </c>
      <c r="T1" s="7" t="s">
        <v>147</v>
      </c>
      <c r="U1" s="6" t="s">
        <v>148</v>
      </c>
      <c r="V1" s="6" t="s">
        <v>149</v>
      </c>
      <c r="W1" s="1002"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49"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7" t="s">
        <v>1640</v>
      </c>
      <c r="C6" s="1551"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40" t="s">
        <v>2955</v>
      </c>
      <c r="C18" s="1552"/>
    </row>
    <row r="19" spans="1:3">
      <c r="A19" s="8" t="s">
        <v>120</v>
      </c>
      <c r="B19" s="3140" t="s">
        <v>2963</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75"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c r="D53" s="1766"/>
      <c r="E53" s="1766"/>
    </row>
    <row r="54" spans="1:5">
      <c r="A54" s="3275"/>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5"/>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5"/>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5"/>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不动产比较法-住宅（0.6）</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不动产比较法-住宅（1）</vt:lpstr>
      <vt:lpstr>不动产比较法-住宅（1.7）</vt:lpstr>
      <vt:lpstr>Sheet3</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'不动产比较法-住宅（1）'!住宅朝向</vt:lpstr>
      <vt:lpstr>'不动产比较法-住宅（1.7）'!住宅朝向</vt:lpstr>
      <vt:lpstr>住宅朝向</vt:lpstr>
      <vt:lpstr>'不动产比较法-住宅（1）'!住宅房型</vt:lpstr>
      <vt:lpstr>'不动产比较法-住宅（1.7）'!住宅房型</vt:lpstr>
      <vt:lpstr>住宅房型</vt:lpstr>
      <vt:lpstr>'不动产比较法-住宅（1）'!住宅公共部分装修</vt:lpstr>
      <vt:lpstr>'不动产比较法-住宅（1.7）'!住宅公共部分装修</vt:lpstr>
      <vt:lpstr>住宅公共部分装修</vt:lpstr>
      <vt:lpstr>'不动产比较法-住宅（1）'!住宅基础设施水平</vt:lpstr>
      <vt:lpstr>'不动产比较法-住宅（1.7）'!住宅基础设施水平</vt:lpstr>
      <vt:lpstr>住宅基础设施水平</vt:lpstr>
      <vt:lpstr>'不动产比较法-住宅（1）'!住宅建筑结构</vt:lpstr>
      <vt:lpstr>'不动产比较法-住宅（1.7）'!住宅建筑结构</vt:lpstr>
      <vt:lpstr>住宅建筑结构</vt:lpstr>
      <vt:lpstr>'不动产比较法-住宅（1）'!住宅建筑类型</vt:lpstr>
      <vt:lpstr>'不动产比较法-住宅（1.7）'!住宅建筑类型</vt:lpstr>
      <vt:lpstr>住宅建筑类型</vt:lpstr>
      <vt:lpstr>'不动产比较法-住宅（1）'!住宅建筑品质</vt:lpstr>
      <vt:lpstr>'不动产比较法-住宅（1.7）'!住宅建筑品质</vt:lpstr>
      <vt:lpstr>住宅建筑品质</vt:lpstr>
      <vt:lpstr>'不动产比较法-住宅（1）'!住宅交易情况</vt:lpstr>
      <vt:lpstr>'不动产比较法-住宅（1.7）'!住宅交易情况</vt:lpstr>
      <vt:lpstr>住宅交易情况</vt:lpstr>
      <vt:lpstr>'不动产比较法-住宅（1）'!住宅楼层</vt:lpstr>
      <vt:lpstr>'不动产比较法-住宅（1.7）'!住宅楼层</vt:lpstr>
      <vt:lpstr>住宅楼层</vt:lpstr>
      <vt:lpstr>'不动产比较法-住宅（1）'!住宅内部装修</vt:lpstr>
      <vt:lpstr>'不动产比较法-住宅（1.7）'!住宅内部装修</vt:lpstr>
      <vt:lpstr>住宅内部装修</vt:lpstr>
      <vt:lpstr>'不动产比较法-住宅（1）'!住宅物业管理</vt:lpstr>
      <vt:lpstr>'不动产比较法-住宅（1.7）'!住宅物业管理</vt:lpstr>
      <vt:lpstr>住宅物业管理</vt:lpstr>
      <vt:lpstr>'不动产比较法-住宅（1）'!住宅用途</vt:lpstr>
      <vt:lpstr>'不动产比较法-住宅（1.7）'!住宅用途</vt:lpstr>
      <vt:lpstr>住宅用途</vt:lpstr>
      <vt:lpstr>'不动产比较法-住宅（1）'!住宅主力户型面积</vt:lpstr>
      <vt:lpstr>'不动产比较法-住宅（1.7）'!住宅主力户型面积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2018-05-10T07:29:20Z</dcterms:modified>
</cp:coreProperties>
</file>